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dziubins\Home\Research\Energy Loss Optical Scintillation System\Data\"/>
    </mc:Choice>
  </mc:AlternateContent>
  <xr:revisionPtr revIDLastSave="0" documentId="13_ncr:1_{85A42814-13AF-44B8-8A5B-6CB12D9ADBDB}" xr6:coauthVersionLast="47" xr6:coauthVersionMax="47" xr10:uidLastSave="{00000000-0000-0000-0000-000000000000}"/>
  <bookViews>
    <workbookView xWindow="-28920" yWindow="-120" windowWidth="29040" windowHeight="15840" activeTab="1" xr2:uid="{00000000-000D-0000-FFFF-FFFF00000000}"/>
  </bookViews>
  <sheets>
    <sheet name="Main" sheetId="1" r:id="rId1"/>
    <sheet name="AirVsAr" sheetId="10" r:id="rId2"/>
    <sheet name="LongBoards" sheetId="2" r:id="rId3"/>
    <sheet name="LED2 Fitting v2" sheetId="3" r:id="rId4"/>
    <sheet name="LED3 Fitting v2" sheetId="4" r:id="rId5"/>
    <sheet name="LED1 Fitting v2" sheetId="5" r:id="rId6"/>
    <sheet name="Logs" sheetId="6" r:id="rId7"/>
    <sheet name="Settings" sheetId="7" r:id="rId8"/>
    <sheet name="LED Position Correction" sheetId="8" r:id="rId9"/>
    <sheet name="Sheet1" sheetId="9" r:id="rId10"/>
    <sheet name="Sheet3"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zbRwMHuFxhRLnF+wlSS4wzrufS8D4teilww59p0bcxY="/>
    </ext>
  </extLst>
</workbook>
</file>

<file path=xl/calcChain.xml><?xml version="1.0" encoding="utf-8"?>
<calcChain xmlns="http://schemas.openxmlformats.org/spreadsheetml/2006/main">
  <c r="V8" i="8" l="1"/>
  <c r="V7" i="8"/>
  <c r="L20" i="8"/>
  <c r="L19" i="8"/>
  <c r="R17" i="8"/>
  <c r="H19" i="8"/>
  <c r="D26" i="8"/>
  <c r="E26" i="8"/>
  <c r="F26" i="8"/>
  <c r="G26" i="8"/>
  <c r="H26" i="8"/>
  <c r="J22" i="8"/>
  <c r="F20" i="8"/>
  <c r="C19" i="8"/>
  <c r="C20" i="8" s="1"/>
  <c r="D19" i="8"/>
  <c r="D20" i="8" s="1"/>
  <c r="E19" i="8"/>
  <c r="E20" i="8" s="1"/>
  <c r="F19" i="8"/>
  <c r="B19" i="8"/>
  <c r="B20" i="8" s="1"/>
  <c r="T50" i="2" l="1"/>
  <c r="V50" i="2"/>
  <c r="V51" i="2"/>
  <c r="V52" i="2"/>
  <c r="S50" i="2"/>
  <c r="S51" i="2"/>
  <c r="S52" i="2"/>
  <c r="T51" i="2"/>
  <c r="T52" i="2"/>
  <c r="T20" i="2"/>
  <c r="T21" i="2"/>
  <c r="V19" i="2"/>
  <c r="V20" i="2"/>
  <c r="V21" i="2"/>
  <c r="S20" i="2"/>
  <c r="S21" i="2"/>
  <c r="S22" i="2"/>
  <c r="T22" i="2"/>
  <c r="T139" i="2"/>
  <c r="V137" i="2"/>
  <c r="V138" i="2"/>
  <c r="V139" i="2"/>
  <c r="S137" i="2"/>
  <c r="S138" i="2"/>
  <c r="S139" i="2"/>
  <c r="T137" i="2"/>
  <c r="T138" i="2"/>
  <c r="BF3" i="5"/>
  <c r="BJ2" i="3"/>
  <c r="BJ2" i="4"/>
  <c r="AV2" i="5"/>
  <c r="BF3" i="4"/>
  <c r="AV2" i="3"/>
  <c r="V5" i="1" l="1"/>
  <c r="V6" i="1"/>
  <c r="V7" i="1"/>
  <c r="S5" i="1"/>
  <c r="S6" i="1"/>
  <c r="S7" i="1"/>
  <c r="T7" i="1"/>
  <c r="T6" i="1"/>
  <c r="T5" i="1"/>
  <c r="S71" i="1"/>
  <c r="T71" i="1"/>
  <c r="U71" i="1"/>
  <c r="V71" i="1"/>
  <c r="S72" i="1"/>
  <c r="T72" i="1"/>
  <c r="U72" i="1"/>
  <c r="V72" i="1"/>
  <c r="S73" i="1"/>
  <c r="T73" i="1"/>
  <c r="U73" i="1"/>
  <c r="V73" i="1"/>
  <c r="V155" i="2"/>
  <c r="V156" i="2"/>
  <c r="V157" i="2"/>
  <c r="S155" i="2"/>
  <c r="S156" i="2"/>
  <c r="S157" i="2"/>
  <c r="T155" i="2"/>
  <c r="T156" i="2"/>
  <c r="T157" i="2"/>
  <c r="Y2" i="4"/>
  <c r="CI2" i="4"/>
  <c r="C2" i="5"/>
  <c r="C2" i="3"/>
  <c r="Y2" i="5"/>
  <c r="CI2" i="3"/>
  <c r="W4" i="9" l="1"/>
  <c r="W5" i="9" s="1"/>
  <c r="W3" i="9"/>
  <c r="W2" i="9"/>
  <c r="CO2" i="3"/>
  <c r="CO2" i="4"/>
  <c r="T198" i="2" l="1"/>
  <c r="T215" i="2"/>
  <c r="W123" i="2"/>
  <c r="W139" i="2"/>
  <c r="W148" i="2"/>
  <c r="W155" i="2"/>
  <c r="W188" i="2"/>
  <c r="W198" i="2"/>
  <c r="W202" i="2"/>
  <c r="W206" i="2"/>
  <c r="W210" i="2"/>
  <c r="W214" i="2"/>
  <c r="W231" i="2"/>
  <c r="W235" i="2"/>
  <c r="W239" i="2"/>
  <c r="V123" i="2"/>
  <c r="V124" i="2"/>
  <c r="V125" i="2"/>
  <c r="V126" i="2"/>
  <c r="V127" i="2"/>
  <c r="V128" i="2"/>
  <c r="V129" i="2"/>
  <c r="V130" i="2"/>
  <c r="V131" i="2"/>
  <c r="V132" i="2"/>
  <c r="V133" i="2"/>
  <c r="V134" i="2"/>
  <c r="V135" i="2"/>
  <c r="V136" i="2"/>
  <c r="V140" i="2"/>
  <c r="V141" i="2"/>
  <c r="V142" i="2"/>
  <c r="V143" i="2"/>
  <c r="V144" i="2"/>
  <c r="V145" i="2"/>
  <c r="V146" i="2"/>
  <c r="V147" i="2"/>
  <c r="V148" i="2"/>
  <c r="V149" i="2"/>
  <c r="V150" i="2"/>
  <c r="V151" i="2"/>
  <c r="V152" i="2"/>
  <c r="V153" i="2"/>
  <c r="V154"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122" i="2"/>
  <c r="U125" i="2"/>
  <c r="U126" i="2"/>
  <c r="U127" i="2"/>
  <c r="U128" i="2"/>
  <c r="U129" i="2"/>
  <c r="U130" i="2"/>
  <c r="U131" i="2"/>
  <c r="U132" i="2"/>
  <c r="U133" i="2"/>
  <c r="U134" i="2"/>
  <c r="U135" i="2"/>
  <c r="U136" i="2"/>
  <c r="U140" i="2"/>
  <c r="U141" i="2"/>
  <c r="U142" i="2"/>
  <c r="U143" i="2"/>
  <c r="U144" i="2"/>
  <c r="U145" i="2"/>
  <c r="U146" i="2"/>
  <c r="U147" i="2"/>
  <c r="U148" i="2"/>
  <c r="U149" i="2"/>
  <c r="U150" i="2"/>
  <c r="U151" i="2"/>
  <c r="U152" i="2"/>
  <c r="U153" i="2"/>
  <c r="U154" i="2"/>
  <c r="U155" i="2"/>
  <c r="U156"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124" i="2"/>
  <c r="U123" i="2"/>
  <c r="U122" i="2"/>
  <c r="T238" i="2"/>
  <c r="W238" i="2" s="1"/>
  <c r="T232" i="2"/>
  <c r="W232" i="2" s="1"/>
  <c r="T229" i="2"/>
  <c r="W229" i="2" s="1"/>
  <c r="T217" i="2"/>
  <c r="W217" i="2" s="1"/>
  <c r="T211" i="2"/>
  <c r="W211" i="2" s="1"/>
  <c r="T203" i="2"/>
  <c r="W203" i="2" s="1"/>
  <c r="T188" i="2"/>
  <c r="T185" i="2"/>
  <c r="W185" i="2" s="1"/>
  <c r="T175" i="2"/>
  <c r="W175" i="2" s="1"/>
  <c r="W157" i="2"/>
  <c r="T148" i="2"/>
  <c r="T130" i="2"/>
  <c r="W130" i="2" s="1"/>
  <c r="S125" i="2"/>
  <c r="S126" i="2"/>
  <c r="S127" i="2"/>
  <c r="S128" i="2"/>
  <c r="S129" i="2"/>
  <c r="S130" i="2"/>
  <c r="S131" i="2"/>
  <c r="S132" i="2"/>
  <c r="S133" i="2"/>
  <c r="S134" i="2"/>
  <c r="S135" i="2"/>
  <c r="S136" i="2"/>
  <c r="S140" i="2"/>
  <c r="S141" i="2"/>
  <c r="S142" i="2"/>
  <c r="S143" i="2"/>
  <c r="S144" i="2"/>
  <c r="S145" i="2"/>
  <c r="S146" i="2"/>
  <c r="S147" i="2"/>
  <c r="S148" i="2"/>
  <c r="S149" i="2"/>
  <c r="S150" i="2"/>
  <c r="S151" i="2"/>
  <c r="S152" i="2"/>
  <c r="S153" i="2"/>
  <c r="S154"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124" i="2"/>
  <c r="S123" i="2"/>
  <c r="S122" i="2"/>
  <c r="T125" i="2"/>
  <c r="W125" i="2" s="1"/>
  <c r="T126" i="2"/>
  <c r="W126" i="2" s="1"/>
  <c r="T127" i="2"/>
  <c r="W127" i="2" s="1"/>
  <c r="T128" i="2"/>
  <c r="W128" i="2" s="1"/>
  <c r="T129" i="2"/>
  <c r="W129" i="2" s="1"/>
  <c r="T131" i="2"/>
  <c r="W131" i="2" s="1"/>
  <c r="T132" i="2"/>
  <c r="W132" i="2" s="1"/>
  <c r="T133" i="2"/>
  <c r="W133" i="2" s="1"/>
  <c r="T134" i="2"/>
  <c r="W134" i="2" s="1"/>
  <c r="T135" i="2"/>
  <c r="W135" i="2" s="1"/>
  <c r="T136" i="2"/>
  <c r="W136" i="2" s="1"/>
  <c r="W137" i="2"/>
  <c r="W138" i="2"/>
  <c r="T140" i="2"/>
  <c r="W140" i="2" s="1"/>
  <c r="T141" i="2"/>
  <c r="W141" i="2" s="1"/>
  <c r="T142" i="2"/>
  <c r="W142" i="2" s="1"/>
  <c r="T143" i="2"/>
  <c r="W143" i="2" s="1"/>
  <c r="T144" i="2"/>
  <c r="W144" i="2" s="1"/>
  <c r="T145" i="2"/>
  <c r="W145" i="2" s="1"/>
  <c r="T146" i="2"/>
  <c r="W146" i="2" s="1"/>
  <c r="T147" i="2"/>
  <c r="W147" i="2" s="1"/>
  <c r="T149" i="2"/>
  <c r="W149" i="2" s="1"/>
  <c r="T150" i="2"/>
  <c r="W150" i="2" s="1"/>
  <c r="T151" i="2"/>
  <c r="W151" i="2" s="1"/>
  <c r="T152" i="2"/>
  <c r="W152" i="2" s="1"/>
  <c r="T153" i="2"/>
  <c r="W153" i="2" s="1"/>
  <c r="T154" i="2"/>
  <c r="W154" i="2" s="1"/>
  <c r="W156" i="2"/>
  <c r="T158" i="2"/>
  <c r="W158" i="2" s="1"/>
  <c r="T159" i="2"/>
  <c r="W159" i="2" s="1"/>
  <c r="T160" i="2"/>
  <c r="W160" i="2" s="1"/>
  <c r="T161" i="2"/>
  <c r="W161" i="2" s="1"/>
  <c r="T162" i="2"/>
  <c r="W162" i="2" s="1"/>
  <c r="T163" i="2"/>
  <c r="W163" i="2" s="1"/>
  <c r="T164" i="2"/>
  <c r="W164" i="2" s="1"/>
  <c r="T165" i="2"/>
  <c r="W165" i="2" s="1"/>
  <c r="T166" i="2"/>
  <c r="W166" i="2" s="1"/>
  <c r="T167" i="2"/>
  <c r="W167" i="2" s="1"/>
  <c r="T168" i="2"/>
  <c r="W168" i="2" s="1"/>
  <c r="T169" i="2"/>
  <c r="W169" i="2" s="1"/>
  <c r="T170" i="2"/>
  <c r="W170" i="2" s="1"/>
  <c r="T171" i="2"/>
  <c r="W171" i="2" s="1"/>
  <c r="T172" i="2"/>
  <c r="W172" i="2" s="1"/>
  <c r="T173" i="2"/>
  <c r="W173" i="2" s="1"/>
  <c r="T174" i="2"/>
  <c r="W174" i="2" s="1"/>
  <c r="T176" i="2"/>
  <c r="W176" i="2" s="1"/>
  <c r="T177" i="2"/>
  <c r="W177" i="2" s="1"/>
  <c r="T178" i="2"/>
  <c r="W178" i="2" s="1"/>
  <c r="T179" i="2"/>
  <c r="W179" i="2" s="1"/>
  <c r="T180" i="2"/>
  <c r="W180" i="2" s="1"/>
  <c r="T181" i="2"/>
  <c r="W181" i="2" s="1"/>
  <c r="T182" i="2"/>
  <c r="W182" i="2" s="1"/>
  <c r="T183" i="2"/>
  <c r="W183" i="2" s="1"/>
  <c r="T184" i="2"/>
  <c r="W184" i="2" s="1"/>
  <c r="T186" i="2"/>
  <c r="W186" i="2" s="1"/>
  <c r="T187" i="2"/>
  <c r="W187" i="2" s="1"/>
  <c r="T189" i="2"/>
  <c r="W189" i="2" s="1"/>
  <c r="T190" i="2"/>
  <c r="W190" i="2" s="1"/>
  <c r="T191" i="2"/>
  <c r="W191" i="2" s="1"/>
  <c r="T192" i="2"/>
  <c r="W192" i="2" s="1"/>
  <c r="T193" i="2"/>
  <c r="W193" i="2" s="1"/>
  <c r="T194" i="2"/>
  <c r="W194" i="2" s="1"/>
  <c r="T195" i="2"/>
  <c r="W195" i="2" s="1"/>
  <c r="T196" i="2"/>
  <c r="W196" i="2" s="1"/>
  <c r="T197" i="2"/>
  <c r="W197" i="2" s="1"/>
  <c r="T199" i="2"/>
  <c r="W199" i="2" s="1"/>
  <c r="T200" i="2"/>
  <c r="W200" i="2" s="1"/>
  <c r="T201" i="2"/>
  <c r="W201" i="2" s="1"/>
  <c r="T202" i="2"/>
  <c r="T204" i="2"/>
  <c r="W204" i="2" s="1"/>
  <c r="T205" i="2"/>
  <c r="W205" i="2" s="1"/>
  <c r="T206" i="2"/>
  <c r="T207" i="2"/>
  <c r="W207" i="2" s="1"/>
  <c r="T208" i="2"/>
  <c r="W208" i="2" s="1"/>
  <c r="T209" i="2"/>
  <c r="W209" i="2" s="1"/>
  <c r="T210" i="2"/>
  <c r="T212" i="2"/>
  <c r="W212" i="2" s="1"/>
  <c r="T213" i="2"/>
  <c r="W213" i="2" s="1"/>
  <c r="T214" i="2"/>
  <c r="T216" i="2"/>
  <c r="W216" i="2" s="1"/>
  <c r="T218" i="2"/>
  <c r="W218" i="2" s="1"/>
  <c r="T219" i="2"/>
  <c r="W219" i="2" s="1"/>
  <c r="T220" i="2"/>
  <c r="W220" i="2" s="1"/>
  <c r="T221" i="2"/>
  <c r="W221" i="2" s="1"/>
  <c r="T222" i="2"/>
  <c r="W222" i="2" s="1"/>
  <c r="T223" i="2"/>
  <c r="W223" i="2" s="1"/>
  <c r="T224" i="2"/>
  <c r="W224" i="2" s="1"/>
  <c r="T225" i="2"/>
  <c r="W225" i="2" s="1"/>
  <c r="T226" i="2"/>
  <c r="W226" i="2" s="1"/>
  <c r="T227" i="2"/>
  <c r="W227" i="2" s="1"/>
  <c r="T228" i="2"/>
  <c r="W228" i="2" s="1"/>
  <c r="T230" i="2"/>
  <c r="W230" i="2" s="1"/>
  <c r="T231" i="2"/>
  <c r="T233" i="2"/>
  <c r="W233" i="2" s="1"/>
  <c r="T234" i="2"/>
  <c r="W234" i="2" s="1"/>
  <c r="T235" i="2"/>
  <c r="T236" i="2"/>
  <c r="W236" i="2" s="1"/>
  <c r="T237" i="2"/>
  <c r="W237" i="2" s="1"/>
  <c r="T239" i="2"/>
  <c r="T240" i="2"/>
  <c r="W240" i="2" s="1"/>
  <c r="T241" i="2"/>
  <c r="W241" i="2" s="1"/>
  <c r="T124" i="2"/>
  <c r="W124" i="2" s="1"/>
  <c r="T123" i="2"/>
  <c r="T122" i="2"/>
  <c r="W122" i="2" s="1"/>
  <c r="T120" i="2"/>
  <c r="W120" i="2" s="1"/>
  <c r="T121" i="2"/>
  <c r="W121" i="2" s="1"/>
  <c r="T118" i="2"/>
  <c r="T117" i="2"/>
  <c r="T109" i="2"/>
  <c r="T107" i="2"/>
  <c r="W107" i="2" s="1"/>
  <c r="T106" i="2"/>
  <c r="T97" i="2"/>
  <c r="T94" i="2"/>
  <c r="T96" i="2"/>
  <c r="T93" i="2"/>
  <c r="W93" i="2" s="1"/>
  <c r="T95" i="2"/>
  <c r="T92" i="2"/>
  <c r="W92" i="2" s="1"/>
  <c r="T88" i="2"/>
  <c r="W88" i="2" s="1"/>
  <c r="T83" i="2"/>
  <c r="T80" i="2"/>
  <c r="W80" i="2"/>
  <c r="T76" i="2"/>
  <c r="T72" i="2"/>
  <c r="W72" i="2" s="1"/>
  <c r="T73" i="2"/>
  <c r="T71" i="2"/>
  <c r="W71" i="2" s="1"/>
  <c r="T64" i="2"/>
  <c r="W64" i="2" s="1"/>
  <c r="T63" i="2"/>
  <c r="T61" i="2"/>
  <c r="T57" i="2"/>
  <c r="W57" i="2" s="1"/>
  <c r="T56" i="2"/>
  <c r="T46" i="2"/>
  <c r="T45" i="2"/>
  <c r="T44" i="2"/>
  <c r="W44" i="2" s="1"/>
  <c r="T34" i="2"/>
  <c r="W34" i="2" s="1"/>
  <c r="T32" i="2"/>
  <c r="T31" i="2"/>
  <c r="T30" i="2"/>
  <c r="T28" i="2"/>
  <c r="T26" i="2"/>
  <c r="T25" i="2"/>
  <c r="W25" i="2" s="1"/>
  <c r="T23" i="2"/>
  <c r="W23" i="2" s="1"/>
  <c r="T17" i="2"/>
  <c r="T16" i="2"/>
  <c r="T14" i="2"/>
  <c r="T13" i="2"/>
  <c r="W13" i="2" s="1"/>
  <c r="T8" i="2"/>
  <c r="T7" i="2"/>
  <c r="T6" i="2"/>
  <c r="T5" i="2"/>
  <c r="T2" i="2"/>
  <c r="V121" i="2"/>
  <c r="U121" i="2"/>
  <c r="S121" i="2"/>
  <c r="V120" i="2"/>
  <c r="U120" i="2"/>
  <c r="S120" i="2"/>
  <c r="V119" i="2"/>
  <c r="U119" i="2"/>
  <c r="T119" i="2"/>
  <c r="W119" i="2" s="1"/>
  <c r="S119" i="2"/>
  <c r="V118" i="2"/>
  <c r="U118" i="2"/>
  <c r="W118" i="2"/>
  <c r="S118" i="2"/>
  <c r="V117" i="2"/>
  <c r="U117" i="2"/>
  <c r="W117" i="2"/>
  <c r="S117" i="2"/>
  <c r="W116" i="2"/>
  <c r="V116" i="2"/>
  <c r="U116" i="2"/>
  <c r="T116" i="2"/>
  <c r="S116" i="2"/>
  <c r="V115" i="2"/>
  <c r="U115" i="2"/>
  <c r="T115" i="2"/>
  <c r="W115" i="2" s="1"/>
  <c r="S115" i="2"/>
  <c r="V114" i="2"/>
  <c r="U114" i="2"/>
  <c r="T114" i="2"/>
  <c r="W114" i="2" s="1"/>
  <c r="S114" i="2"/>
  <c r="V113" i="2"/>
  <c r="U113" i="2"/>
  <c r="T113" i="2"/>
  <c r="W113" i="2" s="1"/>
  <c r="S113" i="2"/>
  <c r="V112" i="2"/>
  <c r="U112" i="2"/>
  <c r="T112" i="2"/>
  <c r="W112" i="2" s="1"/>
  <c r="S112" i="2"/>
  <c r="V111" i="2"/>
  <c r="U111" i="2"/>
  <c r="T111" i="2"/>
  <c r="W111" i="2" s="1"/>
  <c r="S111" i="2"/>
  <c r="V110" i="2"/>
  <c r="U110" i="2"/>
  <c r="T110" i="2"/>
  <c r="W110" i="2" s="1"/>
  <c r="S110" i="2"/>
  <c r="V109" i="2"/>
  <c r="U109" i="2"/>
  <c r="W109" i="2"/>
  <c r="S109" i="2"/>
  <c r="V108" i="2"/>
  <c r="U108" i="2"/>
  <c r="T108" i="2"/>
  <c r="W108" i="2" s="1"/>
  <c r="S108" i="2"/>
  <c r="V107" i="2"/>
  <c r="U107" i="2"/>
  <c r="S107" i="2"/>
  <c r="V106" i="2"/>
  <c r="U106" i="2"/>
  <c r="W106" i="2"/>
  <c r="S106" i="2"/>
  <c r="V105" i="2"/>
  <c r="U105" i="2"/>
  <c r="T105" i="2"/>
  <c r="W105" i="2" s="1"/>
  <c r="S105" i="2"/>
  <c r="V104" i="2"/>
  <c r="U104" i="2"/>
  <c r="T104" i="2"/>
  <c r="W104" i="2" s="1"/>
  <c r="S104" i="2"/>
  <c r="V103" i="2"/>
  <c r="U103" i="2"/>
  <c r="T103" i="2"/>
  <c r="W103" i="2" s="1"/>
  <c r="S103" i="2"/>
  <c r="V102" i="2"/>
  <c r="U102" i="2"/>
  <c r="T102" i="2"/>
  <c r="W102" i="2" s="1"/>
  <c r="S102" i="2"/>
  <c r="V101" i="2"/>
  <c r="U101" i="2"/>
  <c r="T101" i="2"/>
  <c r="W101" i="2" s="1"/>
  <c r="S101" i="2"/>
  <c r="W100" i="2"/>
  <c r="V100" i="2"/>
  <c r="U100" i="2"/>
  <c r="T100" i="2"/>
  <c r="S100" i="2"/>
  <c r="V99" i="2"/>
  <c r="U99" i="2"/>
  <c r="T99" i="2"/>
  <c r="W99" i="2" s="1"/>
  <c r="S99" i="2"/>
  <c r="V98" i="2"/>
  <c r="U98" i="2"/>
  <c r="T98" i="2"/>
  <c r="W98" i="2" s="1"/>
  <c r="S98" i="2"/>
  <c r="V97" i="2"/>
  <c r="U97" i="2"/>
  <c r="W97" i="2"/>
  <c r="S97" i="2"/>
  <c r="W96" i="2"/>
  <c r="V96" i="2"/>
  <c r="U96" i="2"/>
  <c r="S96" i="2"/>
  <c r="V95" i="2"/>
  <c r="U95" i="2"/>
  <c r="W95" i="2"/>
  <c r="S95" i="2"/>
  <c r="W94" i="2"/>
  <c r="V94" i="2"/>
  <c r="U94" i="2"/>
  <c r="S94" i="2"/>
  <c r="V93" i="2"/>
  <c r="U93" i="2"/>
  <c r="S93" i="2"/>
  <c r="V92" i="2"/>
  <c r="U92" i="2"/>
  <c r="S92" i="2"/>
  <c r="V91" i="2"/>
  <c r="U91" i="2"/>
  <c r="T91" i="2"/>
  <c r="W91" i="2" s="1"/>
  <c r="S91" i="2"/>
  <c r="V90" i="2"/>
  <c r="U90" i="2"/>
  <c r="T90" i="2"/>
  <c r="W90" i="2" s="1"/>
  <c r="S90" i="2"/>
  <c r="V89" i="2"/>
  <c r="U89" i="2"/>
  <c r="T89" i="2"/>
  <c r="W89" i="2" s="1"/>
  <c r="S89" i="2"/>
  <c r="V88" i="2"/>
  <c r="U88" i="2"/>
  <c r="S88" i="2"/>
  <c r="V87" i="2"/>
  <c r="U87" i="2"/>
  <c r="T87" i="2"/>
  <c r="W87" i="2" s="1"/>
  <c r="S87" i="2"/>
  <c r="V86" i="2"/>
  <c r="U86" i="2"/>
  <c r="T86" i="2"/>
  <c r="W86" i="2" s="1"/>
  <c r="S86" i="2"/>
  <c r="V85" i="2"/>
  <c r="U85" i="2"/>
  <c r="T85" i="2"/>
  <c r="W85" i="2" s="1"/>
  <c r="S85" i="2"/>
  <c r="V84" i="2"/>
  <c r="U84" i="2"/>
  <c r="T84" i="2"/>
  <c r="W84" i="2" s="1"/>
  <c r="S84" i="2"/>
  <c r="V83" i="2"/>
  <c r="U83" i="2"/>
  <c r="S83" i="2"/>
  <c r="V82" i="2"/>
  <c r="U82" i="2"/>
  <c r="T82" i="2"/>
  <c r="W82" i="2" s="1"/>
  <c r="S82" i="2"/>
  <c r="V81" i="2"/>
  <c r="U81" i="2"/>
  <c r="T81" i="2"/>
  <c r="W81" i="2" s="1"/>
  <c r="S81" i="2"/>
  <c r="V80" i="2"/>
  <c r="U80" i="2"/>
  <c r="S80" i="2"/>
  <c r="V79" i="2"/>
  <c r="U79" i="2"/>
  <c r="T79" i="2"/>
  <c r="W79" i="2" s="1"/>
  <c r="S79" i="2"/>
  <c r="V78" i="2"/>
  <c r="U78" i="2"/>
  <c r="T78" i="2"/>
  <c r="W78" i="2" s="1"/>
  <c r="S78" i="2"/>
  <c r="V77" i="2"/>
  <c r="U77" i="2"/>
  <c r="T77" i="2"/>
  <c r="W77" i="2" s="1"/>
  <c r="S77" i="2"/>
  <c r="V76" i="2"/>
  <c r="U76" i="2"/>
  <c r="W76" i="2"/>
  <c r="S76" i="2"/>
  <c r="V75" i="2"/>
  <c r="U75" i="2"/>
  <c r="T75" i="2"/>
  <c r="W75" i="2" s="1"/>
  <c r="S75" i="2"/>
  <c r="W74" i="2"/>
  <c r="V74" i="2"/>
  <c r="U74" i="2"/>
  <c r="T74" i="2"/>
  <c r="S74" i="2"/>
  <c r="V73" i="2"/>
  <c r="U73" i="2"/>
  <c r="S73" i="2"/>
  <c r="V72" i="2"/>
  <c r="U72" i="2"/>
  <c r="S72" i="2"/>
  <c r="V71" i="2"/>
  <c r="U71" i="2"/>
  <c r="S71" i="2"/>
  <c r="V70" i="2"/>
  <c r="U70" i="2"/>
  <c r="T70" i="2"/>
  <c r="W70" i="2" s="1"/>
  <c r="S70" i="2"/>
  <c r="V69" i="2"/>
  <c r="U69" i="2"/>
  <c r="T69" i="2"/>
  <c r="W69" i="2" s="1"/>
  <c r="S69" i="2"/>
  <c r="V68" i="2"/>
  <c r="U68" i="2"/>
  <c r="T68" i="2"/>
  <c r="W68" i="2" s="1"/>
  <c r="S68" i="2"/>
  <c r="V67" i="2"/>
  <c r="U67" i="2"/>
  <c r="T67" i="2"/>
  <c r="W67" i="2" s="1"/>
  <c r="S67" i="2"/>
  <c r="V66" i="2"/>
  <c r="U66" i="2"/>
  <c r="T66" i="2"/>
  <c r="W66" i="2" s="1"/>
  <c r="S66" i="2"/>
  <c r="V65" i="2"/>
  <c r="U65" i="2"/>
  <c r="T65" i="2"/>
  <c r="W65" i="2" s="1"/>
  <c r="S65" i="2"/>
  <c r="V64" i="2"/>
  <c r="U64" i="2"/>
  <c r="S64" i="2"/>
  <c r="V63" i="2"/>
  <c r="U63" i="2"/>
  <c r="W63" i="2"/>
  <c r="S63" i="2"/>
  <c r="V62" i="2"/>
  <c r="U62" i="2"/>
  <c r="T62" i="2"/>
  <c r="W62" i="2" s="1"/>
  <c r="S62" i="2"/>
  <c r="V61" i="2"/>
  <c r="U61" i="2"/>
  <c r="W61" i="2"/>
  <c r="S61" i="2"/>
  <c r="V60" i="2"/>
  <c r="U60" i="2"/>
  <c r="T60" i="2"/>
  <c r="W60" i="2" s="1"/>
  <c r="S60" i="2"/>
  <c r="V59" i="2"/>
  <c r="U59" i="2"/>
  <c r="T59" i="2"/>
  <c r="W59" i="2" s="1"/>
  <c r="S59" i="2"/>
  <c r="V58" i="2"/>
  <c r="U58" i="2"/>
  <c r="T58" i="2"/>
  <c r="W58" i="2" s="1"/>
  <c r="S58" i="2"/>
  <c r="V57" i="2"/>
  <c r="U57" i="2"/>
  <c r="S57" i="2"/>
  <c r="W56" i="2"/>
  <c r="V56" i="2"/>
  <c r="U56" i="2"/>
  <c r="S56" i="2"/>
  <c r="V55" i="2"/>
  <c r="U55" i="2"/>
  <c r="T55" i="2"/>
  <c r="W55" i="2" s="1"/>
  <c r="S55" i="2"/>
  <c r="W54" i="2"/>
  <c r="V54" i="2"/>
  <c r="U54" i="2"/>
  <c r="T54" i="2"/>
  <c r="S54" i="2"/>
  <c r="V53" i="2"/>
  <c r="U53" i="2"/>
  <c r="T53" i="2"/>
  <c r="W53" i="2" s="1"/>
  <c r="S53" i="2"/>
  <c r="W52" i="2"/>
  <c r="W51" i="2"/>
  <c r="W50" i="2"/>
  <c r="V49" i="2"/>
  <c r="U49" i="2"/>
  <c r="T49" i="2"/>
  <c r="W49" i="2" s="1"/>
  <c r="S49" i="2"/>
  <c r="W48" i="2"/>
  <c r="V48" i="2"/>
  <c r="U48" i="2"/>
  <c r="T48" i="2"/>
  <c r="S48" i="2"/>
  <c r="V47" i="2"/>
  <c r="U47" i="2"/>
  <c r="T47" i="2"/>
  <c r="W47" i="2" s="1"/>
  <c r="S47" i="2"/>
  <c r="W46" i="2"/>
  <c r="V46" i="2"/>
  <c r="U46" i="2"/>
  <c r="S46" i="2"/>
  <c r="V45" i="2"/>
  <c r="U45" i="2"/>
  <c r="W45" i="2"/>
  <c r="S45" i="2"/>
  <c r="V44" i="2"/>
  <c r="U44" i="2"/>
  <c r="S44" i="2"/>
  <c r="V43" i="2"/>
  <c r="U43" i="2"/>
  <c r="T43" i="2"/>
  <c r="W43" i="2" s="1"/>
  <c r="S43" i="2"/>
  <c r="V42" i="2"/>
  <c r="U42" i="2"/>
  <c r="T42" i="2"/>
  <c r="W42" i="2" s="1"/>
  <c r="S42" i="2"/>
  <c r="V41" i="2"/>
  <c r="U41" i="2"/>
  <c r="T41" i="2"/>
  <c r="W41" i="2" s="1"/>
  <c r="S41" i="2"/>
  <c r="V40" i="2"/>
  <c r="U40" i="2"/>
  <c r="T40" i="2"/>
  <c r="W40" i="2" s="1"/>
  <c r="S40" i="2"/>
  <c r="V39" i="2"/>
  <c r="U39" i="2"/>
  <c r="T39" i="2"/>
  <c r="W39" i="2" s="1"/>
  <c r="S39" i="2"/>
  <c r="V38" i="2"/>
  <c r="U38" i="2"/>
  <c r="T38" i="2"/>
  <c r="W38" i="2" s="1"/>
  <c r="S38" i="2"/>
  <c r="V37" i="2"/>
  <c r="U37" i="2"/>
  <c r="T37" i="2"/>
  <c r="W37" i="2" s="1"/>
  <c r="S37" i="2"/>
  <c r="W36" i="2"/>
  <c r="V36" i="2"/>
  <c r="U36" i="2"/>
  <c r="T36" i="2"/>
  <c r="S36" i="2"/>
  <c r="V35" i="2"/>
  <c r="U35" i="2"/>
  <c r="T35" i="2"/>
  <c r="W35" i="2" s="1"/>
  <c r="S35" i="2"/>
  <c r="V34" i="2"/>
  <c r="U34" i="2"/>
  <c r="S34" i="2"/>
  <c r="V33" i="2"/>
  <c r="U33" i="2"/>
  <c r="T33" i="2"/>
  <c r="W33" i="2" s="1"/>
  <c r="S33" i="2"/>
  <c r="W32" i="2"/>
  <c r="V32" i="2"/>
  <c r="U32" i="2"/>
  <c r="S32" i="2"/>
  <c r="V31" i="2"/>
  <c r="U31" i="2"/>
  <c r="W31" i="2"/>
  <c r="S31" i="2"/>
  <c r="W30" i="2"/>
  <c r="V30" i="2"/>
  <c r="U30" i="2"/>
  <c r="S30" i="2"/>
  <c r="V29" i="2"/>
  <c r="U29" i="2"/>
  <c r="T29" i="2"/>
  <c r="W29" i="2" s="1"/>
  <c r="S29" i="2"/>
  <c r="W28" i="2"/>
  <c r="V28" i="2"/>
  <c r="U28" i="2"/>
  <c r="S28" i="2"/>
  <c r="V27" i="2"/>
  <c r="U27" i="2"/>
  <c r="T27" i="2"/>
  <c r="W27" i="2" s="1"/>
  <c r="S27" i="2"/>
  <c r="W26" i="2"/>
  <c r="V26" i="2"/>
  <c r="U26" i="2"/>
  <c r="S26" i="2"/>
  <c r="V25" i="2"/>
  <c r="U25" i="2"/>
  <c r="S25" i="2"/>
  <c r="V24" i="2"/>
  <c r="U24" i="2"/>
  <c r="T24" i="2"/>
  <c r="W24" i="2" s="1"/>
  <c r="S24" i="2"/>
  <c r="V23" i="2"/>
  <c r="U23" i="2"/>
  <c r="S23" i="2"/>
  <c r="W22" i="2"/>
  <c r="V22" i="2"/>
  <c r="U22" i="2"/>
  <c r="W21" i="2"/>
  <c r="W20" i="2"/>
  <c r="T19" i="2"/>
  <c r="W19" i="2" s="1"/>
  <c r="S19" i="2"/>
  <c r="V18" i="2"/>
  <c r="U18" i="2"/>
  <c r="T18" i="2"/>
  <c r="W18" i="2" s="1"/>
  <c r="S18" i="2"/>
  <c r="V17" i="2"/>
  <c r="U17" i="2"/>
  <c r="W17" i="2"/>
  <c r="S17" i="2"/>
  <c r="W16" i="2"/>
  <c r="V16" i="2"/>
  <c r="U16" i="2"/>
  <c r="S16" i="2"/>
  <c r="V15" i="2"/>
  <c r="U15" i="2"/>
  <c r="T15" i="2"/>
  <c r="W15" i="2" s="1"/>
  <c r="S15" i="2"/>
  <c r="W14" i="2"/>
  <c r="V14" i="2"/>
  <c r="U14" i="2"/>
  <c r="S14" i="2"/>
  <c r="V13" i="2"/>
  <c r="U13" i="2"/>
  <c r="S13" i="2"/>
  <c r="V12" i="2"/>
  <c r="U12" i="2"/>
  <c r="T12" i="2"/>
  <c r="W12" i="2" s="1"/>
  <c r="S12" i="2"/>
  <c r="V11" i="2"/>
  <c r="U11" i="2"/>
  <c r="T11" i="2"/>
  <c r="W11" i="2" s="1"/>
  <c r="S11" i="2"/>
  <c r="V10" i="2"/>
  <c r="U10" i="2"/>
  <c r="T10" i="2"/>
  <c r="W10" i="2" s="1"/>
  <c r="S10" i="2"/>
  <c r="V9" i="2"/>
  <c r="U9" i="2"/>
  <c r="T9" i="2"/>
  <c r="W9" i="2" s="1"/>
  <c r="S9" i="2"/>
  <c r="W8" i="2"/>
  <c r="V8" i="2"/>
  <c r="U8" i="2"/>
  <c r="S8" i="2"/>
  <c r="V7" i="2"/>
  <c r="U7" i="2"/>
  <c r="S7" i="2"/>
  <c r="V6" i="2"/>
  <c r="U6" i="2"/>
  <c r="S6" i="2"/>
  <c r="V5" i="2"/>
  <c r="U5" i="2"/>
  <c r="S5" i="2"/>
  <c r="V4" i="2"/>
  <c r="U4" i="2"/>
  <c r="T4" i="2"/>
  <c r="W4" i="2" s="1"/>
  <c r="S4" i="2"/>
  <c r="V3" i="2"/>
  <c r="U3" i="2"/>
  <c r="T3" i="2"/>
  <c r="W3" i="2" s="1"/>
  <c r="S3" i="2"/>
  <c r="W2" i="2"/>
  <c r="V2" i="2"/>
  <c r="U2" i="2"/>
  <c r="S2" i="2"/>
  <c r="W4" i="1"/>
  <c r="W11" i="1"/>
  <c r="W15" i="1"/>
  <c r="W19" i="1"/>
  <c r="W23" i="1"/>
  <c r="W27" i="1"/>
  <c r="W31" i="1"/>
  <c r="W35" i="1"/>
  <c r="W39" i="1"/>
  <c r="W43" i="1"/>
  <c r="W47" i="1"/>
  <c r="W51" i="1"/>
  <c r="W55" i="1"/>
  <c r="W63" i="1"/>
  <c r="W67" i="1"/>
  <c r="W72" i="1"/>
  <c r="W77" i="1"/>
  <c r="W90" i="1"/>
  <c r="W94" i="1"/>
  <c r="W98" i="1"/>
  <c r="W102" i="1"/>
  <c r="W106" i="1"/>
  <c r="W118" i="1"/>
  <c r="W2" i="1"/>
  <c r="T2" i="1"/>
  <c r="T122" i="1" s="1"/>
  <c r="T118" i="1"/>
  <c r="T109" i="1"/>
  <c r="W109" i="1" s="1"/>
  <c r="T107" i="1"/>
  <c r="W107" i="1" s="1"/>
  <c r="T106" i="1"/>
  <c r="T95" i="1"/>
  <c r="W95" i="1" s="1"/>
  <c r="T96" i="1"/>
  <c r="W96" i="1" s="1"/>
  <c r="T97" i="1"/>
  <c r="W97" i="1" s="1"/>
  <c r="T94" i="1"/>
  <c r="T93" i="1"/>
  <c r="W93" i="1" s="1"/>
  <c r="T92" i="1"/>
  <c r="W92" i="1" s="1"/>
  <c r="T91" i="1"/>
  <c r="W91" i="1" s="1"/>
  <c r="T90" i="1"/>
  <c r="T88" i="1"/>
  <c r="W88" i="1" s="1"/>
  <c r="T85" i="1"/>
  <c r="W85" i="1" s="1"/>
  <c r="T81" i="1"/>
  <c r="W81" i="1" s="1"/>
  <c r="T80" i="1"/>
  <c r="W80" i="1" s="1"/>
  <c r="T76" i="1"/>
  <c r="W76" i="1" s="1"/>
  <c r="W71" i="1"/>
  <c r="T70" i="1"/>
  <c r="W70" i="1" s="1"/>
  <c r="T64" i="1"/>
  <c r="W64" i="1" s="1"/>
  <c r="T61" i="1"/>
  <c r="W61" i="1" s="1"/>
  <c r="T58" i="1"/>
  <c r="W58" i="1" s="1"/>
  <c r="T57" i="1"/>
  <c r="W57" i="1" s="1"/>
  <c r="T56" i="1"/>
  <c r="W56" i="1" s="1"/>
  <c r="T46" i="1"/>
  <c r="W46" i="1" s="1"/>
  <c r="T45" i="1"/>
  <c r="W45" i="1" s="1"/>
  <c r="T44" i="1"/>
  <c r="W44" i="1" s="1"/>
  <c r="T43" i="1"/>
  <c r="T29" i="1"/>
  <c r="W29" i="1" s="1"/>
  <c r="T28" i="1"/>
  <c r="W28" i="1" s="1"/>
  <c r="T13" i="1"/>
  <c r="W13" i="1" s="1"/>
  <c r="T10" i="1"/>
  <c r="W10" i="1" s="1"/>
  <c r="T4" i="1"/>
  <c r="T3" i="1"/>
  <c r="W3" i="1" s="1"/>
  <c r="V3" i="1"/>
  <c r="V4"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2" i="1"/>
  <c r="U3" i="1"/>
  <c r="U4"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2" i="1"/>
  <c r="T8" i="1"/>
  <c r="W8" i="1" s="1"/>
  <c r="T9" i="1"/>
  <c r="W9" i="1" s="1"/>
  <c r="T11" i="1"/>
  <c r="T12" i="1"/>
  <c r="W12" i="1" s="1"/>
  <c r="T14" i="1"/>
  <c r="W14" i="1" s="1"/>
  <c r="T15" i="1"/>
  <c r="T16" i="1"/>
  <c r="W16" i="1" s="1"/>
  <c r="T17" i="1"/>
  <c r="W17" i="1" s="1"/>
  <c r="T18" i="1"/>
  <c r="W18" i="1" s="1"/>
  <c r="T19" i="1"/>
  <c r="T20" i="1"/>
  <c r="W20" i="1" s="1"/>
  <c r="T21" i="1"/>
  <c r="W21" i="1" s="1"/>
  <c r="T22" i="1"/>
  <c r="W22" i="1" s="1"/>
  <c r="T23" i="1"/>
  <c r="T24" i="1"/>
  <c r="W24" i="1" s="1"/>
  <c r="T25" i="1"/>
  <c r="W25" i="1" s="1"/>
  <c r="T26" i="1"/>
  <c r="W26" i="1" s="1"/>
  <c r="T27" i="1"/>
  <c r="T30" i="1"/>
  <c r="W30" i="1" s="1"/>
  <c r="T31" i="1"/>
  <c r="T32" i="1"/>
  <c r="W32" i="1" s="1"/>
  <c r="T33" i="1"/>
  <c r="W33" i="1" s="1"/>
  <c r="T34" i="1"/>
  <c r="W34" i="1" s="1"/>
  <c r="T35" i="1"/>
  <c r="T36" i="1"/>
  <c r="W36" i="1" s="1"/>
  <c r="T37" i="1"/>
  <c r="W37" i="1" s="1"/>
  <c r="T38" i="1"/>
  <c r="W38" i="1" s="1"/>
  <c r="T39" i="1"/>
  <c r="T40" i="1"/>
  <c r="W40" i="1" s="1"/>
  <c r="T41" i="1"/>
  <c r="W41" i="1" s="1"/>
  <c r="T42" i="1"/>
  <c r="W42" i="1" s="1"/>
  <c r="T47" i="1"/>
  <c r="T48" i="1"/>
  <c r="W48" i="1" s="1"/>
  <c r="T49" i="1"/>
  <c r="W49" i="1" s="1"/>
  <c r="T50" i="1"/>
  <c r="W50" i="1" s="1"/>
  <c r="T51" i="1"/>
  <c r="T52" i="1"/>
  <c r="W52" i="1" s="1"/>
  <c r="T53" i="1"/>
  <c r="W53" i="1" s="1"/>
  <c r="T54" i="1"/>
  <c r="W54" i="1" s="1"/>
  <c r="T55" i="1"/>
  <c r="T59" i="1"/>
  <c r="W59" i="1" s="1"/>
  <c r="T60" i="1"/>
  <c r="W60" i="1" s="1"/>
  <c r="T62" i="1"/>
  <c r="W62" i="1" s="1"/>
  <c r="T63" i="1"/>
  <c r="T65" i="1"/>
  <c r="W65" i="1" s="1"/>
  <c r="T66" i="1"/>
  <c r="W66" i="1" s="1"/>
  <c r="T67" i="1"/>
  <c r="T68" i="1"/>
  <c r="W68" i="1" s="1"/>
  <c r="T69" i="1"/>
  <c r="W69" i="1" s="1"/>
  <c r="T74" i="1"/>
  <c r="W74" i="1" s="1"/>
  <c r="T75" i="1"/>
  <c r="W75" i="1" s="1"/>
  <c r="T77" i="1"/>
  <c r="T78" i="1"/>
  <c r="W78" i="1" s="1"/>
  <c r="T79" i="1"/>
  <c r="W79" i="1" s="1"/>
  <c r="T82" i="1"/>
  <c r="W82" i="1" s="1"/>
  <c r="T84" i="1"/>
  <c r="W84" i="1" s="1"/>
  <c r="T86" i="1"/>
  <c r="W86" i="1" s="1"/>
  <c r="T87" i="1"/>
  <c r="W87" i="1" s="1"/>
  <c r="T89" i="1"/>
  <c r="W89" i="1" s="1"/>
  <c r="T98" i="1"/>
  <c r="T99" i="1"/>
  <c r="W99" i="1" s="1"/>
  <c r="T100" i="1"/>
  <c r="W100" i="1" s="1"/>
  <c r="T101" i="1"/>
  <c r="W101" i="1" s="1"/>
  <c r="T102" i="1"/>
  <c r="T103" i="1"/>
  <c r="W103" i="1" s="1"/>
  <c r="T104" i="1"/>
  <c r="W104" i="1" s="1"/>
  <c r="T105" i="1"/>
  <c r="W105" i="1" s="1"/>
  <c r="T108" i="1"/>
  <c r="W108" i="1" s="1"/>
  <c r="T110" i="1"/>
  <c r="W110" i="1" s="1"/>
  <c r="T111" i="1"/>
  <c r="W111" i="1" s="1"/>
  <c r="T112" i="1"/>
  <c r="W112" i="1" s="1"/>
  <c r="T113" i="1"/>
  <c r="W113" i="1" s="1"/>
  <c r="T114" i="1"/>
  <c r="W114" i="1" s="1"/>
  <c r="T115" i="1"/>
  <c r="W115" i="1" s="1"/>
  <c r="T116" i="1"/>
  <c r="W116" i="1" s="1"/>
  <c r="T117" i="1"/>
  <c r="W117" i="1" s="1"/>
  <c r="T119" i="1"/>
  <c r="W119" i="1" s="1"/>
  <c r="T120" i="1"/>
  <c r="W120" i="1" s="1"/>
  <c r="T121" i="1"/>
  <c r="W121" i="1" s="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4" i="1"/>
  <c r="S3" i="1"/>
  <c r="S2" i="1"/>
  <c r="O2" i="9"/>
  <c r="N2" i="9"/>
  <c r="M2" i="9"/>
  <c r="L2" i="9"/>
  <c r="K2" i="9"/>
  <c r="J2" i="9"/>
  <c r="I2" i="9"/>
  <c r="H2" i="9"/>
  <c r="G2" i="9"/>
  <c r="F2" i="9"/>
  <c r="E2" i="9"/>
  <c r="D2" i="9"/>
  <c r="C2" i="9"/>
  <c r="B2" i="9"/>
  <c r="A2" i="9"/>
  <c r="AJ13" i="8"/>
  <c r="AI13" i="8"/>
  <c r="AH13" i="8"/>
  <c r="AG13" i="8"/>
  <c r="AF13" i="8"/>
  <c r="AG11" i="8"/>
  <c r="AE10" i="8"/>
  <c r="AJ11" i="8" s="1"/>
  <c r="N10" i="7"/>
  <c r="L8" i="7"/>
  <c r="O8" i="7" s="1"/>
  <c r="K5" i="7"/>
  <c r="K4" i="7"/>
  <c r="K3" i="7"/>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B12" i="5"/>
  <c r="B1" i="5"/>
  <c r="DQ12" i="4"/>
  <c r="DP12" i="4"/>
  <c r="DO12" i="4"/>
  <c r="DN12" i="4"/>
  <c r="DM12" i="4"/>
  <c r="DL12" i="4"/>
  <c r="DK12" i="4"/>
  <c r="DJ12" i="4"/>
  <c r="DI12" i="4"/>
  <c r="DH12" i="4"/>
  <c r="DG12" i="4"/>
  <c r="DF12" i="4"/>
  <c r="DE12" i="4"/>
  <c r="DD12" i="4"/>
  <c r="DC12" i="4"/>
  <c r="DB12" i="4"/>
  <c r="DA12" i="4"/>
  <c r="CZ12" i="4"/>
  <c r="CY12" i="4"/>
  <c r="CX12" i="4"/>
  <c r="CW12" i="4"/>
  <c r="CV12" i="4"/>
  <c r="CU12" i="4"/>
  <c r="CT12" i="4"/>
  <c r="CS12" i="4"/>
  <c r="CR12" i="4"/>
  <c r="CQ12" i="4"/>
  <c r="CP12"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B1" i="4"/>
  <c r="DU12" i="3"/>
  <c r="DT12" i="3"/>
  <c r="DS12"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S12" i="3"/>
  <c r="R12" i="3"/>
  <c r="Q12" i="3"/>
  <c r="P12" i="3"/>
  <c r="O12" i="3"/>
  <c r="N12" i="3"/>
  <c r="M12" i="3"/>
  <c r="L12" i="3"/>
  <c r="K12" i="3"/>
  <c r="J12" i="3"/>
  <c r="I12" i="3"/>
  <c r="H12" i="3"/>
  <c r="G12" i="3"/>
  <c r="F12" i="3"/>
  <c r="E12" i="3"/>
  <c r="D12" i="3"/>
  <c r="C12" i="3"/>
  <c r="B12" i="3"/>
  <c r="B1" i="3"/>
  <c r="M82" i="1"/>
  <c r="M52" i="1"/>
  <c r="M51" i="1"/>
  <c r="M50" i="1"/>
  <c r="M49" i="1"/>
  <c r="M48" i="1"/>
  <c r="M47" i="1"/>
  <c r="O7" i="7" l="1"/>
  <c r="W122" i="1"/>
  <c r="O9" i="7"/>
  <c r="AH11" i="8"/>
  <c r="T242" i="2"/>
  <c r="W215" i="2"/>
  <c r="W242" i="2" s="1"/>
  <c r="AI11" i="8"/>
  <c r="AF11" i="8"/>
  <c r="E40" i="9"/>
  <c r="CZ3" i="5"/>
  <c r="DA6" i="5"/>
  <c r="D37" i="9"/>
  <c r="B37" i="9"/>
  <c r="AX3" i="5"/>
  <c r="M35" i="9"/>
  <c r="DQ5" i="5"/>
  <c r="N35" i="9"/>
  <c r="DQ7" i="4"/>
  <c r="C10" i="9"/>
  <c r="CO5" i="5"/>
  <c r="I37" i="9"/>
  <c r="BY4" i="5"/>
  <c r="M26" i="9"/>
  <c r="CM6" i="3"/>
  <c r="N2" i="5"/>
  <c r="CU3" i="4"/>
  <c r="L15" i="9"/>
  <c r="G24" i="9"/>
  <c r="N36" i="9"/>
  <c r="CS6" i="5"/>
  <c r="CN5" i="5"/>
  <c r="M6" i="5"/>
  <c r="AV5" i="4"/>
  <c r="G19" i="9"/>
  <c r="DD1" i="5"/>
  <c r="CQ4" i="4"/>
  <c r="AO7" i="5"/>
  <c r="N17" i="9"/>
  <c r="O15" i="9"/>
  <c r="AB2" i="4"/>
  <c r="F33" i="9"/>
  <c r="G15" i="9"/>
  <c r="X7" i="5"/>
  <c r="CZ5" i="5"/>
  <c r="DH3" i="5"/>
  <c r="A41" i="9"/>
  <c r="O11" i="9"/>
  <c r="O7" i="5"/>
  <c r="E18" i="9"/>
  <c r="K2" i="5"/>
  <c r="F17" i="9"/>
  <c r="BS1" i="5"/>
  <c r="M10" i="9"/>
  <c r="J13" i="9"/>
  <c r="Q7" i="4"/>
  <c r="E38" i="9"/>
  <c r="Z1" i="5"/>
  <c r="G14" i="9"/>
  <c r="H6" i="5"/>
  <c r="G40" i="9"/>
  <c r="BI4" i="5"/>
  <c r="CU7" i="3"/>
  <c r="E39" i="9"/>
  <c r="AB5" i="4"/>
  <c r="AU3" i="5"/>
  <c r="O35" i="9"/>
  <c r="A14" i="9"/>
  <c r="B31" i="9"/>
  <c r="H25" i="9"/>
  <c r="L6" i="5"/>
  <c r="BW3" i="4"/>
  <c r="DI6" i="4"/>
  <c r="N26" i="9"/>
  <c r="M31" i="9"/>
  <c r="AT6" i="5"/>
  <c r="E17" i="9"/>
  <c r="B13" i="9"/>
  <c r="F21" i="9"/>
  <c r="B41" i="9"/>
  <c r="A15" i="9"/>
  <c r="CU4" i="5"/>
  <c r="L22" i="9"/>
  <c r="AD4" i="3"/>
  <c r="CL2" i="5"/>
  <c r="DL3" i="5"/>
  <c r="BS6" i="5"/>
  <c r="H33" i="9"/>
  <c r="O6" i="9"/>
  <c r="I15" i="9"/>
  <c r="O26" i="9"/>
  <c r="M6" i="4"/>
  <c r="J8" i="9"/>
  <c r="G5" i="9"/>
  <c r="M33" i="9"/>
  <c r="C39" i="9"/>
  <c r="CL3" i="5"/>
  <c r="T2" i="4"/>
  <c r="S7" i="5"/>
  <c r="DJ3" i="5"/>
  <c r="AC2" i="5"/>
  <c r="O10" i="9"/>
  <c r="DB5" i="3"/>
  <c r="C26" i="9"/>
  <c r="B20" i="9"/>
  <c r="CR6" i="5"/>
  <c r="O4" i="4"/>
  <c r="G36" i="9"/>
  <c r="M20" i="9"/>
  <c r="DN5" i="5"/>
  <c r="L3" i="9"/>
  <c r="BT6" i="5"/>
  <c r="L19" i="9"/>
  <c r="K15" i="9"/>
  <c r="F8" i="9"/>
  <c r="Y5" i="5"/>
  <c r="K40" i="9"/>
  <c r="F12" i="9"/>
  <c r="V4" i="5"/>
  <c r="E36" i="9"/>
  <c r="B9" i="9"/>
  <c r="CC1" i="4"/>
  <c r="BD6" i="3"/>
  <c r="DK1" i="5"/>
  <c r="CJ2" i="4"/>
  <c r="J11" i="9"/>
  <c r="G9" i="9"/>
  <c r="AM1" i="5"/>
  <c r="BT2" i="5"/>
  <c r="AZ3" i="5"/>
  <c r="M32" i="9"/>
  <c r="V2" i="3"/>
  <c r="BG7" i="4"/>
  <c r="F20" i="9"/>
  <c r="AU5" i="5"/>
  <c r="E5" i="5"/>
  <c r="B30" i="9"/>
  <c r="L4" i="5"/>
  <c r="P5" i="4"/>
  <c r="E6" i="3"/>
  <c r="BE5" i="5"/>
  <c r="W3" i="4"/>
  <c r="W2" i="5"/>
  <c r="CB6" i="5"/>
  <c r="G1" i="5"/>
  <c r="O7" i="9"/>
  <c r="J5" i="5"/>
  <c r="AI3" i="4"/>
  <c r="G33" i="9"/>
  <c r="AL7" i="4"/>
  <c r="J29" i="9"/>
  <c r="M29" i="9"/>
  <c r="Z2" i="5"/>
  <c r="DC3" i="4"/>
  <c r="AO6" i="5"/>
  <c r="C12" i="9"/>
  <c r="AI2" i="5"/>
  <c r="DI5" i="4"/>
  <c r="AR3" i="5"/>
  <c r="G37" i="9"/>
  <c r="AE2" i="5"/>
  <c r="CA7" i="3"/>
  <c r="C15" i="9"/>
  <c r="AS4" i="5"/>
  <c r="M30" i="9"/>
  <c r="CE5" i="5"/>
  <c r="AG2" i="5"/>
  <c r="DI3" i="4"/>
  <c r="CO6" i="5"/>
  <c r="N19" i="9"/>
  <c r="AT7" i="4"/>
  <c r="L8" i="9"/>
  <c r="D27" i="9"/>
  <c r="AT2" i="5"/>
  <c r="B27" i="9"/>
  <c r="AF3" i="4"/>
  <c r="C7" i="9"/>
  <c r="F18" i="9"/>
  <c r="N33" i="9"/>
  <c r="BR7" i="4"/>
  <c r="J7" i="9"/>
  <c r="DE3" i="5"/>
  <c r="DN1" i="5"/>
  <c r="Y5" i="3"/>
  <c r="I17" i="9"/>
  <c r="AI2" i="4"/>
  <c r="M21" i="9"/>
  <c r="M41" i="9"/>
  <c r="AR4" i="5"/>
  <c r="Y2" i="3"/>
  <c r="AG7" i="5"/>
  <c r="AQ3" i="4"/>
  <c r="BI2" i="5"/>
  <c r="B33" i="9"/>
  <c r="DD4" i="5"/>
  <c r="B24" i="9"/>
  <c r="B17" i="9"/>
  <c r="E30" i="9"/>
  <c r="K12" i="9"/>
  <c r="BC7" i="4"/>
  <c r="D3" i="5"/>
  <c r="L31" i="9"/>
  <c r="CA2" i="4"/>
  <c r="F19" i="9"/>
  <c r="C33" i="9"/>
  <c r="M23" i="9"/>
  <c r="A3" i="9"/>
  <c r="CT3" i="5"/>
  <c r="I33" i="9"/>
  <c r="CB4" i="3"/>
  <c r="J17" i="9"/>
  <c r="D15" i="9"/>
  <c r="F41" i="9"/>
  <c r="H16" i="9"/>
  <c r="DF7" i="4"/>
  <c r="AZ6" i="5"/>
  <c r="I18" i="9"/>
  <c r="BG4" i="5"/>
  <c r="AT2" i="4"/>
  <c r="J16" i="9"/>
  <c r="D38" i="9"/>
  <c r="D17" i="9"/>
  <c r="N7" i="4"/>
  <c r="F6" i="9"/>
  <c r="L2" i="3"/>
  <c r="A6" i="9"/>
  <c r="DH6" i="5"/>
  <c r="R3" i="5"/>
  <c r="L28" i="9"/>
  <c r="G20" i="9"/>
  <c r="B26" i="9"/>
  <c r="N32" i="9"/>
  <c r="AB7" i="5"/>
  <c r="C34" i="9"/>
  <c r="CS3" i="4"/>
  <c r="K26" i="9"/>
  <c r="CI1" i="5"/>
  <c r="E33" i="9"/>
  <c r="CC4" i="5"/>
  <c r="AG5" i="5"/>
  <c r="U4" i="5"/>
  <c r="A16" i="9"/>
  <c r="BY6" i="4"/>
  <c r="L16" i="9"/>
  <c r="BT3" i="5"/>
  <c r="H27" i="9"/>
  <c r="CU1" i="5"/>
  <c r="M9" i="9"/>
  <c r="CN4" i="5"/>
  <c r="CR3" i="4"/>
  <c r="CB4" i="5"/>
  <c r="J37" i="9"/>
  <c r="E37" i="9"/>
  <c r="CB5" i="5"/>
  <c r="L5" i="9"/>
  <c r="BK4" i="5"/>
  <c r="CM3" i="4"/>
  <c r="CA4" i="4"/>
  <c r="U2" i="5"/>
  <c r="J36" i="9"/>
  <c r="BU7" i="4"/>
  <c r="B4" i="9"/>
  <c r="BZ2" i="4"/>
  <c r="L35" i="9"/>
  <c r="A5" i="9"/>
  <c r="BM4" i="5"/>
  <c r="D2" i="5"/>
  <c r="BO1" i="5"/>
  <c r="J40" i="9"/>
  <c r="CP3" i="5"/>
  <c r="N29" i="9"/>
  <c r="BR5" i="5"/>
  <c r="G4" i="9"/>
  <c r="K39" i="9"/>
  <c r="CX6" i="4"/>
  <c r="I8" i="9"/>
  <c r="K20" i="9"/>
  <c r="O18" i="9"/>
  <c r="E34" i="9"/>
  <c r="N4" i="4"/>
  <c r="DL6" i="4"/>
  <c r="B3" i="5"/>
  <c r="H29" i="9"/>
  <c r="AM7" i="5"/>
  <c r="DB6" i="5"/>
  <c r="C11" i="9"/>
  <c r="D25" i="9"/>
  <c r="S1" i="5"/>
  <c r="A24" i="9"/>
  <c r="CV1" i="5"/>
  <c r="BX3" i="4"/>
  <c r="DF6" i="5"/>
  <c r="AJ5" i="5"/>
  <c r="AO4" i="5"/>
  <c r="N4" i="5"/>
  <c r="CI4" i="3"/>
  <c r="H18" i="9"/>
  <c r="AJ3" i="5"/>
  <c r="K30" i="9"/>
  <c r="CZ1" i="5"/>
  <c r="BI4" i="4"/>
  <c r="O23" i="9"/>
  <c r="BL4" i="5"/>
  <c r="J14" i="9"/>
  <c r="E3" i="4"/>
  <c r="D11" i="9"/>
  <c r="N37" i="9"/>
  <c r="H35" i="9"/>
  <c r="N20" i="9"/>
  <c r="F25" i="9"/>
  <c r="BP5" i="5"/>
  <c r="X4" i="5"/>
  <c r="G16" i="9"/>
  <c r="CZ4" i="4"/>
  <c r="K28" i="9"/>
  <c r="E4" i="9"/>
  <c r="H11" i="9"/>
  <c r="B39" i="9"/>
  <c r="CL6" i="5"/>
  <c r="BC3" i="5"/>
  <c r="M38" i="9"/>
  <c r="BW2" i="5"/>
  <c r="BM6" i="5"/>
  <c r="I40" i="9"/>
  <c r="A4" i="9"/>
  <c r="A36" i="9"/>
  <c r="CF6" i="3"/>
  <c r="N7" i="3"/>
  <c r="H15" i="9"/>
  <c r="C27" i="9"/>
  <c r="X5" i="5"/>
  <c r="AW6" i="4"/>
  <c r="CO4" i="5"/>
  <c r="I20" i="9"/>
  <c r="I7" i="4"/>
  <c r="BN2" i="5"/>
  <c r="CE4" i="4"/>
  <c r="AJ6" i="3"/>
  <c r="AV3" i="4"/>
  <c r="AS5" i="5"/>
  <c r="N3" i="9"/>
  <c r="AH4" i="4"/>
  <c r="U6" i="5"/>
  <c r="F38" i="9"/>
  <c r="I23" i="9"/>
  <c r="Z3" i="4"/>
  <c r="DB7" i="4"/>
  <c r="BT5" i="5"/>
  <c r="B5" i="5"/>
  <c r="H9" i="9"/>
  <c r="C35" i="9"/>
  <c r="F14" i="9"/>
  <c r="DK6" i="5"/>
  <c r="O34" i="9"/>
  <c r="T7" i="3"/>
  <c r="K14" i="9"/>
  <c r="AR1" i="3"/>
  <c r="DG2" i="3"/>
  <c r="C20" i="9"/>
  <c r="D7" i="9"/>
  <c r="CQ1" i="5"/>
  <c r="AJ4" i="4"/>
  <c r="BP6" i="4"/>
  <c r="O32" i="9"/>
  <c r="H7" i="5"/>
  <c r="CQ6" i="4"/>
  <c r="G23" i="9"/>
  <c r="AI6" i="5"/>
  <c r="AN3" i="5"/>
  <c r="AK5" i="5"/>
  <c r="B5" i="9"/>
  <c r="H8" i="9"/>
  <c r="L27" i="9"/>
  <c r="AI7" i="4"/>
  <c r="BC4" i="5"/>
  <c r="J34" i="9"/>
  <c r="K34" i="9"/>
  <c r="DB5" i="4"/>
  <c r="V1" i="5"/>
  <c r="DE6" i="5"/>
  <c r="K5" i="3"/>
  <c r="BM6" i="4"/>
  <c r="K31" i="9"/>
  <c r="G3" i="5"/>
  <c r="P6" i="5"/>
  <c r="G22" i="9"/>
  <c r="C29" i="9"/>
  <c r="O40" i="9"/>
  <c r="C6" i="4"/>
  <c r="BN3" i="5"/>
  <c r="F16" i="9"/>
  <c r="Q1" i="5"/>
  <c r="DM6" i="4"/>
  <c r="DD7" i="4"/>
  <c r="DD2" i="5"/>
  <c r="BJ4" i="5"/>
  <c r="D41" i="9"/>
  <c r="DC4" i="4"/>
  <c r="I22" i="9"/>
  <c r="E22" i="9"/>
  <c r="M8" i="9"/>
  <c r="BE4" i="5"/>
  <c r="M17" i="9"/>
  <c r="AO3" i="4"/>
  <c r="I3" i="9"/>
  <c r="Y6" i="3"/>
  <c r="J6" i="5"/>
  <c r="BY1" i="4"/>
  <c r="CE4" i="5"/>
  <c r="CU2" i="5"/>
  <c r="BD2" i="4"/>
  <c r="D16" i="9"/>
  <c r="K4" i="4"/>
  <c r="BV3" i="5"/>
  <c r="Y3" i="4"/>
  <c r="CY4" i="3"/>
  <c r="BM5" i="4"/>
  <c r="DG6" i="4"/>
  <c r="H24" i="9"/>
  <c r="BG1" i="4"/>
  <c r="I7" i="9"/>
  <c r="DK2" i="4"/>
  <c r="AS3" i="5"/>
  <c r="DM1" i="5"/>
  <c r="L18" i="9"/>
  <c r="BU6" i="5"/>
  <c r="BC1" i="3"/>
  <c r="Y4" i="5"/>
  <c r="U1" i="4"/>
  <c r="R7" i="3"/>
  <c r="AA5" i="4"/>
  <c r="BC6" i="5"/>
  <c r="DM3" i="5"/>
  <c r="BZ3" i="5"/>
  <c r="CM6" i="5"/>
  <c r="J27" i="9"/>
  <c r="M22" i="9"/>
  <c r="AA5" i="3"/>
  <c r="G1" i="4"/>
  <c r="C3" i="5"/>
  <c r="AY4" i="4"/>
  <c r="E9" i="9"/>
  <c r="AF2" i="5"/>
  <c r="J15" i="9"/>
  <c r="BD3" i="5"/>
  <c r="M4" i="5"/>
  <c r="G35" i="9"/>
  <c r="B18" i="9"/>
  <c r="CS5" i="5"/>
  <c r="C7" i="5"/>
  <c r="BQ6" i="4"/>
  <c r="BF5" i="5"/>
  <c r="DI1" i="4"/>
  <c r="BR4" i="5"/>
  <c r="BJ6" i="5"/>
  <c r="D19" i="9"/>
  <c r="W1" i="5"/>
  <c r="AW5" i="4"/>
  <c r="DO6" i="3"/>
  <c r="DP6" i="5"/>
  <c r="BA2" i="5"/>
  <c r="AA5" i="5"/>
  <c r="CR4" i="5"/>
  <c r="F27" i="9"/>
  <c r="D29" i="9"/>
  <c r="BU5" i="5"/>
  <c r="Q3" i="3"/>
  <c r="BQ4" i="3"/>
  <c r="B7" i="5"/>
  <c r="AI5" i="4"/>
  <c r="DA6" i="3"/>
  <c r="AO2" i="3"/>
  <c r="L11" i="9"/>
  <c r="R1" i="3"/>
  <c r="L12" i="9"/>
  <c r="F11" i="9"/>
  <c r="BZ4" i="5"/>
  <c r="D20" i="9"/>
  <c r="DE2" i="5"/>
  <c r="AM4" i="3"/>
  <c r="O12" i="9"/>
  <c r="BK2" i="4"/>
  <c r="BI5" i="5"/>
  <c r="CI3" i="3"/>
  <c r="DJ5" i="4"/>
  <c r="L37" i="9"/>
  <c r="AZ5" i="5"/>
  <c r="DB2" i="5"/>
  <c r="K13" i="9"/>
  <c r="C13" i="9"/>
  <c r="BK6" i="5"/>
  <c r="G18" i="9"/>
  <c r="BR1" i="4"/>
  <c r="BO6" i="4"/>
  <c r="BK2" i="5"/>
  <c r="D33" i="9"/>
  <c r="AJ7" i="5"/>
  <c r="S1" i="4"/>
  <c r="J12" i="9"/>
  <c r="I6" i="3"/>
  <c r="CM3" i="5"/>
  <c r="CV6" i="5"/>
  <c r="DD5" i="5"/>
  <c r="CS1" i="5"/>
  <c r="N24" i="9"/>
  <c r="E5" i="4"/>
  <c r="DL6" i="5"/>
  <c r="AW4" i="5"/>
  <c r="E7" i="9"/>
  <c r="AM6" i="5"/>
  <c r="AN6" i="5"/>
  <c r="M28" i="9"/>
  <c r="AG6" i="5"/>
  <c r="AU6" i="5"/>
  <c r="CR2" i="5"/>
  <c r="C3" i="9"/>
  <c r="R2" i="5"/>
  <c r="BU3" i="4"/>
  <c r="BL6" i="5"/>
  <c r="Y1" i="5"/>
  <c r="CF4" i="4"/>
  <c r="O39" i="9"/>
  <c r="M25" i="9"/>
  <c r="BW5" i="5"/>
  <c r="C1" i="5"/>
  <c r="AA4" i="5"/>
  <c r="CY1" i="4"/>
  <c r="G7" i="5"/>
  <c r="DA2" i="4"/>
  <c r="B16" i="9"/>
  <c r="AM7" i="4"/>
  <c r="D31" i="9"/>
  <c r="B36" i="9"/>
  <c r="DU4" i="3"/>
  <c r="AI5" i="5"/>
  <c r="J3" i="9"/>
  <c r="BZ7" i="4"/>
  <c r="J25" i="9"/>
  <c r="AJ1" i="5"/>
  <c r="AL1" i="5"/>
  <c r="AO2" i="4"/>
  <c r="CV4" i="5"/>
  <c r="AU1" i="5"/>
  <c r="BO2" i="5"/>
  <c r="BY1" i="5"/>
  <c r="X7" i="4"/>
  <c r="CL3" i="4"/>
  <c r="H41" i="9"/>
  <c r="DH4" i="5"/>
  <c r="AF7" i="5"/>
  <c r="CK3" i="5"/>
  <c r="CD2" i="5"/>
  <c r="I4" i="5"/>
  <c r="DC5" i="5"/>
  <c r="CP2" i="4"/>
  <c r="CM1" i="3"/>
  <c r="Z1" i="4"/>
  <c r="BO4" i="5"/>
  <c r="L20" i="9"/>
  <c r="F40" i="9"/>
  <c r="DK5" i="5"/>
  <c r="BP6" i="5"/>
  <c r="BL7" i="4"/>
  <c r="L29" i="9"/>
  <c r="N15" i="9"/>
  <c r="CW3" i="4"/>
  <c r="M4" i="4"/>
  <c r="BW3" i="5"/>
  <c r="K21" i="9"/>
  <c r="DN1" i="4"/>
  <c r="K2" i="4"/>
  <c r="G8" i="9"/>
  <c r="K1" i="4"/>
  <c r="AE3" i="3"/>
  <c r="F39" i="9"/>
  <c r="CW1" i="5"/>
  <c r="I13" i="9"/>
  <c r="BC1" i="5"/>
  <c r="G32" i="9"/>
  <c r="J39" i="9"/>
  <c r="D34" i="9"/>
  <c r="C40" i="9"/>
  <c r="E13" i="9"/>
  <c r="BZ6" i="5"/>
  <c r="BX4" i="5"/>
  <c r="X7" i="3"/>
  <c r="CV4" i="4"/>
  <c r="K22" i="9"/>
  <c r="AB6" i="4"/>
  <c r="D32" i="9"/>
  <c r="J41" i="9"/>
  <c r="D39" i="9"/>
  <c r="DH7" i="3"/>
  <c r="CS3" i="5"/>
  <c r="CW6" i="3"/>
  <c r="DI1" i="5"/>
  <c r="W6" i="3"/>
  <c r="BW4" i="5"/>
  <c r="K37" i="9"/>
  <c r="G39" i="9"/>
  <c r="L4" i="9"/>
  <c r="CF6" i="5"/>
  <c r="N22" i="9"/>
  <c r="F13" i="9"/>
  <c r="CZ6" i="5"/>
  <c r="AQ5" i="4"/>
  <c r="B21" i="9"/>
  <c r="J24" i="9"/>
  <c r="I10" i="9"/>
  <c r="M5" i="9"/>
  <c r="DC5" i="4"/>
  <c r="H36" i="9"/>
  <c r="AU2" i="5"/>
  <c r="AR5" i="4"/>
  <c r="O16" i="9"/>
  <c r="T7" i="5"/>
  <c r="F35" i="9"/>
  <c r="CZ5" i="4"/>
  <c r="H39" i="9"/>
  <c r="CG4" i="5"/>
  <c r="BZ7" i="3"/>
  <c r="F5" i="4"/>
  <c r="M40" i="9"/>
  <c r="A18" i="9"/>
  <c r="N5" i="5"/>
  <c r="I39" i="9"/>
  <c r="CE2" i="4"/>
  <c r="C6" i="5"/>
  <c r="K27" i="9"/>
  <c r="BK5" i="5"/>
  <c r="BO5" i="5"/>
  <c r="K3" i="9"/>
  <c r="G26" i="9"/>
  <c r="F22" i="9"/>
  <c r="E2" i="4"/>
  <c r="BE1" i="3"/>
  <c r="B19" i="9"/>
  <c r="CE1" i="5"/>
  <c r="E29" i="9"/>
  <c r="AF7" i="3"/>
  <c r="O37" i="9"/>
  <c r="DF2" i="5"/>
  <c r="L23" i="9"/>
  <c r="AD3" i="4"/>
  <c r="AN2" i="4"/>
  <c r="C37" i="9"/>
  <c r="DQ4" i="4"/>
  <c r="Y7" i="5"/>
  <c r="BJ4" i="4"/>
  <c r="CY5" i="3"/>
  <c r="G7" i="9"/>
  <c r="J30" i="9"/>
  <c r="AW1" i="3"/>
  <c r="BW4" i="3"/>
  <c r="BD4" i="5"/>
  <c r="CA1" i="3"/>
  <c r="G7" i="4"/>
  <c r="BJ1" i="5"/>
  <c r="I4" i="9"/>
  <c r="O24" i="9"/>
  <c r="CA3" i="4"/>
  <c r="AT5" i="5"/>
  <c r="DQ6" i="5"/>
  <c r="B23" i="9"/>
  <c r="G31" i="9"/>
  <c r="AD4" i="5"/>
  <c r="K38" i="9"/>
  <c r="BO4" i="4"/>
  <c r="DC4" i="5"/>
  <c r="BB1" i="4"/>
  <c r="CD4" i="4"/>
  <c r="AN5" i="4"/>
  <c r="CE6" i="3"/>
  <c r="D30" i="9"/>
  <c r="CN3" i="5"/>
  <c r="Z3" i="5"/>
  <c r="BA1" i="4"/>
  <c r="I38" i="9"/>
  <c r="CJ3" i="5"/>
  <c r="D28" i="9"/>
  <c r="I6" i="5"/>
  <c r="CH1" i="5"/>
  <c r="DK6" i="4"/>
  <c r="I5" i="9"/>
  <c r="CX4" i="4"/>
  <c r="AE1" i="5"/>
  <c r="DB6" i="3"/>
  <c r="BF4" i="3"/>
  <c r="CH5" i="4"/>
  <c r="CA3" i="5"/>
  <c r="AK7" i="3"/>
  <c r="B2" i="4"/>
  <c r="AT4" i="5"/>
  <c r="AC4" i="4"/>
  <c r="M7" i="3"/>
  <c r="AR7" i="4"/>
  <c r="B28" i="9"/>
  <c r="BB2" i="4"/>
  <c r="BE3" i="5"/>
  <c r="X2" i="4"/>
  <c r="F3" i="5"/>
  <c r="CL4" i="3"/>
  <c r="B4" i="5"/>
  <c r="CU2" i="4"/>
  <c r="DK3" i="3"/>
  <c r="BO3" i="5"/>
  <c r="F26" i="9"/>
  <c r="C21" i="9"/>
  <c r="D4" i="9"/>
  <c r="B5" i="3"/>
  <c r="AD3" i="5"/>
  <c r="K9" i="9"/>
  <c r="N6" i="5"/>
  <c r="M39" i="9"/>
  <c r="N12" i="9"/>
  <c r="H12" i="9"/>
  <c r="D5" i="9"/>
  <c r="BD6" i="5"/>
  <c r="CZ2" i="5"/>
  <c r="CJ4" i="4"/>
  <c r="J10" i="9"/>
  <c r="AZ2" i="5"/>
  <c r="A7" i="9"/>
  <c r="AX2" i="5"/>
  <c r="AM1" i="4"/>
  <c r="DP3" i="5"/>
  <c r="CN6" i="4"/>
  <c r="I2" i="4"/>
  <c r="CM2" i="3"/>
  <c r="J2" i="5"/>
  <c r="CO2" i="5"/>
  <c r="AQ6" i="3"/>
  <c r="J7" i="4"/>
  <c r="AF2" i="3"/>
  <c r="X3" i="5"/>
  <c r="DK2" i="5"/>
  <c r="E21" i="9"/>
  <c r="DD3" i="4"/>
  <c r="O33" i="9"/>
  <c r="DB4" i="4"/>
  <c r="M5" i="4"/>
  <c r="AW2" i="3"/>
  <c r="E31" i="9"/>
  <c r="AD4" i="4"/>
  <c r="BN1" i="3"/>
  <c r="BH1" i="5"/>
  <c r="BE1" i="5"/>
  <c r="BJ6" i="3"/>
  <c r="N5" i="9"/>
  <c r="DO4" i="3"/>
  <c r="AK3" i="5"/>
  <c r="H4" i="5"/>
  <c r="CA5" i="5"/>
  <c r="D3" i="3"/>
  <c r="AB5" i="3"/>
  <c r="J6" i="3"/>
  <c r="BD5" i="3"/>
  <c r="BU3" i="5"/>
  <c r="BN6" i="5"/>
  <c r="AN4" i="5"/>
  <c r="CP1" i="4"/>
  <c r="CO3" i="4"/>
  <c r="B5" i="4"/>
  <c r="AQ1" i="3"/>
  <c r="DP4" i="4"/>
  <c r="Y3" i="3"/>
  <c r="DS6" i="3"/>
  <c r="N39" i="9"/>
  <c r="L9" i="9"/>
  <c r="N21" i="9"/>
  <c r="AZ7" i="4"/>
  <c r="O38" i="9"/>
  <c r="BV5" i="5"/>
  <c r="B3" i="9"/>
  <c r="CX5" i="5"/>
  <c r="CZ5" i="3"/>
  <c r="A12" i="9"/>
  <c r="CH7" i="3"/>
  <c r="CG3" i="5"/>
  <c r="DQ2" i="4"/>
  <c r="X2" i="5"/>
  <c r="DD5" i="3"/>
  <c r="BV6" i="4"/>
  <c r="G2" i="5"/>
  <c r="CI5" i="4"/>
  <c r="O4" i="5"/>
  <c r="K7" i="9"/>
  <c r="BL3" i="5"/>
  <c r="CK2" i="4"/>
  <c r="C14" i="9"/>
  <c r="I3" i="3"/>
  <c r="G5" i="4"/>
  <c r="AW4" i="4"/>
  <c r="Y6" i="4"/>
  <c r="O3" i="9"/>
  <c r="E6" i="9"/>
  <c r="BW1" i="5"/>
  <c r="DI2" i="5"/>
  <c r="M2" i="5"/>
  <c r="K11" i="9"/>
  <c r="K16" i="9"/>
  <c r="DO1" i="5"/>
  <c r="AA7" i="5"/>
  <c r="P3" i="3"/>
  <c r="CX5" i="4"/>
  <c r="CC6" i="5"/>
  <c r="R2" i="4"/>
  <c r="AK6" i="4"/>
  <c r="BX6" i="5"/>
  <c r="R1" i="5"/>
  <c r="BV6" i="5"/>
  <c r="AB4" i="5"/>
  <c r="CB2" i="5"/>
  <c r="DF1" i="5"/>
  <c r="CJ5" i="4"/>
  <c r="M13" i="9"/>
  <c r="R7" i="4"/>
  <c r="CT3" i="4"/>
  <c r="CU3" i="5"/>
  <c r="AR6" i="5"/>
  <c r="F3" i="3"/>
  <c r="BK5" i="3"/>
  <c r="CG4" i="4"/>
  <c r="BR3" i="4"/>
  <c r="M7" i="5"/>
  <c r="AB4" i="4"/>
  <c r="BW5" i="3"/>
  <c r="AD7" i="4"/>
  <c r="CN3" i="4"/>
  <c r="BD1" i="5"/>
  <c r="J9" i="9"/>
  <c r="CV3" i="4"/>
  <c r="H1" i="4"/>
  <c r="CR7" i="3"/>
  <c r="N18" i="9"/>
  <c r="J4" i="5"/>
  <c r="BE3" i="4"/>
  <c r="C6" i="9"/>
  <c r="Y7" i="4"/>
  <c r="A25" i="9"/>
  <c r="CJ6" i="5"/>
  <c r="AE4" i="5"/>
  <c r="AU3" i="4"/>
  <c r="AY6" i="4"/>
  <c r="L38" i="9"/>
  <c r="AY2" i="5"/>
  <c r="J33" i="9"/>
  <c r="G30" i="9"/>
  <c r="AI3" i="5"/>
  <c r="BK1" i="5"/>
  <c r="D8" i="9"/>
  <c r="E19" i="9"/>
  <c r="CH2" i="5"/>
  <c r="U5" i="3"/>
  <c r="M14" i="9"/>
  <c r="AP3" i="5"/>
  <c r="F5" i="9"/>
  <c r="BW1" i="3"/>
  <c r="F32" i="9"/>
  <c r="DP3" i="4"/>
  <c r="CI6" i="5"/>
  <c r="Z6" i="5"/>
  <c r="J3" i="5"/>
  <c r="DE4" i="4"/>
  <c r="BM4" i="4"/>
  <c r="AC1" i="4"/>
  <c r="BT6" i="3"/>
  <c r="Q7" i="5"/>
  <c r="O1" i="5"/>
  <c r="DC1" i="5"/>
  <c r="DS5" i="3"/>
  <c r="DD1" i="4"/>
  <c r="DR4" i="3"/>
  <c r="AS2" i="3"/>
  <c r="DM7" i="4"/>
  <c r="CD7" i="4"/>
  <c r="BS3" i="5"/>
  <c r="CT6" i="5"/>
  <c r="AU1" i="3"/>
  <c r="I27" i="9"/>
  <c r="CQ6" i="3"/>
  <c r="BE2" i="5"/>
  <c r="CK1" i="3"/>
  <c r="DG2" i="4"/>
  <c r="BW2" i="3"/>
  <c r="S4" i="3"/>
  <c r="CF5" i="3"/>
  <c r="AM4" i="5"/>
  <c r="AV5" i="5"/>
  <c r="CQ1" i="3"/>
  <c r="Q2" i="4"/>
  <c r="BV4" i="3"/>
  <c r="CG6" i="3"/>
  <c r="K3" i="3"/>
  <c r="CK5" i="4"/>
  <c r="BZ5" i="5"/>
  <c r="M19" i="9"/>
  <c r="BU6" i="4"/>
  <c r="DM3" i="4"/>
  <c r="CB5" i="4"/>
  <c r="DD6" i="5"/>
  <c r="AG1" i="3"/>
  <c r="BS3" i="4"/>
  <c r="DD7" i="3"/>
  <c r="K35" i="9"/>
  <c r="F6" i="5"/>
  <c r="BW1" i="4"/>
  <c r="CP7" i="4"/>
  <c r="AI4" i="4"/>
  <c r="DO3" i="5"/>
  <c r="S7" i="3"/>
  <c r="CL5" i="5"/>
  <c r="CF6" i="4"/>
  <c r="BE4" i="3"/>
  <c r="AF1" i="3"/>
  <c r="B6" i="9"/>
  <c r="AE4" i="4"/>
  <c r="AW2" i="4"/>
  <c r="C4" i="9"/>
  <c r="X6" i="4"/>
  <c r="DE4" i="5"/>
  <c r="C31" i="9"/>
  <c r="AA2" i="5"/>
  <c r="DL4" i="3"/>
  <c r="DC7" i="3"/>
  <c r="DP5" i="4"/>
  <c r="BF6" i="4"/>
  <c r="BM2" i="4"/>
  <c r="DB4" i="3"/>
  <c r="D7" i="4"/>
  <c r="T1" i="4"/>
  <c r="DK1" i="4"/>
  <c r="AH6" i="4"/>
  <c r="F2" i="3"/>
  <c r="CU5" i="5"/>
  <c r="CQ5" i="3"/>
  <c r="AD1" i="4"/>
  <c r="CT2" i="5"/>
  <c r="DC2" i="5"/>
  <c r="DA3" i="4"/>
  <c r="DF2" i="3"/>
  <c r="CQ4" i="3"/>
  <c r="BH7" i="3"/>
  <c r="C6" i="3"/>
  <c r="DC7" i="4"/>
  <c r="AV6" i="4"/>
  <c r="AH1" i="5"/>
  <c r="DJ3" i="4"/>
  <c r="DT1" i="3"/>
  <c r="DJ4" i="3"/>
  <c r="AZ1" i="4"/>
  <c r="O7" i="4"/>
  <c r="DU3" i="3"/>
  <c r="BR5" i="4"/>
  <c r="J1" i="4"/>
  <c r="T4" i="5"/>
  <c r="E16" i="9"/>
  <c r="E5" i="9"/>
  <c r="H14" i="9"/>
  <c r="DP2" i="5"/>
  <c r="CN6" i="5"/>
  <c r="CM2" i="4"/>
  <c r="G4" i="5"/>
  <c r="E25" i="9"/>
  <c r="CR1" i="3"/>
  <c r="L30" i="9"/>
  <c r="BP3" i="5"/>
  <c r="A28" i="9"/>
  <c r="L7" i="4"/>
  <c r="CC4" i="4"/>
  <c r="N9" i="9"/>
  <c r="K3" i="5"/>
  <c r="DS4" i="3"/>
  <c r="C36" i="9"/>
  <c r="J38" i="9"/>
  <c r="AG7" i="3"/>
  <c r="CE3" i="3"/>
  <c r="Y6" i="5"/>
  <c r="AB5" i="5"/>
  <c r="M5" i="5"/>
  <c r="B25" i="9"/>
  <c r="AK2" i="4"/>
  <c r="DJ2" i="4"/>
  <c r="I1" i="5"/>
  <c r="AK4" i="4"/>
  <c r="N41" i="9"/>
  <c r="BO5" i="3"/>
  <c r="N16" i="9"/>
  <c r="CF2" i="4"/>
  <c r="BF6" i="5"/>
  <c r="L5" i="5"/>
  <c r="AP5" i="5"/>
  <c r="K1" i="5"/>
  <c r="AZ1" i="5"/>
  <c r="K7" i="5"/>
  <c r="CX2" i="3"/>
  <c r="J23" i="9"/>
  <c r="BT4" i="4"/>
  <c r="CS4" i="5"/>
  <c r="D10" i="9"/>
  <c r="CI3" i="5"/>
  <c r="CP1" i="3"/>
  <c r="CN1" i="3"/>
  <c r="AE3" i="4"/>
  <c r="CS6" i="3"/>
  <c r="CH5" i="5"/>
  <c r="DK3" i="4"/>
  <c r="W5" i="4"/>
  <c r="AX3" i="3"/>
  <c r="H3" i="3"/>
  <c r="J4" i="9"/>
  <c r="CM3" i="3"/>
  <c r="BG3" i="4"/>
  <c r="D1" i="4"/>
  <c r="CQ7" i="4"/>
  <c r="T6" i="5"/>
  <c r="BP2" i="5"/>
  <c r="CN4" i="4"/>
  <c r="DL6" i="3"/>
  <c r="AS7" i="4"/>
  <c r="N7" i="5"/>
  <c r="I32" i="9"/>
  <c r="AF6" i="5"/>
  <c r="BP1" i="4"/>
  <c r="AS2" i="5"/>
  <c r="O9" i="9"/>
  <c r="BN5" i="3"/>
  <c r="BZ2" i="5"/>
  <c r="BF4" i="5"/>
  <c r="CU5" i="3"/>
  <c r="AM2" i="3"/>
  <c r="AC5" i="4"/>
  <c r="Q5" i="4"/>
  <c r="AO4" i="4"/>
  <c r="Q1" i="3"/>
  <c r="B15" i="9"/>
  <c r="S5" i="3"/>
  <c r="F9" i="9"/>
  <c r="H17" i="9"/>
  <c r="L36" i="9"/>
  <c r="M34" i="9"/>
  <c r="CD3" i="3"/>
  <c r="AQ6" i="5"/>
  <c r="CE7" i="4"/>
  <c r="H5" i="4"/>
  <c r="DN1" i="3"/>
  <c r="S5" i="5"/>
  <c r="Q1" i="4"/>
  <c r="Z6" i="4"/>
  <c r="AV7" i="4"/>
  <c r="T2" i="5"/>
  <c r="I30" i="9"/>
  <c r="AB1" i="4"/>
  <c r="CY3" i="3"/>
  <c r="Y3" i="5"/>
  <c r="CX3" i="3"/>
  <c r="K5" i="4"/>
  <c r="AX6" i="3"/>
  <c r="AR4" i="4"/>
  <c r="BU5" i="4"/>
  <c r="H2" i="4"/>
  <c r="DM5" i="3"/>
  <c r="BA4" i="3"/>
  <c r="U7" i="5"/>
  <c r="DM2" i="4"/>
  <c r="CJ3" i="3"/>
  <c r="DE6" i="3"/>
  <c r="BC3" i="3"/>
  <c r="BB5" i="3"/>
  <c r="CY5" i="5"/>
  <c r="P5" i="3"/>
  <c r="BI1" i="5"/>
  <c r="O6" i="4"/>
  <c r="S1" i="3"/>
  <c r="DG3" i="3"/>
  <c r="DJ4" i="5"/>
  <c r="BC2" i="5"/>
  <c r="AX6" i="5"/>
  <c r="CY4" i="4"/>
  <c r="CK6" i="5"/>
  <c r="Q2" i="5"/>
  <c r="CU6" i="5"/>
  <c r="M4" i="9"/>
  <c r="G25" i="9"/>
  <c r="CP5" i="5"/>
  <c r="P7" i="4"/>
  <c r="BR4" i="3"/>
  <c r="BJ3" i="5"/>
  <c r="J21" i="9"/>
  <c r="DH4" i="3"/>
  <c r="I21" i="9"/>
  <c r="AY1" i="5"/>
  <c r="G38" i="9"/>
  <c r="DG2" i="5"/>
  <c r="CX2" i="5"/>
  <c r="P3" i="5"/>
  <c r="CS7" i="4"/>
  <c r="M12" i="9"/>
  <c r="BV1" i="4"/>
  <c r="Q3" i="4"/>
  <c r="DO2" i="5"/>
  <c r="BA6" i="3"/>
  <c r="CK7" i="3"/>
  <c r="CV6" i="4"/>
  <c r="AR1" i="5"/>
  <c r="F1" i="4"/>
  <c r="A40" i="9"/>
  <c r="BH3" i="4"/>
  <c r="DO1" i="3"/>
  <c r="DG1" i="4"/>
  <c r="BX7" i="4"/>
  <c r="O22" i="9"/>
  <c r="H3" i="5"/>
  <c r="AP3" i="4"/>
  <c r="AB6" i="5"/>
  <c r="CD3" i="5"/>
  <c r="C24" i="9"/>
  <c r="U4" i="3"/>
  <c r="DL1" i="4"/>
  <c r="CU3" i="3"/>
  <c r="AM2" i="5"/>
  <c r="CA2" i="3"/>
  <c r="CZ2" i="4"/>
  <c r="G17" i="9"/>
  <c r="L13" i="9"/>
  <c r="CR7" i="4"/>
  <c r="BJ1" i="3"/>
  <c r="X1" i="4"/>
  <c r="BN1" i="4"/>
  <c r="BX2" i="4"/>
  <c r="BJ3" i="4"/>
  <c r="CR6" i="4"/>
  <c r="DH7" i="4"/>
  <c r="CC5" i="3"/>
  <c r="AV6" i="3"/>
  <c r="CV5" i="3"/>
  <c r="BV4" i="4"/>
  <c r="AY3" i="5"/>
  <c r="DC5" i="3"/>
  <c r="CF5" i="5"/>
  <c r="CQ2" i="4"/>
  <c r="AN1" i="4"/>
  <c r="CF2" i="5"/>
  <c r="BZ3" i="4"/>
  <c r="C3" i="4"/>
  <c r="CW5" i="4"/>
  <c r="AI4" i="5"/>
  <c r="DP1" i="3"/>
  <c r="AA7" i="4"/>
  <c r="CA6" i="3"/>
  <c r="BB2" i="5"/>
  <c r="BY6" i="5"/>
  <c r="G10" i="9"/>
  <c r="O27" i="9"/>
  <c r="CB3" i="5"/>
  <c r="BG1" i="5"/>
  <c r="F31" i="9"/>
  <c r="AV6" i="5"/>
  <c r="L14" i="9"/>
  <c r="AG6" i="4"/>
  <c r="AG5" i="4"/>
  <c r="H7" i="9"/>
  <c r="B34" i="9"/>
  <c r="BS5" i="4"/>
  <c r="AA1" i="5"/>
  <c r="BC4" i="3"/>
  <c r="BE7" i="4"/>
  <c r="H22" i="9"/>
  <c r="AL7" i="3"/>
  <c r="BO3" i="4"/>
  <c r="T3" i="4"/>
  <c r="BI7" i="4"/>
  <c r="BT1" i="3"/>
  <c r="CD4" i="5"/>
  <c r="BV7" i="4"/>
  <c r="S3" i="5"/>
  <c r="L7" i="5"/>
  <c r="CZ1" i="3"/>
  <c r="AL3" i="3"/>
  <c r="CK3" i="3"/>
  <c r="C4" i="4"/>
  <c r="BH6" i="5"/>
  <c r="BO1" i="4"/>
  <c r="BN6" i="4"/>
  <c r="DI5" i="5"/>
  <c r="AR6" i="4"/>
  <c r="O29" i="9"/>
  <c r="AC6" i="5"/>
  <c r="CV2" i="4"/>
  <c r="BA6" i="4"/>
  <c r="BY4" i="4"/>
  <c r="DE1" i="5"/>
  <c r="AE6" i="3"/>
  <c r="F28" i="9"/>
  <c r="R2" i="3"/>
  <c r="BT4" i="5"/>
  <c r="G4" i="3"/>
  <c r="AC3" i="4"/>
  <c r="C32" i="9"/>
  <c r="AZ5" i="3"/>
  <c r="DB3" i="5"/>
  <c r="AA3" i="3"/>
  <c r="CT6" i="3"/>
  <c r="O4" i="9"/>
  <c r="CL3" i="3"/>
  <c r="AA3" i="4"/>
  <c r="Z5" i="4"/>
  <c r="E10" i="9"/>
  <c r="BP4" i="4"/>
  <c r="BD5" i="5"/>
  <c r="E35" i="9"/>
  <c r="C1" i="3"/>
  <c r="DE2" i="4"/>
  <c r="L3" i="4"/>
  <c r="CW6" i="5"/>
  <c r="AA7" i="3"/>
  <c r="O28" i="9"/>
  <c r="AM5" i="4"/>
  <c r="BV2" i="5"/>
  <c r="CN2" i="5"/>
  <c r="BJ7" i="4"/>
  <c r="C3" i="3"/>
  <c r="CY3" i="4"/>
  <c r="CD5" i="3"/>
  <c r="DD3" i="3"/>
  <c r="M24" i="9"/>
  <c r="BN7" i="3"/>
  <c r="BQ4" i="5"/>
  <c r="DL1" i="5"/>
  <c r="B6" i="3"/>
  <c r="AA6" i="5"/>
  <c r="CZ3" i="4"/>
  <c r="CA6" i="4"/>
  <c r="CI1" i="3"/>
  <c r="CE1" i="4"/>
  <c r="AW5" i="3"/>
  <c r="BK7" i="4"/>
  <c r="BB6" i="5"/>
  <c r="BM7" i="4"/>
  <c r="CH3" i="3"/>
  <c r="BS1" i="4"/>
  <c r="CH3" i="4"/>
  <c r="CS4" i="4"/>
  <c r="BT2" i="3"/>
  <c r="CG2" i="5"/>
  <c r="BT3" i="4"/>
  <c r="BK1" i="4"/>
  <c r="BR6" i="3"/>
  <c r="BT3" i="3"/>
  <c r="J1" i="5"/>
  <c r="AH7" i="4"/>
  <c r="CC3" i="3"/>
  <c r="DG3" i="5"/>
  <c r="BH5" i="3"/>
  <c r="BL2" i="4"/>
  <c r="BY3" i="4"/>
  <c r="Q3" i="5"/>
  <c r="BQ3" i="3"/>
  <c r="BL5" i="3"/>
  <c r="J6" i="4"/>
  <c r="CH4" i="5"/>
  <c r="BI6" i="3"/>
  <c r="CG5" i="4"/>
  <c r="L2" i="5"/>
  <c r="U7" i="4"/>
  <c r="BR1" i="3"/>
  <c r="Z6" i="3"/>
  <c r="CJ6" i="3"/>
  <c r="AS1" i="4"/>
  <c r="AW6" i="5"/>
  <c r="DO4" i="4"/>
  <c r="E4" i="3"/>
  <c r="L4" i="3"/>
  <c r="DL7" i="4"/>
  <c r="BZ5" i="3"/>
  <c r="AC3" i="3"/>
  <c r="K32" i="9"/>
  <c r="DB2" i="4"/>
  <c r="F4" i="5"/>
  <c r="L1" i="5"/>
  <c r="BU5" i="3"/>
  <c r="J3" i="4"/>
  <c r="BG5" i="4"/>
  <c r="CZ4" i="5"/>
  <c r="BM1" i="5"/>
  <c r="CW5" i="5"/>
  <c r="A26" i="9"/>
  <c r="O21" i="9"/>
  <c r="K10" i="9"/>
  <c r="CQ5" i="5"/>
  <c r="DC6" i="4"/>
  <c r="O8" i="9"/>
  <c r="BF2" i="5"/>
  <c r="AH1" i="3"/>
  <c r="F7" i="4"/>
  <c r="CS1" i="4"/>
  <c r="M18" i="9"/>
  <c r="D7" i="5"/>
  <c r="BW6" i="5"/>
  <c r="BH4" i="4"/>
  <c r="BQ3" i="5"/>
  <c r="BF2" i="4"/>
  <c r="V4" i="3"/>
  <c r="CO7" i="4"/>
  <c r="F34" i="9"/>
  <c r="L24" i="9"/>
  <c r="CT4" i="4"/>
  <c r="O2" i="3"/>
  <c r="I31" i="9"/>
  <c r="U5" i="5"/>
  <c r="C16" i="9"/>
  <c r="O31" i="9"/>
  <c r="BG3" i="5"/>
  <c r="A31" i="9"/>
  <c r="M1" i="4"/>
  <c r="AJ2" i="3"/>
  <c r="K41" i="9"/>
  <c r="BR6" i="5"/>
  <c r="DN3" i="4"/>
  <c r="T6" i="4"/>
  <c r="H6" i="9"/>
  <c r="CA1" i="5"/>
  <c r="K8" i="9"/>
  <c r="BR1" i="5"/>
  <c r="DC4" i="3"/>
  <c r="F4" i="9"/>
  <c r="AO5" i="4"/>
  <c r="AA1" i="4"/>
  <c r="N5" i="4"/>
  <c r="O5" i="4"/>
  <c r="CJ1" i="5"/>
  <c r="V3" i="3"/>
  <c r="I4" i="4"/>
  <c r="BG4" i="3"/>
  <c r="C41" i="9"/>
  <c r="BD4" i="4"/>
  <c r="D9" i="9"/>
  <c r="BV4" i="5"/>
  <c r="CJ2" i="3"/>
  <c r="CK6" i="3"/>
  <c r="D14" i="9"/>
  <c r="L17" i="9"/>
  <c r="BV2" i="3"/>
  <c r="AC7" i="5"/>
  <c r="BH3" i="3"/>
  <c r="CY4" i="5"/>
  <c r="K4" i="5"/>
  <c r="D13" i="9"/>
  <c r="N11" i="9"/>
  <c r="P5" i="5"/>
  <c r="H31" i="9"/>
  <c r="B38" i="9"/>
  <c r="DP1" i="5"/>
  <c r="F23" i="9"/>
  <c r="CC2" i="3"/>
  <c r="CU6" i="4"/>
  <c r="F1" i="5"/>
  <c r="B10" i="9"/>
  <c r="DO4" i="5"/>
  <c r="BG6" i="3"/>
  <c r="O7" i="3"/>
  <c r="AP6" i="3"/>
  <c r="AV4" i="5"/>
  <c r="DD5" i="4"/>
  <c r="F4" i="4"/>
  <c r="CT7" i="4"/>
  <c r="AG4" i="3"/>
  <c r="AH3" i="4"/>
  <c r="CB7" i="3"/>
  <c r="N10" i="9"/>
  <c r="A17" i="9"/>
  <c r="AE5" i="5"/>
  <c r="CD1" i="3"/>
  <c r="CD1" i="4"/>
  <c r="DD6" i="4"/>
  <c r="O17" i="9"/>
  <c r="DC3" i="3"/>
  <c r="CR5" i="4"/>
  <c r="BZ4" i="3"/>
  <c r="O20" i="9"/>
  <c r="S2" i="4"/>
  <c r="AU6" i="4"/>
  <c r="AE6" i="5"/>
  <c r="CJ5" i="5"/>
  <c r="BC4" i="4"/>
  <c r="BW7" i="4"/>
  <c r="H4" i="9"/>
  <c r="AJ3" i="4"/>
  <c r="AD5" i="5"/>
  <c r="BQ5" i="3"/>
  <c r="CT1" i="5"/>
  <c r="CD5" i="4"/>
  <c r="BX2" i="5"/>
  <c r="DE1" i="3"/>
  <c r="E23" i="9"/>
  <c r="DL2" i="5"/>
  <c r="DA3" i="3"/>
  <c r="DJ1" i="5"/>
  <c r="AU1" i="4"/>
  <c r="H37" i="9"/>
  <c r="A21" i="9"/>
  <c r="CT3" i="3"/>
  <c r="AW3" i="4"/>
  <c r="BQ2" i="5"/>
  <c r="D23" i="9"/>
  <c r="CM1" i="5"/>
  <c r="R6" i="5"/>
  <c r="AU4" i="3"/>
  <c r="V4" i="4"/>
  <c r="E24" i="9"/>
  <c r="H26" i="9"/>
  <c r="M37" i="9"/>
  <c r="AQ3" i="5"/>
  <c r="O3" i="4"/>
  <c r="E14" i="9"/>
  <c r="AN4" i="3"/>
  <c r="AL2" i="3"/>
  <c r="I25" i="9"/>
  <c r="BA3" i="3"/>
  <c r="I36" i="9"/>
  <c r="DQ4" i="5"/>
  <c r="O41" i="9"/>
  <c r="BP4" i="5"/>
  <c r="BA3" i="4"/>
  <c r="AF2" i="4"/>
  <c r="BG5" i="3"/>
  <c r="A42" i="9"/>
  <c r="G5" i="3"/>
  <c r="J7" i="3"/>
  <c r="D21" i="9"/>
  <c r="U5" i="4"/>
  <c r="DF5" i="5"/>
  <c r="G28" i="9"/>
  <c r="J1" i="3"/>
  <c r="DN6" i="3"/>
  <c r="CE2" i="5"/>
  <c r="Z4" i="5"/>
  <c r="DP5" i="5"/>
  <c r="AI7" i="3"/>
  <c r="BT1" i="4"/>
  <c r="N34" i="9"/>
  <c r="H19" i="9"/>
  <c r="CA5" i="4"/>
  <c r="N27" i="9"/>
  <c r="DO1" i="4"/>
  <c r="C5" i="5"/>
  <c r="CU7" i="4"/>
  <c r="AX1" i="3"/>
  <c r="BB3" i="5"/>
  <c r="M27" i="9"/>
  <c r="AH7" i="3"/>
  <c r="BI3" i="3"/>
  <c r="BP2" i="3"/>
  <c r="CW4" i="5"/>
  <c r="AN1" i="3"/>
  <c r="AC7" i="3"/>
  <c r="AB1" i="5"/>
  <c r="DQ6" i="3"/>
  <c r="A22" i="9"/>
  <c r="Q6" i="4"/>
  <c r="BY4" i="3"/>
  <c r="DJ7" i="3"/>
  <c r="DN4" i="3"/>
  <c r="I7" i="3"/>
  <c r="N25" i="9"/>
  <c r="BP6" i="3"/>
  <c r="AB2" i="5"/>
  <c r="BC1" i="4"/>
  <c r="DH6" i="4"/>
  <c r="BY2" i="3"/>
  <c r="BA2" i="4"/>
  <c r="CY7" i="3"/>
  <c r="AN5" i="3"/>
  <c r="AW5" i="5"/>
  <c r="W7" i="3"/>
  <c r="CB4" i="4"/>
  <c r="AI6" i="3"/>
  <c r="AL4" i="3"/>
  <c r="AY5" i="3"/>
  <c r="M6" i="9"/>
  <c r="CH7" i="4"/>
  <c r="CR3" i="5"/>
  <c r="AF3" i="3"/>
  <c r="CW2" i="4"/>
  <c r="DI2" i="3"/>
  <c r="CN7" i="3"/>
  <c r="DA1" i="3"/>
  <c r="DG1" i="5"/>
  <c r="AP2" i="3"/>
  <c r="CY6" i="4"/>
  <c r="A29" i="9"/>
  <c r="DD3" i="5"/>
  <c r="BN7" i="4"/>
  <c r="E4" i="4"/>
  <c r="CI1" i="4"/>
  <c r="D2" i="4"/>
  <c r="X2" i="3"/>
  <c r="DM4" i="3"/>
  <c r="I9" i="9"/>
  <c r="Z7" i="3"/>
  <c r="B11" i="9"/>
  <c r="V6" i="3"/>
  <c r="AL5" i="5"/>
  <c r="DC1" i="3"/>
  <c r="L1" i="3"/>
  <c r="N6" i="3"/>
  <c r="BN6" i="3"/>
  <c r="CX4" i="5"/>
  <c r="BB2" i="3"/>
  <c r="DB1" i="3"/>
  <c r="F4" i="3"/>
  <c r="DM4" i="4"/>
  <c r="CO6" i="3"/>
  <c r="CX6" i="3"/>
  <c r="CU2" i="3"/>
  <c r="B3" i="4"/>
  <c r="AX4" i="3"/>
  <c r="D2" i="3"/>
  <c r="CZ1" i="4"/>
  <c r="A32" i="9"/>
  <c r="BS2" i="5"/>
  <c r="BQ3" i="4"/>
  <c r="E12" i="9"/>
  <c r="BZ1" i="5"/>
  <c r="AF4" i="4"/>
  <c r="AE6" i="4"/>
  <c r="J7" i="5"/>
  <c r="BX1" i="4"/>
  <c r="O5" i="5"/>
  <c r="BZ6" i="3"/>
  <c r="W4" i="4"/>
  <c r="O19" i="9"/>
  <c r="DE6" i="4"/>
  <c r="BB3" i="4"/>
  <c r="K6" i="4"/>
  <c r="CM5" i="3"/>
  <c r="CB1" i="4"/>
  <c r="DA7" i="4"/>
  <c r="CW6" i="4"/>
  <c r="DK3" i="5"/>
  <c r="CC2" i="5"/>
  <c r="S7" i="4"/>
  <c r="DI6" i="5"/>
  <c r="BL4" i="3"/>
  <c r="BL3" i="3"/>
  <c r="AF6" i="3"/>
  <c r="AC5" i="3"/>
  <c r="DB4" i="5"/>
  <c r="DF5" i="4"/>
  <c r="V5" i="3"/>
  <c r="AW4" i="3"/>
  <c r="BI1" i="4"/>
  <c r="AW1" i="5"/>
  <c r="AT5" i="3"/>
  <c r="CQ3" i="3"/>
  <c r="AW1" i="4"/>
  <c r="BN4" i="4"/>
  <c r="CV5" i="5"/>
  <c r="BS6" i="3"/>
  <c r="DT7" i="3"/>
  <c r="BA2" i="3"/>
  <c r="CI3" i="4"/>
  <c r="DH4" i="4"/>
  <c r="T7" i="4"/>
  <c r="Z7" i="5"/>
  <c r="J5" i="4"/>
  <c r="BX5" i="4"/>
  <c r="AD6" i="3"/>
  <c r="AE3" i="5"/>
  <c r="BQ1" i="3"/>
  <c r="H10" i="9"/>
  <c r="CU4" i="4"/>
  <c r="DN2" i="4"/>
  <c r="BU7" i="3"/>
  <c r="BT4" i="3"/>
  <c r="J4" i="4"/>
  <c r="N1" i="3"/>
  <c r="R7" i="5"/>
  <c r="DL5" i="3"/>
  <c r="DE7" i="3"/>
  <c r="BU1" i="3"/>
  <c r="M3" i="3"/>
  <c r="Z4" i="4"/>
  <c r="AP6" i="5"/>
  <c r="AT5" i="4"/>
  <c r="I3" i="4"/>
  <c r="AB7" i="3"/>
  <c r="O3" i="3"/>
  <c r="BV1" i="3"/>
  <c r="P6" i="3"/>
  <c r="CC5" i="5"/>
  <c r="CP6" i="4"/>
  <c r="D6" i="5"/>
  <c r="V5" i="5"/>
  <c r="AY4" i="3"/>
  <c r="BF1" i="3"/>
  <c r="J4" i="3"/>
  <c r="AX4" i="5"/>
  <c r="R4" i="3"/>
  <c r="G7" i="3"/>
  <c r="Z2" i="3"/>
  <c r="E27" i="9"/>
  <c r="DR1" i="3"/>
  <c r="DH3" i="4"/>
  <c r="AG1" i="4"/>
  <c r="E1" i="5"/>
  <c r="CX5" i="3"/>
  <c r="DL5" i="5"/>
  <c r="DG4" i="4"/>
  <c r="I5" i="3"/>
  <c r="B6" i="5"/>
  <c r="M1" i="5"/>
  <c r="AJ5" i="4"/>
  <c r="CL7" i="3"/>
  <c r="DA5" i="5"/>
  <c r="N31" i="9"/>
  <c r="BS7" i="4"/>
  <c r="H20" i="9"/>
  <c r="I1" i="3"/>
  <c r="N30" i="9"/>
  <c r="AE7" i="5"/>
  <c r="BK4" i="4"/>
  <c r="CP6" i="5"/>
  <c r="L25" i="9"/>
  <c r="CC1" i="5"/>
  <c r="BO7" i="3"/>
  <c r="J18" i="9"/>
  <c r="BY3" i="5"/>
  <c r="B29" i="9"/>
  <c r="DR7" i="3"/>
  <c r="AY6" i="5"/>
  <c r="AM1" i="3"/>
  <c r="N1" i="5"/>
  <c r="DK5" i="3"/>
  <c r="DB7" i="3"/>
  <c r="CN5" i="4"/>
  <c r="CE2" i="3"/>
  <c r="CG6" i="4"/>
  <c r="C19" i="9"/>
  <c r="BU2" i="4"/>
  <c r="BR2" i="5"/>
  <c r="AH2" i="3"/>
  <c r="CQ2" i="5"/>
  <c r="BX4" i="3"/>
  <c r="AK3" i="3"/>
  <c r="DI1" i="3"/>
  <c r="S6" i="3"/>
  <c r="K18" i="9"/>
  <c r="AR1" i="4"/>
  <c r="B7" i="4"/>
  <c r="CJ1" i="3"/>
  <c r="BB7" i="4"/>
  <c r="CK4" i="3"/>
  <c r="C28" i="9"/>
  <c r="I28" i="9"/>
  <c r="CM5" i="4"/>
  <c r="I24" i="9"/>
  <c r="I2" i="5"/>
  <c r="BM5" i="5"/>
  <c r="CP4" i="3"/>
  <c r="CI5" i="5"/>
  <c r="CA5" i="3"/>
  <c r="BB1" i="5"/>
  <c r="BU1" i="5"/>
  <c r="BG6" i="5"/>
  <c r="BX6" i="4"/>
  <c r="CK4" i="4"/>
  <c r="BL6" i="3"/>
  <c r="CJ7" i="3"/>
  <c r="AF1" i="4"/>
  <c r="I1" i="4"/>
  <c r="E8" i="9"/>
  <c r="DK4" i="4"/>
  <c r="DG6" i="5"/>
  <c r="O2" i="5"/>
  <c r="CF7" i="4"/>
  <c r="A20" i="9"/>
  <c r="M2" i="4"/>
  <c r="F7" i="9"/>
  <c r="C17" i="9"/>
  <c r="BW5" i="4"/>
  <c r="CY1" i="3"/>
  <c r="CX1" i="3"/>
  <c r="CP6" i="3"/>
  <c r="B6" i="4"/>
  <c r="DP2" i="3"/>
  <c r="CB1" i="3"/>
  <c r="AM4" i="4"/>
  <c r="N38" i="9"/>
  <c r="AC6" i="4"/>
  <c r="AA6" i="4"/>
  <c r="CM7" i="3"/>
  <c r="AG3" i="5"/>
  <c r="BI5" i="3"/>
  <c r="AL7" i="5"/>
  <c r="X5" i="4"/>
  <c r="AR2" i="4"/>
  <c r="CV7" i="3"/>
  <c r="CV3" i="5"/>
  <c r="BM2" i="3"/>
  <c r="DO6" i="4"/>
  <c r="DP6" i="3"/>
  <c r="DB3" i="3"/>
  <c r="CC3" i="5"/>
  <c r="DL7" i="3"/>
  <c r="DD2" i="3"/>
  <c r="T6" i="3"/>
  <c r="CZ7" i="3"/>
  <c r="CQ5" i="4"/>
  <c r="AN2" i="3"/>
  <c r="AR3" i="3"/>
  <c r="AE5" i="3"/>
  <c r="N3" i="4"/>
  <c r="U1" i="3"/>
  <c r="AM3" i="4"/>
  <c r="AP2" i="4"/>
  <c r="BF5" i="3"/>
  <c r="BQ5" i="4"/>
  <c r="AC1" i="3"/>
  <c r="AC2" i="4"/>
  <c r="AH5" i="5"/>
  <c r="CH6" i="3"/>
  <c r="CF2" i="3"/>
  <c r="DQ7" i="3"/>
  <c r="AT4" i="3"/>
  <c r="AA2" i="4"/>
  <c r="BE2" i="3"/>
  <c r="X1" i="5"/>
  <c r="Z2" i="4"/>
  <c r="AK1" i="5"/>
  <c r="CN1" i="5"/>
  <c r="BT7" i="3"/>
  <c r="Y4" i="4"/>
  <c r="AN6" i="3"/>
  <c r="CQ4" i="5"/>
  <c r="CD5" i="5"/>
  <c r="DE2" i="3"/>
  <c r="U4" i="4"/>
  <c r="BB6" i="3"/>
  <c r="AX7" i="4"/>
  <c r="H21" i="9"/>
  <c r="G2" i="3"/>
  <c r="DC2" i="4"/>
  <c r="AE7" i="3"/>
  <c r="DD6" i="3"/>
  <c r="AH2" i="5"/>
  <c r="CP3" i="3"/>
  <c r="L34" i="9"/>
  <c r="CG7" i="3"/>
  <c r="DQ2" i="5"/>
  <c r="CH6" i="4"/>
  <c r="CO4" i="3"/>
  <c r="N2" i="4"/>
  <c r="AR4" i="3"/>
  <c r="DF1" i="3"/>
  <c r="H28" i="9"/>
  <c r="R6" i="3"/>
  <c r="P2" i="4"/>
  <c r="BH1" i="4"/>
  <c r="C30" i="9"/>
  <c r="DP3" i="3"/>
  <c r="BY7" i="3"/>
  <c r="D1" i="3"/>
  <c r="AH4" i="5"/>
  <c r="AS6" i="3"/>
  <c r="CV1" i="3"/>
  <c r="CA4" i="3"/>
  <c r="CQ6" i="5"/>
  <c r="DH2" i="3"/>
  <c r="Y1" i="4"/>
  <c r="J35" i="9"/>
  <c r="O36" i="9"/>
  <c r="P4" i="5"/>
  <c r="C38" i="9"/>
  <c r="N4" i="9"/>
  <c r="F36" i="9"/>
  <c r="E15" i="9"/>
  <c r="N23" i="9"/>
  <c r="C22" i="9"/>
  <c r="AY2" i="4"/>
  <c r="L32" i="9"/>
  <c r="D3" i="9"/>
  <c r="D22" i="9"/>
  <c r="BD5" i="4"/>
  <c r="V7" i="3"/>
  <c r="M15" i="9"/>
  <c r="AA3" i="5"/>
  <c r="H40" i="9"/>
  <c r="BE7" i="3"/>
  <c r="U2" i="3"/>
  <c r="DC3" i="5"/>
  <c r="BU2" i="5"/>
  <c r="CQ1" i="4"/>
  <c r="DI7" i="3"/>
  <c r="AU5" i="4"/>
  <c r="CH6" i="5"/>
  <c r="C2" i="4"/>
  <c r="BH1" i="3"/>
  <c r="O1" i="3"/>
  <c r="AZ4" i="4"/>
  <c r="BF2" i="3"/>
  <c r="AE1" i="4"/>
  <c r="AG6" i="3"/>
  <c r="S4" i="4"/>
  <c r="O3" i="5"/>
  <c r="Q5" i="3"/>
  <c r="Z3" i="3"/>
  <c r="B7" i="3"/>
  <c r="BM1" i="4"/>
  <c r="DJ1" i="4"/>
  <c r="AQ2" i="3"/>
  <c r="AJ4" i="3"/>
  <c r="AG2" i="4"/>
  <c r="E1" i="4"/>
  <c r="H7" i="4"/>
  <c r="J26" i="9"/>
  <c r="K3" i="4"/>
  <c r="DN5" i="4"/>
  <c r="BF4" i="4"/>
  <c r="AJ5" i="3"/>
  <c r="B32" i="9"/>
  <c r="CH2" i="3"/>
  <c r="AK4" i="5"/>
  <c r="AH3" i="5"/>
  <c r="DQ4" i="3"/>
  <c r="DJ6" i="5"/>
  <c r="DA2" i="3"/>
  <c r="CJ5" i="3"/>
  <c r="DM7" i="3"/>
  <c r="AS7" i="3"/>
  <c r="BL1" i="4"/>
  <c r="DF5" i="3"/>
  <c r="AU5" i="3"/>
  <c r="CP5" i="3"/>
  <c r="K2" i="3"/>
  <c r="G6" i="3"/>
  <c r="BE6" i="3"/>
  <c r="AH1" i="4"/>
  <c r="Z4" i="3"/>
  <c r="BA1" i="5"/>
  <c r="BH6" i="3"/>
  <c r="DP5" i="3"/>
  <c r="U3" i="4"/>
  <c r="DF1" i="4"/>
  <c r="BZ5" i="4"/>
  <c r="CG1" i="3"/>
  <c r="BV3" i="3"/>
  <c r="AB3" i="3"/>
  <c r="P1" i="3"/>
  <c r="CC2" i="4"/>
  <c r="BY7" i="4"/>
  <c r="T3" i="5"/>
  <c r="DN6" i="5"/>
  <c r="AO2" i="5"/>
  <c r="CS6" i="4"/>
  <c r="CX1" i="4"/>
  <c r="AJ6" i="4"/>
  <c r="DI3" i="3"/>
  <c r="DE4" i="3"/>
  <c r="B2" i="3"/>
  <c r="AF7" i="4"/>
  <c r="C7" i="3"/>
  <c r="BL5" i="4"/>
  <c r="CX1" i="5"/>
  <c r="AX3" i="4"/>
  <c r="S6" i="5"/>
  <c r="F24" i="9"/>
  <c r="O2" i="4"/>
  <c r="BX5" i="5"/>
  <c r="CO3" i="5"/>
  <c r="CC7" i="3"/>
  <c r="AS6" i="5"/>
  <c r="AV1" i="5"/>
  <c r="T1" i="5"/>
  <c r="BG7" i="3"/>
  <c r="CX2" i="4"/>
  <c r="CI7" i="3"/>
  <c r="E28" i="9"/>
  <c r="DE5" i="4"/>
  <c r="BQ4" i="4"/>
  <c r="H23" i="9"/>
  <c r="CK2" i="5"/>
  <c r="AU2" i="3"/>
  <c r="D1" i="5"/>
  <c r="F15" i="9"/>
  <c r="N7" i="9"/>
  <c r="DL1" i="3"/>
  <c r="CF7" i="3"/>
  <c r="BT5" i="4"/>
  <c r="AX2" i="3"/>
  <c r="DP1" i="4"/>
  <c r="BU4" i="3"/>
  <c r="CG5" i="3"/>
  <c r="J3" i="3"/>
  <c r="CZ7" i="4"/>
  <c r="AZ5" i="4"/>
  <c r="AT1" i="3"/>
  <c r="AA1" i="3"/>
  <c r="AD5" i="3"/>
  <c r="BF6" i="3"/>
  <c r="V2" i="4"/>
  <c r="BS4" i="5"/>
  <c r="CH5" i="3"/>
  <c r="AY3" i="4"/>
  <c r="DI7" i="4"/>
  <c r="DQ5" i="3"/>
  <c r="BP4" i="3"/>
  <c r="H1" i="3"/>
  <c r="BX7" i="3"/>
  <c r="D26" i="9"/>
  <c r="A19" i="9"/>
  <c r="C23" i="9"/>
  <c r="K33" i="9"/>
  <c r="AJ1" i="4"/>
  <c r="DJ2" i="5"/>
  <c r="CH2" i="4"/>
  <c r="AL6" i="5"/>
  <c r="K7" i="4"/>
  <c r="A39" i="9"/>
  <c r="BM7" i="3"/>
  <c r="BK5" i="4"/>
  <c r="J6" i="9"/>
  <c r="S6" i="4"/>
  <c r="AL1" i="4"/>
  <c r="AJ2" i="4"/>
  <c r="BL3" i="4"/>
  <c r="V7" i="5"/>
  <c r="L33" i="9"/>
  <c r="N40" i="9"/>
  <c r="DK7" i="3"/>
  <c r="CP7" i="3"/>
  <c r="AJ7" i="3"/>
  <c r="G5" i="5"/>
  <c r="K1" i="3"/>
  <c r="DJ2" i="3"/>
  <c r="V5" i="4"/>
  <c r="DD1" i="3"/>
  <c r="DN5" i="3"/>
  <c r="D7" i="3"/>
  <c r="AH5" i="4"/>
  <c r="DK2" i="3"/>
  <c r="T4" i="3"/>
  <c r="DQ2" i="3"/>
  <c r="BO6" i="5"/>
  <c r="DJ5" i="5"/>
  <c r="CE5" i="4"/>
  <c r="CS5" i="4"/>
  <c r="BQ5" i="5"/>
  <c r="BN2" i="4"/>
  <c r="BX2" i="3"/>
  <c r="AZ1" i="3"/>
  <c r="A34" i="9"/>
  <c r="BK3" i="5"/>
  <c r="CV6" i="3"/>
  <c r="N28" i="9"/>
  <c r="DB3" i="4"/>
  <c r="I34" i="9"/>
  <c r="CR3" i="3"/>
  <c r="AC4" i="3"/>
  <c r="AJ4" i="5"/>
  <c r="AZ6" i="3"/>
  <c r="K6" i="3"/>
  <c r="BY3" i="3"/>
  <c r="AN4" i="4"/>
  <c r="DP7" i="3"/>
  <c r="BB5" i="4"/>
  <c r="DS3" i="3"/>
  <c r="CP2" i="3"/>
  <c r="AP4" i="4"/>
  <c r="AQ6" i="4"/>
  <c r="BL4" i="4"/>
  <c r="BR3" i="5"/>
  <c r="A9" i="9"/>
  <c r="BX6" i="3"/>
  <c r="CS2" i="3"/>
  <c r="AO7" i="3"/>
  <c r="BF3" i="3"/>
  <c r="BC5" i="5"/>
  <c r="BF5" i="4"/>
  <c r="BU4" i="5"/>
  <c r="R6" i="4"/>
  <c r="E11" i="9"/>
  <c r="CD2" i="4"/>
  <c r="AQ7" i="3"/>
  <c r="DF6" i="4"/>
  <c r="J31" i="9"/>
  <c r="AQ4" i="5"/>
  <c r="DK6" i="3"/>
  <c r="M2" i="3"/>
  <c r="AQ5" i="3"/>
  <c r="CG7" i="4"/>
  <c r="AM7" i="3"/>
  <c r="AQ1" i="4"/>
  <c r="DP4" i="5"/>
  <c r="AC7" i="4"/>
  <c r="DE7" i="4"/>
  <c r="DC2" i="3"/>
  <c r="BT5" i="3"/>
  <c r="CM6" i="4"/>
  <c r="U2" i="4"/>
  <c r="BC5" i="4"/>
  <c r="AD2" i="4"/>
  <c r="D6" i="4"/>
  <c r="CW4" i="3"/>
  <c r="CD6" i="3"/>
  <c r="BC6" i="4"/>
  <c r="CS5" i="3"/>
  <c r="AQ7" i="4"/>
  <c r="AX4" i="4"/>
  <c r="M3" i="9"/>
  <c r="R5" i="3"/>
  <c r="S2" i="5"/>
  <c r="DG3" i="4"/>
  <c r="BY2" i="4"/>
  <c r="L21" i="9"/>
  <c r="AR7" i="3"/>
  <c r="BF1" i="4"/>
  <c r="AG2" i="3"/>
  <c r="CU5" i="4"/>
  <c r="CB2" i="4"/>
  <c r="DG4" i="3"/>
  <c r="AK1" i="4"/>
  <c r="AQ4" i="4"/>
  <c r="R5" i="4"/>
  <c r="L39" i="9"/>
  <c r="G6" i="5"/>
  <c r="V3" i="5"/>
  <c r="L41" i="9"/>
  <c r="F10" i="9"/>
  <c r="DM1" i="3"/>
  <c r="H5" i="9"/>
  <c r="DU6" i="3"/>
  <c r="BG2" i="5"/>
  <c r="BY5" i="5"/>
  <c r="X5" i="3"/>
  <c r="CT2" i="3"/>
  <c r="BD1" i="3"/>
  <c r="D24" i="9"/>
  <c r="BW4" i="4"/>
  <c r="D4" i="5"/>
  <c r="B40" i="9"/>
  <c r="I41" i="9"/>
  <c r="BH5" i="4"/>
  <c r="AJ6" i="5"/>
  <c r="R3" i="4"/>
  <c r="CE7" i="3"/>
  <c r="G4" i="4"/>
  <c r="V6" i="4"/>
  <c r="BB3" i="3"/>
  <c r="F6" i="4"/>
  <c r="BC7" i="3"/>
  <c r="H38" i="9"/>
  <c r="BU4" i="4"/>
  <c r="P2" i="5"/>
  <c r="BL1" i="3"/>
  <c r="E3" i="5"/>
  <c r="O14" i="9"/>
  <c r="X3" i="4"/>
  <c r="CT7" i="3"/>
  <c r="E6" i="4"/>
  <c r="AP1" i="5"/>
  <c r="P7" i="5"/>
  <c r="N3" i="3"/>
  <c r="G6" i="9"/>
  <c r="CF3" i="3"/>
  <c r="V7" i="4"/>
  <c r="BM6" i="3"/>
  <c r="DI4" i="3"/>
  <c r="AP6" i="4"/>
  <c r="B4" i="4"/>
  <c r="CT4" i="3"/>
  <c r="DE1" i="4"/>
  <c r="BP3" i="3"/>
  <c r="CR2" i="4"/>
  <c r="AG1" i="5"/>
  <c r="AD6" i="4"/>
  <c r="DK5" i="4"/>
  <c r="P6" i="4"/>
  <c r="BH4" i="5"/>
  <c r="CT2" i="4"/>
  <c r="AH2" i="4"/>
  <c r="H3" i="9"/>
  <c r="B8" i="9"/>
  <c r="BO5" i="4"/>
  <c r="BK2" i="3"/>
  <c r="DO5" i="4"/>
  <c r="CN2" i="3"/>
  <c r="AN6" i="4"/>
  <c r="DH6" i="3"/>
  <c r="BI1" i="3"/>
  <c r="F7" i="3"/>
  <c r="BN5" i="4"/>
  <c r="CJ7" i="4"/>
  <c r="S4" i="5"/>
  <c r="DF4" i="4"/>
  <c r="AJ7" i="4"/>
  <c r="DT4" i="3"/>
  <c r="CG1" i="5"/>
  <c r="DS7" i="3"/>
  <c r="DO3" i="3"/>
  <c r="DE5" i="5"/>
  <c r="CK2" i="3"/>
  <c r="AM3" i="5"/>
  <c r="CY3" i="5"/>
  <c r="AB4" i="3"/>
  <c r="DJ6" i="3"/>
  <c r="CQ2" i="3"/>
  <c r="CJ4" i="5"/>
  <c r="E7" i="5"/>
  <c r="AV4" i="4"/>
  <c r="W6" i="4"/>
  <c r="CN1" i="4"/>
  <c r="BK3" i="4"/>
  <c r="BN3" i="4"/>
  <c r="T3" i="3"/>
  <c r="AG4" i="4"/>
  <c r="DA5" i="4"/>
  <c r="Y4" i="3"/>
  <c r="X3" i="3"/>
  <c r="L6" i="3"/>
  <c r="A30" i="9"/>
  <c r="E41" i="9"/>
  <c r="DF3" i="5"/>
  <c r="DG7" i="3"/>
  <c r="CG6" i="5"/>
  <c r="BA5" i="5"/>
  <c r="Q4" i="5"/>
  <c r="DC6" i="5"/>
  <c r="BZ6" i="4"/>
  <c r="AR2" i="5"/>
  <c r="CF1" i="5"/>
  <c r="DH2" i="5"/>
  <c r="AZ2" i="3"/>
  <c r="AL3" i="4"/>
  <c r="AW2" i="5"/>
  <c r="CC7" i="4"/>
  <c r="DO7" i="4"/>
  <c r="BC6" i="3"/>
  <c r="T5" i="3"/>
  <c r="BZ1" i="4"/>
  <c r="BS5" i="5"/>
  <c r="AF5" i="4"/>
  <c r="A13" i="9"/>
  <c r="AR5" i="5"/>
  <c r="I26" i="9"/>
  <c r="L6" i="9"/>
  <c r="DM3" i="3"/>
  <c r="DG5" i="5"/>
  <c r="K4" i="3"/>
  <c r="BY1" i="3"/>
  <c r="DM5" i="4"/>
  <c r="CI4" i="5"/>
  <c r="AR3" i="4"/>
  <c r="CK3" i="4"/>
  <c r="DK4" i="3"/>
  <c r="E26" i="9"/>
  <c r="AU4" i="4"/>
  <c r="W1" i="4"/>
  <c r="X4" i="4"/>
  <c r="N13" i="9"/>
  <c r="Z5" i="5"/>
  <c r="AE2" i="3"/>
  <c r="AO1" i="4"/>
  <c r="BX4" i="4"/>
  <c r="AL1" i="3"/>
  <c r="AP7" i="3"/>
  <c r="AU3" i="3"/>
  <c r="AP2" i="5"/>
  <c r="CE1" i="3"/>
  <c r="AZ2" i="4"/>
  <c r="BI6" i="5"/>
  <c r="BN5" i="5"/>
  <c r="AD5" i="4"/>
  <c r="AE4" i="3"/>
  <c r="BQ7" i="3"/>
  <c r="BX1" i="3"/>
  <c r="CK1" i="4"/>
  <c r="AU4" i="5"/>
  <c r="W5" i="3"/>
  <c r="G12" i="9"/>
  <c r="DH5" i="4"/>
  <c r="J22" i="9"/>
  <c r="G41" i="9"/>
  <c r="CA7" i="4"/>
  <c r="O25" i="9"/>
  <c r="BI3" i="4"/>
  <c r="I6" i="9"/>
  <c r="AF4" i="5"/>
  <c r="D5" i="5"/>
  <c r="AW7" i="4"/>
  <c r="CV3" i="3"/>
  <c r="CO1" i="4"/>
  <c r="AN7" i="5"/>
  <c r="BE1" i="4"/>
  <c r="BS5" i="3"/>
  <c r="BO1" i="3"/>
  <c r="CN5" i="3"/>
  <c r="B14" i="9"/>
  <c r="M4" i="3"/>
  <c r="BJ3" i="3"/>
  <c r="DH5" i="3"/>
  <c r="CV7" i="4"/>
  <c r="CM4" i="4"/>
  <c r="O13" i="9"/>
  <c r="BD7" i="4"/>
  <c r="BR2" i="3"/>
  <c r="DH2" i="4"/>
  <c r="G21" i="9"/>
  <c r="BP3" i="4"/>
  <c r="X1" i="3"/>
  <c r="AW7" i="3"/>
  <c r="AD2" i="5"/>
  <c r="DA6" i="4"/>
  <c r="J2" i="3"/>
  <c r="CB6" i="3"/>
  <c r="CY2" i="4"/>
  <c r="AD7" i="5"/>
  <c r="CJ4" i="3"/>
  <c r="O4" i="3"/>
  <c r="C5" i="3"/>
  <c r="AQ1" i="5"/>
  <c r="BD3" i="3"/>
  <c r="CN2" i="4"/>
  <c r="AF4" i="3"/>
  <c r="CM4" i="3"/>
  <c r="AI4" i="3"/>
  <c r="A23" i="9"/>
  <c r="DR3" i="3"/>
  <c r="CI5" i="3"/>
  <c r="BE6" i="4"/>
  <c r="BR4" i="4"/>
  <c r="AI2" i="3"/>
  <c r="BP5" i="3"/>
  <c r="V1" i="3"/>
  <c r="BQ6" i="3"/>
  <c r="H2" i="3"/>
  <c r="BY6" i="3"/>
  <c r="R1" i="4"/>
  <c r="U3" i="3"/>
  <c r="AC3" i="5"/>
  <c r="BJ2" i="5"/>
  <c r="CG5" i="5"/>
  <c r="AX6" i="4"/>
  <c r="N6" i="4"/>
  <c r="BM4" i="3"/>
  <c r="K6" i="9"/>
  <c r="BS2" i="3"/>
  <c r="Y7" i="3"/>
  <c r="DR2" i="3"/>
  <c r="BY5" i="3"/>
  <c r="AC6" i="3"/>
  <c r="DF4" i="5"/>
  <c r="DH1" i="5"/>
  <c r="BP2" i="4"/>
  <c r="DH3" i="3"/>
  <c r="E6" i="5"/>
  <c r="DH1" i="3"/>
  <c r="BR2" i="4"/>
  <c r="DA1" i="5"/>
  <c r="B3" i="3"/>
  <c r="DM6" i="3"/>
  <c r="BN2" i="3"/>
  <c r="BG5" i="5"/>
  <c r="CY6" i="5"/>
  <c r="BR7" i="3"/>
  <c r="L7" i="9"/>
  <c r="BH4" i="3"/>
  <c r="CF4" i="3"/>
  <c r="CL1" i="3"/>
  <c r="H5" i="5"/>
  <c r="AP5" i="4"/>
  <c r="M5" i="3"/>
  <c r="BU3" i="3"/>
  <c r="CY7" i="4"/>
  <c r="CD6" i="4"/>
  <c r="AL2" i="4"/>
  <c r="AV3" i="5"/>
  <c r="CC5" i="4"/>
  <c r="BA7" i="4"/>
  <c r="AT4" i="4"/>
  <c r="DP6" i="4"/>
  <c r="AA4" i="3"/>
  <c r="CG3" i="3"/>
  <c r="H30" i="9"/>
  <c r="CQ7" i="3"/>
  <c r="CR5" i="3"/>
  <c r="CZ4" i="3"/>
  <c r="BF7" i="3"/>
  <c r="CL5" i="4"/>
  <c r="AX7" i="3"/>
  <c r="CW7" i="4"/>
  <c r="BG6" i="4"/>
  <c r="DC6" i="3"/>
  <c r="CT6" i="4"/>
  <c r="CZ6" i="3"/>
  <c r="P3" i="4"/>
  <c r="CP1" i="5"/>
  <c r="DB2" i="3"/>
  <c r="F2" i="5"/>
  <c r="BV3" i="4"/>
  <c r="BB5" i="5"/>
  <c r="CA6" i="5"/>
  <c r="W3" i="5"/>
  <c r="BO7" i="4"/>
  <c r="BP1" i="5"/>
  <c r="Q5" i="5"/>
  <c r="DR6" i="3"/>
  <c r="G27" i="9"/>
  <c r="AC1" i="5"/>
  <c r="BN4" i="3"/>
  <c r="AK6" i="3"/>
  <c r="J32" i="9"/>
  <c r="DI5" i="3"/>
  <c r="AM6" i="3"/>
  <c r="P1" i="4"/>
  <c r="AD6" i="5"/>
  <c r="CH3" i="5"/>
  <c r="C1" i="4"/>
  <c r="DT5" i="3"/>
  <c r="AY2" i="3"/>
  <c r="DB6" i="4"/>
  <c r="BV1" i="5"/>
  <c r="BE5" i="3"/>
  <c r="CM1" i="4"/>
  <c r="BH5" i="5"/>
  <c r="BV6" i="3"/>
  <c r="AQ3" i="3"/>
  <c r="AH5" i="3"/>
  <c r="Q4" i="3"/>
  <c r="K24" i="9"/>
  <c r="AM5" i="5"/>
  <c r="D4" i="4"/>
  <c r="AO7" i="4"/>
  <c r="CO1" i="5"/>
  <c r="BO6" i="3"/>
  <c r="CL1" i="5"/>
  <c r="DN4" i="4"/>
  <c r="N5" i="3"/>
  <c r="AL4" i="4"/>
  <c r="CP2" i="5"/>
  <c r="Q6" i="5"/>
  <c r="AN1" i="5"/>
  <c r="BB1" i="3"/>
  <c r="DD2" i="4"/>
  <c r="DL3" i="3"/>
  <c r="CD2" i="3"/>
  <c r="AA2" i="3"/>
  <c r="BK3" i="3"/>
  <c r="K25" i="9"/>
  <c r="Z7" i="4"/>
  <c r="CC1" i="3"/>
  <c r="AK5" i="4"/>
  <c r="AH3" i="3"/>
  <c r="DA3" i="5"/>
  <c r="BZ1" i="3"/>
  <c r="AK1" i="3"/>
  <c r="E5" i="3"/>
  <c r="AY7" i="3"/>
  <c r="AO6" i="3"/>
  <c r="AB6" i="3"/>
  <c r="DQ3" i="5"/>
  <c r="AN5" i="5"/>
  <c r="AK5" i="3"/>
  <c r="D36" i="9"/>
  <c r="I5" i="4"/>
  <c r="BD1" i="4"/>
  <c r="CO7" i="3"/>
  <c r="CE3" i="5"/>
  <c r="AS2" i="4"/>
  <c r="V1" i="4"/>
  <c r="BD6" i="4"/>
  <c r="G3" i="9"/>
  <c r="CO5" i="3"/>
  <c r="T5" i="5"/>
  <c r="BH2" i="5"/>
  <c r="AG3" i="4"/>
  <c r="DO2" i="3"/>
  <c r="CT4" i="5"/>
  <c r="AP4" i="5"/>
  <c r="AH4" i="3"/>
  <c r="CU1" i="3"/>
  <c r="DH5" i="5"/>
  <c r="BL1" i="5"/>
  <c r="AT7" i="3"/>
  <c r="W4" i="5"/>
  <c r="H5" i="3"/>
  <c r="G13" i="9"/>
  <c r="AG4" i="5"/>
  <c r="DQ3" i="4"/>
  <c r="BI5" i="4"/>
  <c r="H2" i="5"/>
  <c r="CP5" i="4"/>
  <c r="BQ2" i="3"/>
  <c r="W7" i="5"/>
  <c r="H34" i="9"/>
  <c r="BC5" i="3"/>
  <c r="AM2" i="4"/>
  <c r="AP1" i="4"/>
  <c r="BP1" i="3"/>
  <c r="BM3" i="5"/>
  <c r="BL7" i="3"/>
  <c r="AF5" i="5"/>
  <c r="AX5" i="5"/>
  <c r="AT6" i="3"/>
  <c r="I12" i="9"/>
  <c r="AX1" i="5"/>
  <c r="AV7" i="3"/>
  <c r="CD7" i="3"/>
  <c r="S2" i="3"/>
  <c r="DQ1" i="5"/>
  <c r="DQ6" i="4"/>
  <c r="DJ1" i="3"/>
  <c r="AO5" i="3"/>
  <c r="BQ1" i="4"/>
  <c r="CY1" i="5"/>
  <c r="AZ6" i="4"/>
  <c r="BE2" i="4"/>
  <c r="BQ7" i="4"/>
  <c r="DB1" i="4"/>
  <c r="P2" i="3"/>
  <c r="CR6" i="3"/>
  <c r="CL1" i="4"/>
  <c r="DJ5" i="3"/>
  <c r="BH2" i="4"/>
  <c r="AD3" i="3"/>
  <c r="DN2" i="5"/>
  <c r="AK2" i="5"/>
  <c r="AB7" i="4"/>
  <c r="O1" i="4"/>
  <c r="CF1" i="3"/>
  <c r="CA1" i="4"/>
  <c r="CH4" i="4"/>
  <c r="AY5" i="5"/>
  <c r="K5" i="9"/>
  <c r="N6" i="9"/>
  <c r="DG6" i="3"/>
  <c r="CF3" i="5"/>
  <c r="BT1" i="5"/>
  <c r="BH7" i="4"/>
  <c r="BQ6" i="5"/>
  <c r="L1" i="4"/>
  <c r="BE4" i="4"/>
  <c r="BL2" i="5"/>
  <c r="BK1" i="3"/>
  <c r="H6" i="4"/>
  <c r="W3" i="3"/>
  <c r="BL2" i="3"/>
  <c r="DL2" i="4"/>
  <c r="CC3" i="4"/>
  <c r="AD2" i="3"/>
  <c r="BU1" i="4"/>
  <c r="BS3" i="3"/>
  <c r="CM5" i="5"/>
  <c r="I19" i="9"/>
  <c r="BP7" i="3"/>
  <c r="BI7" i="3"/>
  <c r="DE3" i="3"/>
  <c r="A33" i="9"/>
  <c r="CJ1" i="4"/>
  <c r="A10" i="9"/>
  <c r="G29" i="9"/>
  <c r="C18" i="9"/>
  <c r="BA4" i="4"/>
  <c r="U6" i="4"/>
  <c r="N8" i="9"/>
  <c r="L7" i="3"/>
  <c r="AV2" i="4"/>
  <c r="T1" i="3"/>
  <c r="CX4" i="3"/>
  <c r="DM2" i="5"/>
  <c r="AI5" i="3"/>
  <c r="BL6" i="4"/>
  <c r="AG7" i="4"/>
  <c r="DG7" i="4"/>
  <c r="CJ2" i="5"/>
  <c r="AX2" i="4"/>
  <c r="DL4" i="4"/>
  <c r="DA5" i="3"/>
  <c r="CY2" i="5"/>
  <c r="DI4" i="5"/>
  <c r="AL5" i="4"/>
  <c r="CW4" i="4"/>
  <c r="AX5" i="3"/>
  <c r="BK6" i="3"/>
  <c r="F6" i="3"/>
  <c r="BJ7" i="3"/>
  <c r="DO2" i="4"/>
  <c r="BU6" i="3"/>
  <c r="AF6" i="4"/>
  <c r="BS4" i="4"/>
  <c r="BE5" i="4"/>
  <c r="CG2" i="3"/>
  <c r="DT2" i="3"/>
  <c r="DM2" i="3"/>
  <c r="AC5" i="5"/>
  <c r="CT1" i="4"/>
  <c r="C25" i="9"/>
  <c r="DN3" i="3"/>
  <c r="BJ6" i="4"/>
  <c r="AV1" i="3"/>
  <c r="AT1" i="5"/>
  <c r="BS2" i="4"/>
  <c r="AT6" i="4"/>
  <c r="DN3" i="5"/>
  <c r="C4" i="3"/>
  <c r="BH3" i="5"/>
  <c r="BO3" i="3"/>
  <c r="DK4" i="5"/>
  <c r="CF3" i="4"/>
  <c r="AE7" i="4"/>
  <c r="CO5" i="4"/>
  <c r="DQ3" i="3"/>
  <c r="AS1" i="5"/>
  <c r="S3" i="3"/>
  <c r="I7" i="5"/>
  <c r="AL2" i="5"/>
  <c r="AP3" i="3"/>
  <c r="BC2" i="3"/>
  <c r="AL6" i="3"/>
  <c r="BG2" i="3"/>
  <c r="BE6" i="5"/>
  <c r="CI7" i="4"/>
  <c r="DO7" i="3"/>
  <c r="BG3" i="3"/>
  <c r="BM5" i="3"/>
  <c r="BS6" i="4"/>
  <c r="AY3" i="3"/>
  <c r="AQ4" i="3"/>
  <c r="CW5" i="3"/>
  <c r="CW1" i="4"/>
  <c r="BW7" i="3"/>
  <c r="CX3" i="5"/>
  <c r="AI6" i="4"/>
  <c r="CL5" i="3"/>
  <c r="CY5" i="4"/>
  <c r="L26" i="9"/>
  <c r="DF6" i="3"/>
  <c r="BZ3" i="3"/>
  <c r="X4" i="3"/>
  <c r="AC2" i="3"/>
  <c r="DG5" i="3"/>
  <c r="CD1" i="5"/>
  <c r="AB3" i="5"/>
  <c r="CW2" i="5"/>
  <c r="BI2" i="4"/>
  <c r="G6" i="4"/>
  <c r="D6" i="3"/>
  <c r="BI6" i="4"/>
  <c r="CA4" i="5"/>
  <c r="G1" i="3"/>
  <c r="AA6" i="3"/>
  <c r="DA4" i="4"/>
  <c r="AF3" i="5"/>
  <c r="V6" i="5"/>
  <c r="E1" i="3"/>
  <c r="M16" i="9"/>
  <c r="L40" i="9"/>
  <c r="DA4" i="5"/>
  <c r="CC6" i="4"/>
  <c r="DO6" i="5"/>
  <c r="O5" i="3"/>
  <c r="AQ2" i="5"/>
  <c r="AN3" i="3"/>
  <c r="AS3" i="3"/>
  <c r="X6" i="5"/>
  <c r="AS5" i="3"/>
  <c r="BI2" i="3"/>
  <c r="BJ5" i="4"/>
  <c r="BF1" i="5"/>
  <c r="W2" i="4"/>
  <c r="W1" i="3"/>
  <c r="CB1" i="5"/>
  <c r="BJ4" i="3"/>
  <c r="BX1" i="5"/>
  <c r="BV5" i="3"/>
  <c r="Y1" i="3"/>
  <c r="BE3" i="3"/>
  <c r="CB2" i="3"/>
  <c r="CU4" i="3"/>
  <c r="DJ3" i="3"/>
  <c r="DQ1" i="4"/>
  <c r="CF1" i="4"/>
  <c r="AK4" i="3"/>
  <c r="DI6" i="3"/>
  <c r="F29" i="9"/>
  <c r="A27" i="9"/>
  <c r="CW2" i="3"/>
  <c r="C7" i="4"/>
  <c r="H1" i="5"/>
  <c r="CV2" i="5"/>
  <c r="H4" i="4"/>
  <c r="BY5" i="4"/>
  <c r="DA4" i="3"/>
  <c r="BT6" i="4"/>
  <c r="CM7" i="4"/>
  <c r="AH7" i="5"/>
  <c r="CQ3" i="5"/>
  <c r="D35" i="9"/>
  <c r="DG4" i="5"/>
  <c r="CV4" i="3"/>
  <c r="BM2" i="5"/>
  <c r="H32" i="9"/>
  <c r="DC1" i="4"/>
  <c r="CT1" i="3"/>
  <c r="X6" i="3"/>
  <c r="M6" i="3"/>
  <c r="AZ7" i="3"/>
  <c r="B2" i="5"/>
  <c r="G3" i="3"/>
  <c r="AI1" i="4"/>
  <c r="CF5" i="4"/>
  <c r="CG1" i="4"/>
  <c r="DT3" i="3"/>
  <c r="BA1" i="3"/>
  <c r="DN6" i="4"/>
  <c r="BV2" i="4"/>
  <c r="K17" i="9"/>
  <c r="U1" i="5"/>
  <c r="B12" i="9"/>
  <c r="K36" i="9"/>
  <c r="L5" i="4"/>
  <c r="BA7" i="3"/>
  <c r="DD4" i="4"/>
  <c r="M7" i="9"/>
  <c r="B35" i="9"/>
  <c r="AL5" i="3"/>
  <c r="BA5" i="4"/>
  <c r="M7" i="4"/>
  <c r="K5" i="5"/>
  <c r="CF4" i="5"/>
  <c r="B22" i="9"/>
  <c r="AH6" i="5"/>
  <c r="BW6" i="4"/>
  <c r="DR5" i="3"/>
  <c r="CO1" i="3"/>
  <c r="BJ5" i="5"/>
  <c r="S5" i="4"/>
  <c r="DI2" i="4"/>
  <c r="W4" i="3"/>
  <c r="I11" i="9"/>
  <c r="E2" i="3"/>
  <c r="AY7" i="4"/>
  <c r="AM6" i="4"/>
  <c r="BU2" i="3"/>
  <c r="AC4" i="5"/>
  <c r="D6" i="9"/>
  <c r="A11" i="9"/>
  <c r="AO6" i="4"/>
  <c r="BO2" i="4"/>
  <c r="CO4" i="4"/>
  <c r="D4" i="3"/>
  <c r="U6" i="3"/>
  <c r="CB5" i="3"/>
  <c r="DU2" i="3"/>
  <c r="BA6" i="5"/>
  <c r="N2" i="3"/>
  <c r="DO5" i="3"/>
  <c r="E4" i="5"/>
  <c r="H6" i="3"/>
  <c r="A35" i="9"/>
  <c r="BG2" i="4"/>
  <c r="AJ3" i="3"/>
  <c r="AU7" i="3"/>
  <c r="DF2" i="4"/>
  <c r="AA4" i="4"/>
  <c r="W5" i="5"/>
  <c r="AE2" i="4"/>
  <c r="BK4" i="3"/>
  <c r="D18" i="9"/>
  <c r="DG1" i="3"/>
  <c r="DT6" i="3"/>
  <c r="BR5" i="3"/>
  <c r="BN3" i="3"/>
  <c r="BD7" i="3"/>
  <c r="M3" i="5"/>
  <c r="BG1" i="3"/>
  <c r="T5" i="4"/>
  <c r="CD6" i="5"/>
  <c r="AW6" i="3"/>
  <c r="BM3" i="3"/>
  <c r="AI1" i="5"/>
  <c r="CL2" i="3"/>
  <c r="CA2" i="5"/>
  <c r="DL2" i="3"/>
  <c r="DS2" i="3"/>
  <c r="AD1" i="3"/>
  <c r="DU1" i="3"/>
  <c r="AV5" i="3"/>
  <c r="CV1" i="4"/>
  <c r="D12" i="9"/>
  <c r="AY4" i="5"/>
  <c r="DO3" i="4"/>
  <c r="J19" i="9"/>
  <c r="BW6" i="3"/>
  <c r="F2" i="4"/>
  <c r="V3" i="4"/>
  <c r="T2" i="3"/>
  <c r="AR6" i="3"/>
  <c r="CL6" i="3"/>
  <c r="BC2" i="4"/>
  <c r="I14" i="9"/>
  <c r="AQ5" i="5"/>
  <c r="AL3" i="5"/>
  <c r="Z1" i="3"/>
  <c r="BB6" i="4"/>
  <c r="DA1" i="4"/>
  <c r="W2" i="3"/>
  <c r="DP7" i="4"/>
  <c r="BI4" i="3"/>
  <c r="CG4" i="3"/>
  <c r="AY1" i="3"/>
  <c r="M11" i="9"/>
  <c r="D40" i="9"/>
  <c r="CB3" i="3"/>
  <c r="O5" i="9"/>
  <c r="DQ5" i="4"/>
  <c r="A8" i="9"/>
  <c r="AS4" i="3"/>
  <c r="DP2" i="4"/>
  <c r="O6" i="5"/>
  <c r="N3" i="5"/>
  <c r="Q2" i="3"/>
  <c r="L4" i="4"/>
  <c r="AO3" i="3"/>
  <c r="DQ1" i="3"/>
  <c r="CK5" i="3"/>
  <c r="BM1" i="3"/>
  <c r="DE5" i="3"/>
  <c r="BN4" i="5"/>
  <c r="BO4" i="3"/>
  <c r="AT3" i="4"/>
  <c r="BW2" i="4"/>
  <c r="CG3" i="4"/>
  <c r="CP4" i="4"/>
  <c r="AN7" i="4"/>
  <c r="CZ2" i="3"/>
  <c r="CO3" i="3"/>
  <c r="CS4" i="3"/>
  <c r="AG3" i="3"/>
  <c r="F1" i="3"/>
  <c r="DL4" i="5"/>
  <c r="DF3" i="4"/>
  <c r="CY6" i="3"/>
  <c r="P4" i="3"/>
  <c r="E7" i="3"/>
  <c r="DA2" i="5"/>
  <c r="E3" i="3"/>
  <c r="E3" i="9"/>
  <c r="I35" i="9"/>
  <c r="N14" i="9"/>
  <c r="BP7" i="4"/>
  <c r="C5" i="9"/>
  <c r="CK4" i="5"/>
  <c r="AM3" i="3"/>
  <c r="E7" i="4"/>
  <c r="AP1" i="3"/>
  <c r="CA3" i="3"/>
  <c r="AW3" i="3"/>
  <c r="CR5" i="5"/>
  <c r="BT2" i="4"/>
  <c r="BK7" i="3"/>
  <c r="N4" i="3"/>
  <c r="DK1" i="3"/>
  <c r="N1" i="4"/>
  <c r="CW1" i="3"/>
  <c r="BO2" i="3"/>
  <c r="I5" i="5"/>
  <c r="DB5" i="5"/>
  <c r="DF3" i="3"/>
  <c r="CB7" i="4"/>
  <c r="BR3" i="3"/>
  <c r="CU1" i="4"/>
  <c r="AD1" i="5"/>
  <c r="DM6" i="5"/>
  <c r="CL4" i="5"/>
  <c r="DM4" i="5"/>
  <c r="DL5" i="4"/>
  <c r="D5" i="3"/>
  <c r="AN2" i="5"/>
  <c r="AJ1" i="3"/>
  <c r="AF5" i="3"/>
  <c r="AS4" i="4"/>
  <c r="AT2" i="3"/>
  <c r="AI1" i="3"/>
  <c r="CT5" i="5"/>
  <c r="Z5" i="3"/>
  <c r="BZ2" i="3"/>
  <c r="CI4" i="4"/>
  <c r="AK2" i="3"/>
  <c r="BA3" i="5"/>
  <c r="AO1" i="5"/>
  <c r="CN6" i="3"/>
  <c r="W7" i="4"/>
  <c r="AQ2" i="4"/>
  <c r="BP5" i="4"/>
  <c r="BC3" i="4"/>
  <c r="H3" i="4"/>
  <c r="CR4" i="4"/>
  <c r="CS2" i="5"/>
  <c r="BD2" i="3"/>
  <c r="I2" i="3"/>
  <c r="CU6" i="3"/>
  <c r="AW3" i="5"/>
  <c r="AI7" i="5"/>
  <c r="G11" i="9"/>
  <c r="BH2" i="3"/>
  <c r="CC6" i="3"/>
  <c r="CX3" i="4"/>
  <c r="AV3" i="3"/>
  <c r="J5" i="9"/>
  <c r="K23" i="9"/>
  <c r="CP3" i="4"/>
  <c r="BH6" i="4"/>
  <c r="BZ4" i="4"/>
  <c r="P1" i="5"/>
  <c r="CT5" i="4"/>
  <c r="AD7" i="3"/>
  <c r="D5" i="4"/>
  <c r="DN2" i="3"/>
  <c r="DJ6" i="4"/>
  <c r="CG2" i="4"/>
  <c r="CO6" i="4"/>
  <c r="CX7" i="3"/>
  <c r="BJ5" i="3"/>
  <c r="CD4" i="3"/>
  <c r="AF1" i="5"/>
  <c r="BK6" i="4"/>
  <c r="CL7" i="4"/>
  <c r="AY6" i="3"/>
  <c r="AO4" i="3"/>
  <c r="CK7" i="4"/>
  <c r="AT3" i="3"/>
  <c r="O6" i="3"/>
  <c r="CW3" i="5"/>
  <c r="AZ3" i="4"/>
  <c r="AL4" i="5"/>
  <c r="AK3" i="4"/>
  <c r="AK7" i="5"/>
  <c r="AU2" i="4"/>
  <c r="W6" i="5"/>
  <c r="L5" i="3"/>
  <c r="BQ2" i="4"/>
  <c r="CS1" i="3"/>
  <c r="F30" i="9"/>
  <c r="CS7" i="3"/>
  <c r="DE3" i="4"/>
  <c r="BD2" i="5"/>
  <c r="G34" i="9"/>
  <c r="L6" i="4"/>
  <c r="CL2" i="4"/>
  <c r="CK5" i="5"/>
  <c r="CI6" i="4"/>
  <c r="K6" i="5"/>
  <c r="AX5" i="4"/>
  <c r="AS1" i="3"/>
  <c r="BB4" i="4"/>
  <c r="CE4" i="3"/>
  <c r="AP4" i="3"/>
  <c r="AO5" i="5"/>
  <c r="AE5" i="4"/>
  <c r="AP7" i="4"/>
  <c r="BQ1" i="5"/>
  <c r="CI2" i="5"/>
  <c r="DG5" i="4"/>
  <c r="R4" i="4"/>
  <c r="DI4" i="4"/>
  <c r="H4" i="3"/>
  <c r="CS3" i="3"/>
  <c r="AY1" i="4"/>
  <c r="I16" i="9"/>
  <c r="CP4" i="5"/>
  <c r="L3" i="3"/>
  <c r="AT3" i="5"/>
  <c r="AT1" i="4"/>
  <c r="BG4" i="4"/>
  <c r="R4" i="5"/>
  <c r="R5" i="5"/>
  <c r="CK6" i="4"/>
  <c r="Q6" i="3"/>
  <c r="BN1" i="5"/>
  <c r="O30" i="9"/>
  <c r="DH1" i="4"/>
  <c r="U7" i="3"/>
  <c r="AZ4" i="3"/>
  <c r="C4" i="5"/>
  <c r="CB3" i="4"/>
  <c r="DN7" i="4"/>
  <c r="V2" i="5"/>
  <c r="CI6" i="3"/>
  <c r="F5" i="3"/>
  <c r="C8" i="9"/>
  <c r="I29" i="9"/>
  <c r="BL5" i="5"/>
  <c r="F7" i="5"/>
  <c r="AR5" i="3"/>
  <c r="DL3" i="4"/>
  <c r="BX3" i="3"/>
  <c r="J20" i="9"/>
  <c r="Q4" i="4"/>
  <c r="J28" i="9"/>
  <c r="E20" i="9"/>
  <c r="DM5" i="5"/>
  <c r="I4" i="3"/>
  <c r="AV4" i="3"/>
  <c r="AG5" i="3"/>
  <c r="K29" i="9"/>
  <c r="CV2" i="3"/>
  <c r="CH4" i="3"/>
  <c r="AN7" i="3"/>
  <c r="DJ7" i="4"/>
  <c r="DJ4" i="4"/>
  <c r="AM5" i="3"/>
  <c r="S3" i="4"/>
  <c r="DF4" i="3"/>
  <c r="CM4" i="5"/>
  <c r="DO5" i="5"/>
  <c r="DP4" i="3"/>
  <c r="CR1" i="5"/>
  <c r="F3" i="4"/>
  <c r="CX6" i="5"/>
  <c r="DA7" i="3"/>
  <c r="K4" i="9"/>
  <c r="AE1" i="3"/>
  <c r="CQ3" i="4"/>
  <c r="CB6" i="4"/>
  <c r="CH1" i="4"/>
  <c r="A38" i="9"/>
  <c r="F37" i="9"/>
  <c r="BW3" i="3"/>
  <c r="CL6" i="4"/>
  <c r="CH1" i="3"/>
  <c r="I3" i="5"/>
  <c r="F5" i="5"/>
  <c r="Q7" i="3"/>
  <c r="CE6" i="5"/>
  <c r="K19" i="9"/>
  <c r="CR4" i="3"/>
  <c r="CR2" i="3"/>
  <c r="BV7" i="3"/>
  <c r="DF7" i="3"/>
  <c r="L10" i="9"/>
  <c r="CS2" i="4"/>
  <c r="DU7" i="3"/>
  <c r="B4" i="3"/>
  <c r="H13" i="9"/>
  <c r="DS1" i="3"/>
  <c r="CE5" i="3"/>
  <c r="CX7" i="4"/>
  <c r="L3" i="5"/>
  <c r="AB2" i="3"/>
  <c r="AV1" i="4"/>
  <c r="CN3" i="3"/>
  <c r="M3" i="4"/>
  <c r="G3" i="4"/>
  <c r="BR6" i="4"/>
  <c r="CE3" i="4"/>
  <c r="E32" i="9"/>
  <c r="CD3" i="4"/>
  <c r="CN4" i="3"/>
  <c r="M36" i="9"/>
  <c r="R3" i="3"/>
  <c r="DB1" i="5"/>
  <c r="CV5" i="4"/>
  <c r="DU5" i="3"/>
  <c r="AL6" i="4"/>
  <c r="A37" i="9"/>
  <c r="AY5" i="4"/>
  <c r="CE6" i="4"/>
  <c r="H7" i="3"/>
  <c r="BT7" i="4"/>
  <c r="BI3" i="5"/>
  <c r="BB7" i="3"/>
  <c r="P7" i="3"/>
  <c r="AK6" i="5"/>
  <c r="BY2" i="5"/>
  <c r="CY2" i="3"/>
  <c r="BA5" i="3"/>
  <c r="AO3" i="5"/>
  <c r="CT5" i="3"/>
  <c r="BM3" i="4"/>
  <c r="DN4" i="5"/>
  <c r="J2" i="4"/>
  <c r="BF7" i="4"/>
  <c r="CK1" i="5"/>
  <c r="BX3" i="5"/>
  <c r="U3" i="5"/>
  <c r="BS4" i="3"/>
  <c r="AU6" i="3"/>
  <c r="CC4" i="3"/>
  <c r="DM1" i="4"/>
  <c r="BX5" i="3"/>
  <c r="CR1" i="4"/>
  <c r="D3" i="4"/>
  <c r="C9" i="9"/>
  <c r="CJ3" i="4"/>
  <c r="BS7" i="3"/>
  <c r="L2" i="4"/>
  <c r="CW7" i="3"/>
  <c r="AU7" i="4"/>
  <c r="BB4" i="5"/>
  <c r="F3" i="9"/>
  <c r="T4" i="4"/>
  <c r="CJ6" i="4"/>
  <c r="AS5" i="4"/>
  <c r="AS6" i="4"/>
  <c r="AR2" i="3"/>
  <c r="AZ4" i="5"/>
  <c r="BD4" i="3"/>
  <c r="AO1" i="3"/>
  <c r="BA4" i="5"/>
  <c r="I6" i="4"/>
  <c r="AK7" i="4"/>
  <c r="P4" i="4"/>
  <c r="AP5" i="3"/>
  <c r="DD4" i="3"/>
  <c r="AI3" i="3"/>
  <c r="M1" i="3"/>
  <c r="BV5" i="4"/>
  <c r="AZ3" i="3"/>
  <c r="BB4" i="3"/>
  <c r="AN3" i="4"/>
  <c r="AS3" i="4"/>
  <c r="CL4" i="4"/>
  <c r="AB3" i="4"/>
  <c r="B7" i="9"/>
  <c r="AJ2" i="5"/>
  <c r="Y5" i="4"/>
  <c r="CZ6" i="4"/>
  <c r="CW3" i="3"/>
  <c r="CN7" i="4"/>
  <c r="AX1" i="4"/>
  <c r="AH6" i="3"/>
  <c r="DN7" i="3"/>
  <c r="G2" i="4"/>
  <c r="BS1" i="3"/>
  <c r="AB1" i="3"/>
  <c r="DK7" i="4"/>
  <c r="J5" i="3"/>
  <c r="C5" i="4"/>
  <c r="CZ3" i="3"/>
  <c r="BD3" i="4"/>
  <c r="K7" i="3"/>
  <c r="E2" i="5"/>
  <c r="H42" i="9" l="1"/>
  <c r="H43" i="9" s="1"/>
  <c r="J42" i="9"/>
  <c r="J43" i="9" s="1"/>
  <c r="L42" i="9"/>
  <c r="L4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Dziubinski, Sean</author>
  </authors>
  <commentList>
    <comment ref="S1" authorId="0" shapeId="0" xr:uid="{00000000-0006-0000-0000-000001000000}">
      <text>
        <r>
          <rPr>
            <b/>
            <sz val="9"/>
            <color indexed="81"/>
            <rFont val="Tahoma"/>
            <charset val="1"/>
          </rPr>
          <t>Dziubinski, Sean:</t>
        </r>
        <r>
          <rPr>
            <sz val="9"/>
            <color indexed="81"/>
            <rFont val="Tahoma"/>
            <charset val="1"/>
          </rPr>
          <t xml:space="preserve">
% error = (experimental - actual) / actual *100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Dziubinski, Sean</author>
    <author/>
  </authors>
  <commentList>
    <comment ref="S1" authorId="0" shapeId="0" xr:uid="{00000000-0006-0000-0100-000001000000}">
      <text>
        <r>
          <rPr>
            <b/>
            <sz val="9"/>
            <color indexed="81"/>
            <rFont val="Tahoma"/>
            <charset val="1"/>
          </rPr>
          <t>Dziubinski, Sean:</t>
        </r>
        <r>
          <rPr>
            <sz val="9"/>
            <color indexed="81"/>
            <rFont val="Tahoma"/>
            <charset val="1"/>
          </rPr>
          <t xml:space="preserve">
% error = (experimental - actual) / actual *100
</t>
        </r>
      </text>
    </comment>
    <comment ref="M7" authorId="1" shapeId="0" xr:uid="{00000000-0006-0000-0100-000002000000}">
      <text>
        <r>
          <rPr>
            <sz val="11"/>
            <color theme="1"/>
            <rFont val="Calibri"/>
            <scheme val="minor"/>
          </rPr>
          <t>======
ID#AAABLtEvVP8
Sean Dziubinski    (2024-04-13 15:25:39)
fit without point at 825 because it was weird
2 total reactions
Sean Dziubinski reacted with 😁 at 2024-04-15 12:57 PM
Sean Dziubinski reacted with 🤪 at 2024-04-13 08:35 AM</t>
        </r>
      </text>
    </comment>
  </commentList>
  <extLst>
    <ext xmlns:r="http://schemas.openxmlformats.org/officeDocument/2006/relationships" uri="GoogleSheetsCustomDataVersion2">
      <go:sheetsCustomData xmlns:go="http://customooxmlschemas.google.com/" r:id="rId1" roundtripDataSignature="AMtx7mi2lzcI92uqdl0kJb7DPOGAp1eRH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Dziubinski, Sean</author>
  </authors>
  <commentList>
    <comment ref="Q1" authorId="0" shapeId="0" xr:uid="{00000000-0006-0000-0800-000001000000}">
      <text>
        <r>
          <rPr>
            <b/>
            <sz val="9"/>
            <color indexed="81"/>
            <rFont val="Tahoma"/>
            <charset val="1"/>
          </rPr>
          <t>Dziubinski, Sean:</t>
        </r>
        <r>
          <rPr>
            <sz val="9"/>
            <color indexed="81"/>
            <rFont val="Tahoma"/>
            <charset val="1"/>
          </rPr>
          <t xml:space="preserve">
% error = (experimental - actual) / actual *100
</t>
        </r>
      </text>
    </comment>
  </commentList>
</comments>
</file>

<file path=xl/sharedStrings.xml><?xml version="1.0" encoding="utf-8"?>
<sst xmlns="http://schemas.openxmlformats.org/spreadsheetml/2006/main" count="869" uniqueCount="614">
  <si>
    <t>PMT#</t>
  </si>
  <si>
    <t>Location</t>
  </si>
  <si>
    <t>Warm Up Time</t>
  </si>
  <si>
    <t>LED Setting</t>
  </si>
  <si>
    <t>700 V</t>
  </si>
  <si>
    <t>750 V</t>
  </si>
  <si>
    <t>775 V</t>
  </si>
  <si>
    <t>800 V</t>
  </si>
  <si>
    <t>825 V</t>
  </si>
  <si>
    <t>850 V</t>
  </si>
  <si>
    <t>Drift Test @ 800 V</t>
  </si>
  <si>
    <t>Fit Voltage</t>
  </si>
  <si>
    <t>Calibrated</t>
  </si>
  <si>
    <t>Calibrated Resolution</t>
  </si>
  <si>
    <t>Adjusted Voltage</t>
  </si>
  <si>
    <t>Calibrated 2</t>
  </si>
  <si>
    <t>Calibrated 2 Resolution</t>
  </si>
  <si>
    <t>Notes</t>
  </si>
  <si>
    <t>Old Data</t>
  </si>
  <si>
    <t>S1T</t>
  </si>
  <si>
    <t>LV2143</t>
  </si>
  <si>
    <t>S1T5</t>
  </si>
  <si>
    <t>*</t>
  </si>
  <si>
    <t>the reason fits usually underestimate the voltage needed to gain match and why the fit doesnot converge is likely due to the inclusion of 825 and 850 V measurement, where the relationship between voltage and gain is not the same exponential. The curve starts to level out.</t>
  </si>
  <si>
    <t>LV2177</t>
  </si>
  <si>
    <t>S1T4</t>
  </si>
  <si>
    <t>NEED TO INCREASE GAIN OF PMT</t>
  </si>
  <si>
    <t>LV1762</t>
  </si>
  <si>
    <t>S1T3</t>
  </si>
  <si>
    <t>3:37PM-&gt;3:46PM</t>
  </si>
  <si>
    <t>LV2085</t>
  </si>
  <si>
    <t>S1T2</t>
  </si>
  <si>
    <t>4:07PM-&gt;4:21PM</t>
  </si>
  <si>
    <t>Saturates</t>
  </si>
  <si>
    <t>saturates</t>
  </si>
  <si>
    <t>LV2138</t>
  </si>
  <si>
    <t>S1T1</t>
  </si>
  <si>
    <t>4:38PM-&gt;4:52PM</t>
  </si>
  <si>
    <t>S1B</t>
  </si>
  <si>
    <t>LV2125</t>
  </si>
  <si>
    <t>S1B5</t>
  </si>
  <si>
    <t>7:39AM-&gt;8:52AM</t>
  </si>
  <si>
    <t>LV2148</t>
  </si>
  <si>
    <t>S1B4</t>
  </si>
  <si>
    <t>7:39AM-&gt;9:20AM</t>
  </si>
  <si>
    <t>LV2060</t>
  </si>
  <si>
    <t>S1B3</t>
  </si>
  <si>
    <t>7:39AM-&gt;9:42AM</t>
  </si>
  <si>
    <t>LV2029</t>
  </si>
  <si>
    <t>S1B2</t>
  </si>
  <si>
    <t>7:39AM-&gt;10:17AM</t>
  </si>
  <si>
    <t>LV2050</t>
  </si>
  <si>
    <t>S1B1</t>
  </si>
  <si>
    <t>7:39AM-&gt;10:46AM</t>
  </si>
  <si>
    <t>S2T</t>
  </si>
  <si>
    <t>LV2119</t>
  </si>
  <si>
    <t>S2T5</t>
  </si>
  <si>
    <t>11:51AM-&gt;12:01PM</t>
  </si>
  <si>
    <t>the gain of LV2119 is too high. It was saturating and overflowing at 800 V with LED3</t>
  </si>
  <si>
    <t>LV2086</t>
  </si>
  <si>
    <t>S2T4</t>
  </si>
  <si>
    <t>12:16PM-&gt;</t>
  </si>
  <si>
    <t>LV2193</t>
  </si>
  <si>
    <t>S2T3</t>
  </si>
  <si>
    <t>out of range</t>
  </si>
  <si>
    <t>7:37AM -&gt;~ 8:00</t>
  </si>
  <si>
    <t>LV2182</t>
  </si>
  <si>
    <t>S2T2</t>
  </si>
  <si>
    <t>8:50 -&gt;9:11AM</t>
  </si>
  <si>
    <t>LV2134</t>
  </si>
  <si>
    <t>S2T1</t>
  </si>
  <si>
    <t>9:41AM-&gt;9:53AM</t>
  </si>
  <si>
    <t>S2B</t>
  </si>
  <si>
    <t>LV2201</t>
  </si>
  <si>
    <t>S2B5</t>
  </si>
  <si>
    <t>12:56PM-&gt;1:05PM</t>
  </si>
  <si>
    <t>LV2032</t>
  </si>
  <si>
    <t>S2B4</t>
  </si>
  <si>
    <t>1:20PM-&gt;1:30PM</t>
  </si>
  <si>
    <t>LV2070</t>
  </si>
  <si>
    <t>S2B3</t>
  </si>
  <si>
    <t>1:49PM-&gt;1:59PM</t>
  </si>
  <si>
    <t>Too low</t>
  </si>
  <si>
    <t xml:space="preserve">LV2070 was corrected on D10 instead of C10 because QDC2.11 does not work. </t>
  </si>
  <si>
    <t>LV1788</t>
  </si>
  <si>
    <t>S2B2</t>
  </si>
  <si>
    <t>2:19PM-&gt;2:29PM</t>
  </si>
  <si>
    <t xml:space="preserve">There is a smaller peak just right of the main peak. Going to calibrate like this for now. </t>
  </si>
  <si>
    <t>This double peak behavior only exists for 750-800 V</t>
  </si>
  <si>
    <t>LV2121</t>
  </si>
  <si>
    <t>S2B1</t>
  </si>
  <si>
    <t>2:56PM-&gt;3:09PM</t>
  </si>
  <si>
    <t>S3T</t>
  </si>
  <si>
    <t>LV2122</t>
  </si>
  <si>
    <t>S3T5</t>
  </si>
  <si>
    <t>2:16PM-&gt;2:30PM</t>
  </si>
  <si>
    <t>LV2090</t>
  </si>
  <si>
    <t>S3T4</t>
  </si>
  <si>
    <t>LV2063 no idea why LED3 is not linear to 1 and 2?</t>
  </si>
  <si>
    <t>LV2126 had to be moved to E21 because QDC2.021 does not work</t>
  </si>
  <si>
    <t>2:45PM-&gt;2:55PM</t>
  </si>
  <si>
    <t>LV2062</t>
  </si>
  <si>
    <t>S3T3</t>
  </si>
  <si>
    <t>3:14PM-&gt;3:26PM</t>
  </si>
  <si>
    <t>LV2063</t>
  </si>
  <si>
    <t>S3T2</t>
  </si>
  <si>
    <t>3:47PM-&gt;3:58PM</t>
  </si>
  <si>
    <t>LV2126</t>
  </si>
  <si>
    <t>S3T1</t>
  </si>
  <si>
    <t xml:space="preserve">QDC2.021 does not work so switched ribbon cable over to QDC1.021, </t>
  </si>
  <si>
    <t>so the decoupler, HV, and cable remain the same just different QDC channel</t>
  </si>
  <si>
    <t>4:31PM-&gt;4:47PM</t>
  </si>
  <si>
    <t>S3B</t>
  </si>
  <si>
    <t>LV2136</t>
  </si>
  <si>
    <t>S3B5</t>
  </si>
  <si>
    <t>drift test after resting for the weekend for LV2136 at 800 V/LED setting2: starts at 13509 after 45 minute warm up. Now pulsing LED into LV2136 while warming up</t>
  </si>
  <si>
    <t>drift test value taken at 10:23AM 3/11 (1 hr 20 min warm up and 20 with LED)</t>
  </si>
  <si>
    <t>8:51AM-&gt;9:11 am</t>
  </si>
  <si>
    <t>LV2079 doesn't have much of a peak at 700 V</t>
  </si>
  <si>
    <t>LV2176</t>
  </si>
  <si>
    <t>S3B4</t>
  </si>
  <si>
    <t>4/4 started warm up of LV2136 at 800V with led on set3 and still after 20 minutes the peak was only at 9128; moved motor to home and run, nothing changed</t>
  </si>
  <si>
    <t xml:space="preserve">* </t>
  </si>
  <si>
    <t>trying the next PMT so moved LED to LV2176 and this one looks fine but was at 36633 and went to 44461 after 12 minutes</t>
  </si>
  <si>
    <t>8:12:00 AM -&gt;8:28 AM</t>
  </si>
  <si>
    <t xml:space="preserve">went back to LV2136 and now is ok?? </t>
  </si>
  <si>
    <t>LV2079</t>
  </si>
  <si>
    <t>S3B3</t>
  </si>
  <si>
    <t>*LV2136 started at 9241 like earlier</t>
  </si>
  <si>
    <t>*700 and 750 out of range and 775 had lots of noise and low counts in the peak</t>
  </si>
  <si>
    <t>10:05am -&gt; 10:30am</t>
  </si>
  <si>
    <t>LV2083</t>
  </si>
  <si>
    <t>S3B2</t>
  </si>
  <si>
    <t>LV2200 is very high gain and at 775 its still slightly out of range</t>
  </si>
  <si>
    <t>11:03AM-&gt;11:22AM</t>
  </si>
  <si>
    <t>LV2136 on the oscilloscope for LED3 at 800 was around 100 mV and LV2200 on LED2 at 707 is around 100 mV suggesting the PMT or decoupling channel is the problem not the DAQ</t>
  </si>
  <si>
    <t>LV2200</t>
  </si>
  <si>
    <t>S3B1</t>
  </si>
  <si>
    <t>11:55AM-&gt;12:05PM</t>
  </si>
  <si>
    <t>S4T</t>
  </si>
  <si>
    <t>LV2146</t>
  </si>
  <si>
    <t>S4T5</t>
  </si>
  <si>
    <t>3:50PM-&gt;4:05PM</t>
  </si>
  <si>
    <t>LV2155 has low counts on 700 LED1</t>
  </si>
  <si>
    <t>LV2155</t>
  </si>
  <si>
    <t>S4T4</t>
  </si>
  <si>
    <t>LV2146 was a little short of yesterdays mark potentially indicating the exsistence of drift from improper warm up</t>
  </si>
  <si>
    <t>Going to let LV2146 warm up now and see what the 800 V and calibrated values are</t>
  </si>
  <si>
    <t>4:23PM-&gt;4:34PM</t>
  </si>
  <si>
    <t>10:27-&gt;10:43</t>
  </si>
  <si>
    <t>was a negligible difference</t>
  </si>
  <si>
    <t>LV2169</t>
  </si>
  <si>
    <t>S4T3</t>
  </si>
  <si>
    <t xml:space="preserve">7:35AM -&gt; 8:10 </t>
  </si>
  <si>
    <t>LV2169 Looks like it becomes sort of double peak st 775V and 800V, the FWHM goes from normal 421 -&gt; 624, 640 but then it is ok at 825+</t>
  </si>
  <si>
    <t>LV2084</t>
  </si>
  <si>
    <t>S4T2</t>
  </si>
  <si>
    <t>8:42AM-&gt;9:02AM</t>
  </si>
  <si>
    <t>LV2199</t>
  </si>
  <si>
    <t>S4T1</t>
  </si>
  <si>
    <t>9:29AM-&gt;9:52AM</t>
  </si>
  <si>
    <t>S4B</t>
  </si>
  <si>
    <t>LV2144</t>
  </si>
  <si>
    <t>S4B5</t>
  </si>
  <si>
    <t>7:44AM -&gt; 8:10 AM</t>
  </si>
  <si>
    <t>LV2065</t>
  </si>
  <si>
    <t>S4B4</t>
  </si>
  <si>
    <t>9:24AM-&gt;9:41AM</t>
  </si>
  <si>
    <t>LV2031</t>
  </si>
  <si>
    <t>S4B3</t>
  </si>
  <si>
    <t>9:53AM-&gt;10:05AM</t>
  </si>
  <si>
    <t>LV2167</t>
  </si>
  <si>
    <t>S4B2</t>
  </si>
  <si>
    <t>10:20AM-&gt;10:35AM</t>
  </si>
  <si>
    <t>LV2128</t>
  </si>
  <si>
    <t>S4B1</t>
  </si>
  <si>
    <t>I fitted without the point at 700 because I looks very off</t>
  </si>
  <si>
    <t>10:52AM-&gt;11:07AM</t>
  </si>
  <si>
    <t>S1L</t>
  </si>
  <si>
    <t>LV2194</t>
  </si>
  <si>
    <t>S1L10</t>
  </si>
  <si>
    <t>8:45 -&gt; 10:25AM</t>
  </si>
  <si>
    <t>* 4/13/24 Now all measurements in module 0</t>
  </si>
  <si>
    <t>went back 11:35</t>
  </si>
  <si>
    <t>* 4/13/24 Now all measurements in air</t>
  </si>
  <si>
    <t>with new LED sett</t>
  </si>
  <si>
    <t>* LV2194 looks double peaked at 700V on led3</t>
  </si>
  <si>
    <t>LV2140</t>
  </si>
  <si>
    <t>S1L9</t>
  </si>
  <si>
    <t>8:45 -&gt; 10:50 AM</t>
  </si>
  <si>
    <t>with break to move</t>
  </si>
  <si>
    <t>* LV2140 almost saturated at 800V, bad fit; changed LED settings moving forward</t>
  </si>
  <si>
    <t>LV2075</t>
  </si>
  <si>
    <t>S1L8</t>
  </si>
  <si>
    <t>8:45 -&gt; 11:58 AM</t>
  </si>
  <si>
    <t>with breaks to move</t>
  </si>
  <si>
    <t>*LV2075 double peak at 700V on led3</t>
  </si>
  <si>
    <t>LV2095</t>
  </si>
  <si>
    <t>S1L7</t>
  </si>
  <si>
    <t>LV2187</t>
  </si>
  <si>
    <t>S1L6</t>
  </si>
  <si>
    <t>* LV2187 double peak at 700V on led3</t>
  </si>
  <si>
    <t>LV2165</t>
  </si>
  <si>
    <t>S1L5</t>
  </si>
  <si>
    <t>2:50PM-&gt; 3:55 PM</t>
  </si>
  <si>
    <t>saturate</t>
  </si>
  <si>
    <t>LV2087</t>
  </si>
  <si>
    <t>S1L4</t>
  </si>
  <si>
    <t>2:50 -&gt;4:10 PM</t>
  </si>
  <si>
    <t>too low</t>
  </si>
  <si>
    <t>older settings LED</t>
  </si>
  <si>
    <t>still too low overall</t>
  </si>
  <si>
    <t>LV2064</t>
  </si>
  <si>
    <t>S1L3</t>
  </si>
  <si>
    <t>* LV2064 double peak at 750V</t>
  </si>
  <si>
    <t>LV2117</t>
  </si>
  <si>
    <t>S1L2</t>
  </si>
  <si>
    <t>LV2098</t>
  </si>
  <si>
    <t>S1L1</t>
  </si>
  <si>
    <t>finished points ~5:20PM</t>
  </si>
  <si>
    <t>finished calib 6:10</t>
  </si>
  <si>
    <t>S1R</t>
  </si>
  <si>
    <t>LV2100</t>
  </si>
  <si>
    <t>S1R10</t>
  </si>
  <si>
    <t>11:40AM-&gt;12:58PM</t>
  </si>
  <si>
    <t>LV1785</t>
  </si>
  <si>
    <t>S1R9</t>
  </si>
  <si>
    <t>11:40AM-&gt;1:40PM</t>
  </si>
  <si>
    <t>LV2091</t>
  </si>
  <si>
    <t>S1R8</t>
  </si>
  <si>
    <t>11:40-&gt;2:04PM</t>
  </si>
  <si>
    <t>S1R7</t>
  </si>
  <si>
    <t>11:40AM-&gt;2:37PM</t>
  </si>
  <si>
    <t>S1R6</t>
  </si>
  <si>
    <t>11:40AM-&gt;3:02PM</t>
  </si>
  <si>
    <t>checked S1R10 again after this measurement and its still the same so its not the LED must be PMT or QDC related</t>
  </si>
  <si>
    <t>double peak at 800 drift</t>
  </si>
  <si>
    <t>LV2190</t>
  </si>
  <si>
    <t>S1R5</t>
  </si>
  <si>
    <t>7:34AM-&gt;10:43AM</t>
  </si>
  <si>
    <t>LV2186</t>
  </si>
  <si>
    <t>S1R4</t>
  </si>
  <si>
    <t>LV2077</t>
  </si>
  <si>
    <t>S1R3</t>
  </si>
  <si>
    <t>7:34 AM -&gt; 10:01 AM</t>
  </si>
  <si>
    <t>LV1760</t>
  </si>
  <si>
    <t>S1R2</t>
  </si>
  <si>
    <t>7:34AM-&gt;9:33AM</t>
  </si>
  <si>
    <t>LV2123</t>
  </si>
  <si>
    <t>S1R1</t>
  </si>
  <si>
    <t>7:34AM-&gt;8:58AM</t>
  </si>
  <si>
    <t>S2L</t>
  </si>
  <si>
    <t>9:35:00 AM-&gt;10:26AM</t>
  </si>
  <si>
    <t>went back 13:15</t>
  </si>
  <si>
    <t>650, 675, 700, 725</t>
  </si>
  <si>
    <t>9:35:00 AM-&gt;11:27AM</t>
  </si>
  <si>
    <t>went back 13:18</t>
  </si>
  <si>
    <t>saturated</t>
  </si>
  <si>
    <t>exclude 825 V point from the fitting - better fitting</t>
  </si>
  <si>
    <t>9:35:00 AM-&gt;11:55AM</t>
  </si>
  <si>
    <t>went back 13:22</t>
  </si>
  <si>
    <t>9:35:00 AM-&gt;12:25PM</t>
  </si>
  <si>
    <t>went back 13:25</t>
  </si>
  <si>
    <t>9:35:00 AM-&gt;12:50PM</t>
  </si>
  <si>
    <t>went back 13:28</t>
  </si>
  <si>
    <t>14:00 PM-&gt;16:30PM</t>
  </si>
  <si>
    <t>14:00 PM-&gt;16:05PM</t>
  </si>
  <si>
    <t>went back 17:10</t>
  </si>
  <si>
    <t>14:00 PM-&gt;15:40PM</t>
  </si>
  <si>
    <t>went back 17:05</t>
  </si>
  <si>
    <t>14:00 PM-&gt;15:20PM</t>
  </si>
  <si>
    <t>went back 17:00</t>
  </si>
  <si>
    <t>14:00 PM-&gt;14:50PM</t>
  </si>
  <si>
    <t>went back 16:55</t>
  </si>
  <si>
    <t>S4L</t>
  </si>
  <si>
    <t>7:35:00 AM -&gt;8:50 am</t>
  </si>
  <si>
    <t>7:35AM-&gt;10:02AM</t>
  </si>
  <si>
    <t>7:35AM-&gt;10:19AM</t>
  </si>
  <si>
    <t>7:35AM-&gt;10:40AM</t>
  </si>
  <si>
    <t>11:40AM-&gt;2:30PM</t>
  </si>
  <si>
    <t>11:40AM-&gt;2:11PM</t>
  </si>
  <si>
    <t>11:40AM-&gt;1:43PM</t>
  </si>
  <si>
    <t>11:40AM-&gt;1:14PM</t>
  </si>
  <si>
    <t>11:40AM-&gt;12:47PM</t>
  </si>
  <si>
    <t>S3L</t>
  </si>
  <si>
    <t>S3L10</t>
  </si>
  <si>
    <t>12:00 pm -&gt;1:03 pm</t>
  </si>
  <si>
    <t>went back 3:35 pm</t>
  </si>
  <si>
    <t>sat</t>
  </si>
  <si>
    <t>S3L9</t>
  </si>
  <si>
    <t>went back 3:42</t>
  </si>
  <si>
    <t>S3L8</t>
  </si>
  <si>
    <t>went back 3:48</t>
  </si>
  <si>
    <t>* double peak at 750V</t>
  </si>
  <si>
    <t>S3L7</t>
  </si>
  <si>
    <t>S3L6</t>
  </si>
  <si>
    <t>went back 4:00</t>
  </si>
  <si>
    <t>finished taking points</t>
  </si>
  <si>
    <t>S3L5</t>
  </si>
  <si>
    <t>S3L4</t>
  </si>
  <si>
    <t>S3L3</t>
  </si>
  <si>
    <t>S3L2</t>
  </si>
  <si>
    <t>S3L1</t>
  </si>
  <si>
    <t>7:30:00 AM -&gt; 8:33</t>
  </si>
  <si>
    <t>S3R</t>
  </si>
  <si>
    <t>LV2120</t>
  </si>
  <si>
    <t>S3R10</t>
  </si>
  <si>
    <t>12:12PM-&gt;1:16PM</t>
  </si>
  <si>
    <t>LV2071</t>
  </si>
  <si>
    <t>S3R9</t>
  </si>
  <si>
    <t>LV2175</t>
  </si>
  <si>
    <t>S3R8</t>
  </si>
  <si>
    <t>12:12PM-&gt;2:21PM</t>
  </si>
  <si>
    <t>LV2034</t>
  </si>
  <si>
    <t>S3R7</t>
  </si>
  <si>
    <t>12:12PM-&gt;2:42PM</t>
  </si>
  <si>
    <t>LV2081</t>
  </si>
  <si>
    <t>S3R6</t>
  </si>
  <si>
    <t>12:12PM-&gt;3:14PM</t>
  </si>
  <si>
    <t>LV2152</t>
  </si>
  <si>
    <t>S3R5</t>
  </si>
  <si>
    <t>LV2160</t>
  </si>
  <si>
    <t>S3R4</t>
  </si>
  <si>
    <t>8:03AM-&gt;10:32AM</t>
  </si>
  <si>
    <t>LV2089</t>
  </si>
  <si>
    <t>S3R3</t>
  </si>
  <si>
    <t>8:03AM-&gt;10:06AM</t>
  </si>
  <si>
    <t>LV2178</t>
  </si>
  <si>
    <t>S3R2</t>
  </si>
  <si>
    <t>8:03AM-&gt;9:42AM</t>
  </si>
  <si>
    <t>LV2096</t>
  </si>
  <si>
    <t>S3R1</t>
  </si>
  <si>
    <t>8:03AM-&gt;9:00AM</t>
  </si>
  <si>
    <t>S2R</t>
  </si>
  <si>
    <t>9:05AM-&gt;10:10AM</t>
  </si>
  <si>
    <t>*LV2093 has low sensitivity not enough</t>
  </si>
  <si>
    <t>*LV2093 at 750 V has really distinct second peak</t>
  </si>
  <si>
    <t>9:05AM-&gt;10:34AM</t>
  </si>
  <si>
    <t>9:05AM-&gt;11:19AM</t>
  </si>
  <si>
    <t>9:05AM-&gt;11:50AM</t>
  </si>
  <si>
    <t>9:05AM-&gt;12:17PM</t>
  </si>
  <si>
    <t>1:12PM-&gt;3:50PM</t>
  </si>
  <si>
    <t>1:12PM-&gt;3:28PM</t>
  </si>
  <si>
    <t>1:12PM-&gt;3:04PM</t>
  </si>
  <si>
    <t>1:12PM-&gt;2:44PM</t>
  </si>
  <si>
    <t>1:12PM-&gt;2:16PM</t>
  </si>
  <si>
    <t>S4R</t>
  </si>
  <si>
    <t>LV2124</t>
  </si>
  <si>
    <t>S4R10</t>
  </si>
  <si>
    <t>4:18PM-&gt;5.00PM</t>
  </si>
  <si>
    <t>went back 18:45</t>
  </si>
  <si>
    <t>LV2074</t>
  </si>
  <si>
    <t>S4R9</t>
  </si>
  <si>
    <t>went back 18:50</t>
  </si>
  <si>
    <t>LV2092</t>
  </si>
  <si>
    <t>S4R8</t>
  </si>
  <si>
    <t>4:18PM-&gt;5.50PM</t>
  </si>
  <si>
    <t>went back 18:55</t>
  </si>
  <si>
    <t>LV2073</t>
  </si>
  <si>
    <t>S4R7</t>
  </si>
  <si>
    <t>4:18PM-&gt;6.10PM</t>
  </si>
  <si>
    <t>LV2191</t>
  </si>
  <si>
    <t>S4R6</t>
  </si>
  <si>
    <t>4:18PM-&gt;6.30PM</t>
  </si>
  <si>
    <t>LV2188</t>
  </si>
  <si>
    <t>S4R5</t>
  </si>
  <si>
    <t>LV2184</t>
  </si>
  <si>
    <t>S4R4</t>
  </si>
  <si>
    <t>LV2137</t>
  </si>
  <si>
    <t>S4R3</t>
  </si>
  <si>
    <t>LV2057</t>
  </si>
  <si>
    <t>S4R2</t>
  </si>
  <si>
    <t>pretty bad fit</t>
  </si>
  <si>
    <t>LV2127</t>
  </si>
  <si>
    <t>S4R1</t>
  </si>
  <si>
    <t>7:50:00 AM -&gt;8:50 AM</t>
  </si>
  <si>
    <t>PMT #</t>
  </si>
  <si>
    <t>t1</t>
  </si>
  <si>
    <t>A1</t>
  </si>
  <si>
    <t>x0</t>
  </si>
  <si>
    <t>y0</t>
  </si>
  <si>
    <t>Fit</t>
  </si>
  <si>
    <t>-7901.19627 ± 834.00818</t>
  </si>
  <si>
    <t>700.35914 ± 9658902.99808</t>
  </si>
  <si>
    <t>18325.63524 ± 6.15808E8</t>
  </si>
  <si>
    <t>287.43606 ± 9.93231</t>
  </si>
  <si>
    <t>-76378.39225 ± 89173.92065</t>
  </si>
  <si>
    <t>526.12986 ± 8.5477E7</t>
  </si>
  <si>
    <t>77955.38515 ± 1.12896E10</t>
  </si>
  <si>
    <t>590.22504 ± 440.71863</t>
  </si>
  <si>
    <t>scrath work:</t>
  </si>
  <si>
    <t>-1103.46529 ± 117.68196</t>
  </si>
  <si>
    <t>-1094.26309 ± 355.23043</t>
  </si>
  <si>
    <t>700.4559 ± --</t>
  </si>
  <si>
    <t>688.21611 ± 3.48837E7</t>
  </si>
  <si>
    <t>2602.22632 ± --</t>
  </si>
  <si>
    <t>2432.14869 ± 3.34402E8</t>
  </si>
  <si>
    <t>219.60391 ± 6.89817</t>
  </si>
  <si>
    <t>253.71341 ± 25.81445</t>
  </si>
  <si>
    <t>Gas</t>
  </si>
  <si>
    <t>Filled</t>
  </si>
  <si>
    <t>Emptied</t>
  </si>
  <si>
    <t>Check Up</t>
  </si>
  <si>
    <t>Pressure (Torr)</t>
  </si>
  <si>
    <t>Time</t>
  </si>
  <si>
    <t>Date</t>
  </si>
  <si>
    <t>PMT Warm Ups</t>
  </si>
  <si>
    <t>Board</t>
  </si>
  <si>
    <t>Start Time</t>
  </si>
  <si>
    <t>End Time</t>
  </si>
  <si>
    <t>Voltage</t>
  </si>
  <si>
    <t>X</t>
  </si>
  <si>
    <t>12:34PM</t>
  </si>
  <si>
    <t>12:30PM</t>
  </si>
  <si>
    <t>5PM</t>
  </si>
  <si>
    <t>9:45AM</t>
  </si>
  <si>
    <t>9AM</t>
  </si>
  <si>
    <t>4PM</t>
  </si>
  <si>
    <t>4:30PM</t>
  </si>
  <si>
    <t>8:15AM</t>
  </si>
  <si>
    <t>11:30AM</t>
  </si>
  <si>
    <t>10:12AM</t>
  </si>
  <si>
    <t>11:40AM</t>
  </si>
  <si>
    <t>3:45PM</t>
  </si>
  <si>
    <t>8AM</t>
  </si>
  <si>
    <t>10:45AM</t>
  </si>
  <si>
    <t>5:10PM</t>
  </si>
  <si>
    <t>9:35AM</t>
  </si>
  <si>
    <t>8:00AM</t>
  </si>
  <si>
    <t>12:40PM</t>
  </si>
  <si>
    <t>9:30AM</t>
  </si>
  <si>
    <t>x</t>
  </si>
  <si>
    <t>4:30pm</t>
  </si>
  <si>
    <t>11:42AM</t>
  </si>
  <si>
    <t>4:20PM</t>
  </si>
  <si>
    <t>4:05PM</t>
  </si>
  <si>
    <t>11:39AM</t>
  </si>
  <si>
    <t>11:19AM</t>
  </si>
  <si>
    <t>11:31AM</t>
  </si>
  <si>
    <t>1:58PM</t>
  </si>
  <si>
    <t>Amplitude (V)</t>
  </si>
  <si>
    <t>Offset (V)</t>
  </si>
  <si>
    <t>Frequency (kHz)</t>
  </si>
  <si>
    <t>Pulse Width (ns)</t>
  </si>
  <si>
    <t>Rise Time (ns)</t>
  </si>
  <si>
    <t>Fall Time (ns)</t>
  </si>
  <si>
    <t>Delay (ns)</t>
  </si>
  <si>
    <t>Load</t>
  </si>
  <si>
    <t>Photoelectrons Equivalent</t>
  </si>
  <si>
    <t>HiZ</t>
  </si>
  <si>
    <t>DAQ Config.</t>
  </si>
  <si>
    <t>Signal Width</t>
  </si>
  <si>
    <t>Input Amp.</t>
  </si>
  <si>
    <t>Jumper Value</t>
  </si>
  <si>
    <t>Integration Long</t>
  </si>
  <si>
    <t>Threshold</t>
  </si>
  <si>
    <t>Window Start</t>
  </si>
  <si>
    <t>Window Width</t>
  </si>
  <si>
    <t>Center (ch)</t>
  </si>
  <si>
    <t>V (mV)</t>
  </si>
  <si>
    <t>Charge per Channel</t>
  </si>
  <si>
    <t>50 pe is</t>
  </si>
  <si>
    <t>0x601</t>
  </si>
  <si>
    <t>C/ch</t>
  </si>
  <si>
    <t>PMT</t>
  </si>
  <si>
    <t>mm</t>
  </si>
  <si>
    <t>Center</t>
  </si>
  <si>
    <t>PMT Warm up with light before scanning</t>
  </si>
  <si>
    <t>Problems?</t>
  </si>
  <si>
    <t>Position</t>
  </si>
  <si>
    <t>S1T5repeat</t>
  </si>
  <si>
    <t>Home</t>
  </si>
  <si>
    <t>ch</t>
  </si>
  <si>
    <t>1:26pm-&gt;1:34pm</t>
  </si>
  <si>
    <r>
      <rPr>
        <b/>
        <sz val="12"/>
        <color theme="1"/>
        <rFont val="Calibri"/>
      </rPr>
      <t>*</t>
    </r>
    <r>
      <rPr>
        <sz val="11"/>
        <color theme="1"/>
        <rFont val="Calibri"/>
      </rPr>
      <t>Peak still moved after turning PMT off, moving LED, PMT back on.</t>
    </r>
    <r>
      <rPr>
        <sz val="12"/>
        <color theme="1"/>
        <rFont val="Calibri"/>
      </rPr>
      <t xml:space="preserve"> </t>
    </r>
    <r>
      <rPr>
        <b/>
        <sz val="12"/>
        <color theme="1"/>
        <rFont val="Calibri"/>
      </rPr>
      <t>*</t>
    </r>
    <r>
      <rPr>
        <sz val="11"/>
        <color theme="1"/>
        <rFont val="Calibri"/>
      </rPr>
      <t xml:space="preserve">At 800 V starting at 10:26am. I did not restart the arduino, so I can only assume I am at -4 mm now after moving backward from -6 mm. If this measurement does not eclipse the -6 mm after 15 minutes of warming up with a light, then I will reposition the LED after restarting the arduino code. </t>
    </r>
    <r>
      <rPr>
        <b/>
        <sz val="12"/>
        <color theme="1"/>
        <rFont val="Calibri"/>
      </rPr>
      <t>*</t>
    </r>
    <r>
      <rPr>
        <sz val="11"/>
        <color theme="1"/>
        <rFont val="Calibri"/>
      </rPr>
      <t>peak was at 44854 which was smaller than the intensity further away, so I will redo measurement after reloading arduino. *RESTARTING* Loose connections are hopefully fixed for the motor and braids are added for better grounding between stand and DAQ. Started measurement with warm up at 800 V 1:26pm. Peak is more stable so far, but increasing. *Motor never moved because one phase was disconnected so redoing -4 mm measurement (previous was 42807 ch). * There is some confusion with the measurements. Removing 43114 at 2 because 40782 was for sure at 2 and 38551 at 4.</t>
    </r>
  </si>
  <si>
    <t>Run</t>
  </si>
  <si>
    <t>*when measuring 6mm the first time I think I might have gone too far so 8mm is probably 27063.</t>
  </si>
  <si>
    <t>PMT5</t>
  </si>
  <si>
    <t>*QDC2.011 does not work even after changing jumper chip. Doing measurement on D10 instead of C10.</t>
  </si>
  <si>
    <t>PMT4</t>
  </si>
  <si>
    <t>*0,2,4 and 6 have all had double peaks on spectcl but very close so just going with it</t>
  </si>
  <si>
    <t>PMT3</t>
  </si>
  <si>
    <t>Center:</t>
  </si>
  <si>
    <t>Average:</t>
  </si>
  <si>
    <t>Deviation:</t>
  </si>
  <si>
    <t>%</t>
  </si>
  <si>
    <t>Peak Int.</t>
  </si>
  <si>
    <t>Int. Deviation</t>
  </si>
  <si>
    <t>Reset for Each PMT</t>
  </si>
  <si>
    <t>at calibrated voltage</t>
  </si>
  <si>
    <t>LED1</t>
  </si>
  <si>
    <t>LED1 voltage</t>
  </si>
  <si>
    <t>LED2</t>
  </si>
  <si>
    <t>LED2 voltage</t>
  </si>
  <si>
    <t>LED3</t>
  </si>
  <si>
    <t>LED3 voltage</t>
  </si>
  <si>
    <t>LED1 adjusted</t>
  </si>
  <si>
    <t>Correction voltage</t>
  </si>
  <si>
    <t>LED2 adjusted</t>
  </si>
  <si>
    <t>LED3 adjusted</t>
  </si>
  <si>
    <t>PMT Resolution (%)</t>
  </si>
  <si>
    <t>Drift (%)</t>
  </si>
  <si>
    <t>Gain Accuracy (%)</t>
  </si>
  <si>
    <t>Fit Accuracy (%)</t>
  </si>
  <si>
    <t>ABS Gain</t>
  </si>
  <si>
    <t>Average Gain Accuracy:</t>
  </si>
  <si>
    <t>σ:</t>
  </si>
  <si>
    <t>LV1789</t>
  </si>
  <si>
    <t>LV2179</t>
  </si>
  <si>
    <t>LV2173</t>
  </si>
  <si>
    <t>LV2166</t>
  </si>
  <si>
    <t>LV2157</t>
  </si>
  <si>
    <t>LV2082</t>
  </si>
  <si>
    <t>LV2072</t>
  </si>
  <si>
    <t>LV2058</t>
  </si>
  <si>
    <t>LV2161</t>
  </si>
  <si>
    <t>S4L10</t>
  </si>
  <si>
    <t>S4L9</t>
  </si>
  <si>
    <t>S4L8</t>
  </si>
  <si>
    <t>S4L7</t>
  </si>
  <si>
    <t>S4L6</t>
  </si>
  <si>
    <t>S4L5</t>
  </si>
  <si>
    <t>S4L4</t>
  </si>
  <si>
    <t>S4L3</t>
  </si>
  <si>
    <t>S4L2</t>
  </si>
  <si>
    <t>S4L1</t>
  </si>
  <si>
    <t>LV2093</t>
  </si>
  <si>
    <t>LV2052</t>
  </si>
  <si>
    <t>LV2078</t>
  </si>
  <si>
    <t>LV2174</t>
  </si>
  <si>
    <t>LV2164</t>
  </si>
  <si>
    <t>LV2030</t>
  </si>
  <si>
    <t>LV2163</t>
  </si>
  <si>
    <t>LV2066</t>
  </si>
  <si>
    <t>LV2067</t>
  </si>
  <si>
    <t>LV2094</t>
  </si>
  <si>
    <t>LV2106</t>
  </si>
  <si>
    <t>LV2145</t>
  </si>
  <si>
    <t>LV2069</t>
  </si>
  <si>
    <t>LV2171</t>
  </si>
  <si>
    <t>LV2147</t>
  </si>
  <si>
    <t>LV2159</t>
  </si>
  <si>
    <t>LV2162</t>
  </si>
  <si>
    <t>LV2054</t>
  </si>
  <si>
    <t>LV2047</t>
  </si>
  <si>
    <t>LV2139</t>
  </si>
  <si>
    <t>LV2130</t>
  </si>
  <si>
    <t>LV2076</t>
  </si>
  <si>
    <t>LV2172</t>
  </si>
  <si>
    <t>LV2168</t>
  </si>
  <si>
    <t>LV2185</t>
  </si>
  <si>
    <t>LV2158</t>
  </si>
  <si>
    <t>LV2088</t>
  </si>
  <si>
    <t>LV2181</t>
  </si>
  <si>
    <t>LV2118</t>
  </si>
  <si>
    <t>LV2195</t>
  </si>
  <si>
    <t>S2L10</t>
  </si>
  <si>
    <t>S2L9</t>
  </si>
  <si>
    <t>S2L8</t>
  </si>
  <si>
    <t>S2L7</t>
  </si>
  <si>
    <t>S2L6</t>
  </si>
  <si>
    <t>S2L5</t>
  </si>
  <si>
    <t>S2L4</t>
  </si>
  <si>
    <t>S2L3</t>
  </si>
  <si>
    <t>S2L2</t>
  </si>
  <si>
    <t>S2L1</t>
  </si>
  <si>
    <t>S2R10</t>
  </si>
  <si>
    <t>S2R9</t>
  </si>
  <si>
    <t>S2R8</t>
  </si>
  <si>
    <t>S2R7</t>
  </si>
  <si>
    <t>S2R6</t>
  </si>
  <si>
    <t>S2R5</t>
  </si>
  <si>
    <t>S2R4</t>
  </si>
  <si>
    <t>S2R3</t>
  </si>
  <si>
    <t>S2R2</t>
  </si>
  <si>
    <t>S2R1</t>
  </si>
  <si>
    <t>Stats</t>
  </si>
  <si>
    <t>Value</t>
  </si>
  <si>
    <t>Units</t>
  </si>
  <si>
    <t>Average Drift Accuracy:</t>
  </si>
  <si>
    <t>Gain Accuracy StDev:</t>
  </si>
  <si>
    <t># of Gains Within 1%:</t>
  </si>
  <si>
    <t>Gains</t>
  </si>
  <si>
    <t>% of Gains Within 1%:</t>
  </si>
  <si>
    <t># of LED1 Gains Within 1%:</t>
  </si>
  <si>
    <t>% of LED1 Gains Within 1%:</t>
  </si>
  <si>
    <t>na</t>
  </si>
  <si>
    <t>OLD DATA BEFORE RESISITOR CHANGE</t>
  </si>
  <si>
    <t>700, 725, 750, 775, 800</t>
  </si>
  <si>
    <t>600, 625, 650, 675, 700</t>
  </si>
  <si>
    <t>LV1780</t>
  </si>
  <si>
    <t>LV2131</t>
  </si>
  <si>
    <t>Equation</t>
  </si>
  <si>
    <t>y = Intercept + B1*x^1 + B2*x^2</t>
  </si>
  <si>
    <t>Plot</t>
  </si>
  <si>
    <t>Weight</t>
  </si>
  <si>
    <t>No Weighting</t>
  </si>
  <si>
    <t>Intercept</t>
  </si>
  <si>
    <t>B1</t>
  </si>
  <si>
    <t>B2</t>
  </si>
  <si>
    <t>Residual Sum of Squares</t>
  </si>
  <si>
    <t>R-Square(COD)</t>
  </si>
  <si>
    <t>Adj. R-Square</t>
  </si>
  <si>
    <t>LV2192</t>
  </si>
  <si>
    <t>original</t>
  </si>
  <si>
    <t>Ar/air @ 720 Torr</t>
  </si>
  <si>
    <t>Ar @ 800 Torr</t>
  </si>
  <si>
    <t>Ar @ &gt;800 Torr</t>
  </si>
  <si>
    <t>air @ 760 Torr</t>
  </si>
  <si>
    <t>new LED</t>
  </si>
  <si>
    <t>old LED</t>
  </si>
  <si>
    <t>b</t>
  </si>
  <si>
    <t>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</si>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</sst>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ont>
    <font>
      <sz val="11"/>
      <color theme="1"/>
      <name val="Calibri"/>
    </font>
    <font>
      <sz val="11"/>
      <color theme="1"/>
      <name val="Calibri"/>
      <scheme val="minor"/>
    </font>
    <font>
      <b/>
      <sz val="14"/>
      <color theme="1"/>
      <name val="Calibri"/>
    </font>
    <font>
      <sz val="11"/>
      <color rgb="FF000000"/>
      <name val="Calibri"/>
      <scheme val="minor"/>
    </font>
    <font>
      <sz val="11"/>
      <color rgb="FF000000"/>
      <name val="Calibri"/>
    </font>
    <font>
      <sz val="11"/>
      <color rgb="FFFF0000"/>
      <name val="Calibri"/>
    </font>
    <font>
      <sz val="11"/>
      <color rgb="FF000000"/>
      <name val="Calibri"/>
      <scheme val="minor"/>
    </font>
    <font>
      <sz val="11"/>
      <color rgb="FFFF0000"/>
      <name val="Calibri"/>
      <scheme val="minor"/>
    </font>
    <font>
      <b/>
      <sz val="14"/>
      <color rgb="FF000000"/>
      <name val="Calibri"/>
    </font>
    <font>
      <b/>
      <sz val="11"/>
      <color theme="1"/>
      <name val="Calibri"/>
    </font>
    <font>
      <b/>
      <sz val="13"/>
      <color theme="1"/>
      <name val="Calibri"/>
    </font>
    <font>
      <b/>
      <i/>
      <sz val="11"/>
      <color theme="1"/>
      <name val="Calibri"/>
    </font>
    <font>
      <i/>
      <sz val="11"/>
      <color theme="1"/>
      <name val="Calibri"/>
    </font>
    <font>
      <sz val="9"/>
      <color rgb="FF000000"/>
      <name val="&quot;Google Sans Mono&quot;"/>
    </font>
    <font>
      <sz val="12"/>
      <color theme="1"/>
      <name val="Calibri"/>
    </font>
    <font>
      <sz val="11"/>
      <color rgb="FFFF0000"/>
      <name val="Calibri"/>
      <family val="2"/>
      <scheme val="minor"/>
    </font>
    <font>
      <b/>
      <sz val="11"/>
      <color theme="1"/>
      <name val="Calibri"/>
      <family val="2"/>
      <scheme val="minor"/>
    </font>
    <font>
      <sz val="11"/>
      <color theme="1"/>
      <name val="Calibri"/>
      <family val="2"/>
    </font>
    <font>
      <sz val="9"/>
      <color indexed="81"/>
      <name val="Tahoma"/>
      <charset val="1"/>
    </font>
    <font>
      <b/>
      <sz val="9"/>
      <color indexed="81"/>
      <name val="Tahoma"/>
      <charset val="1"/>
    </font>
    <font>
      <b/>
      <sz val="11"/>
      <color theme="1"/>
      <name val="Calibri"/>
      <family val="2"/>
    </font>
    <font>
      <sz val="11"/>
      <color theme="0" tint="-0.34998626667073579"/>
      <name val="Calibri"/>
      <family val="2"/>
    </font>
    <font>
      <sz val="11"/>
      <color rgb="FFFF0000"/>
      <name val="Calibri"/>
      <family val="2"/>
    </font>
    <font>
      <b/>
      <sz val="11"/>
      <color rgb="FFFF0000"/>
      <name val="Calibri"/>
      <family val="2"/>
    </font>
    <font>
      <b/>
      <sz val="11"/>
      <name val="Calibri"/>
      <family val="2"/>
    </font>
    <font>
      <sz val="11"/>
      <name val="Calibri"/>
      <family val="2"/>
      <scheme val="minor"/>
    </font>
    <font>
      <sz val="11"/>
      <name val="Calibri"/>
      <family val="2"/>
    </font>
    <font>
      <b/>
      <sz val="11"/>
      <color rgb="FFFF0000"/>
      <name val="Calibri"/>
      <family val="2"/>
      <scheme val="minor"/>
    </font>
  </fonts>
  <fills count="11">
    <fill>
      <patternFill patternType="none"/>
    </fill>
    <fill>
      <patternFill patternType="gray125"/>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C6E0B4"/>
        <bgColor rgb="FFC6E0B4"/>
      </patternFill>
    </fill>
    <fill>
      <patternFill patternType="solid">
        <fgColor rgb="FFFFFFFF"/>
        <bgColor rgb="FFFFFFFF"/>
      </patternFill>
    </fill>
    <fill>
      <patternFill patternType="solid">
        <fgColor rgb="FFA8D08D"/>
        <bgColor rgb="FFA8D08D"/>
      </patternFill>
    </fill>
    <fill>
      <patternFill patternType="solid">
        <fgColor rgb="FFDEEAF6"/>
        <bgColor rgb="FFDEEAF6"/>
      </patternFill>
    </fill>
    <fill>
      <patternFill patternType="solid">
        <fgColor rgb="FF92D050"/>
        <bgColor rgb="FF92D050"/>
      </patternFill>
    </fill>
    <fill>
      <patternFill patternType="solid">
        <fgColor rgb="FFFFFF00"/>
        <bgColor indexed="64"/>
      </patternFill>
    </fill>
  </fills>
  <borders count="8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theme="0"/>
      </right>
      <top style="medium">
        <color rgb="FF000000"/>
      </top>
      <bottom style="thin">
        <color theme="0"/>
      </bottom>
      <diagonal/>
    </border>
    <border>
      <left style="thin">
        <color theme="0"/>
      </left>
      <right style="thin">
        <color theme="0"/>
      </right>
      <top style="medium">
        <color rgb="FF000000"/>
      </top>
      <bottom style="thin">
        <color theme="0"/>
      </bottom>
      <diagonal/>
    </border>
    <border>
      <left style="thin">
        <color theme="0"/>
      </left>
      <right style="medium">
        <color rgb="FF000000"/>
      </right>
      <top style="medium">
        <color rgb="FF000000"/>
      </top>
      <bottom style="thin">
        <color theme="0"/>
      </bottom>
      <diagonal/>
    </border>
    <border>
      <left style="medium">
        <color rgb="FF000000"/>
      </left>
      <right/>
      <top/>
      <bottom/>
      <diagonal/>
    </border>
    <border>
      <left/>
      <right style="medium">
        <color rgb="FF000000"/>
      </right>
      <top/>
      <bottom/>
      <diagonal/>
    </border>
    <border>
      <left style="medium">
        <color rgb="FF000000"/>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rgb="FF000000"/>
      </right>
      <top style="thin">
        <color theme="0"/>
      </top>
      <bottom style="thin">
        <color theme="0"/>
      </bottom>
      <diagonal/>
    </border>
    <border>
      <left style="medium">
        <color rgb="FF000000"/>
      </left>
      <right style="thin">
        <color theme="0"/>
      </right>
      <top style="thin">
        <color theme="0"/>
      </top>
      <bottom/>
      <diagonal/>
    </border>
    <border>
      <left style="thin">
        <color theme="0"/>
      </left>
      <right style="thin">
        <color theme="0"/>
      </right>
      <top style="thin">
        <color theme="0"/>
      </top>
      <bottom/>
      <diagonal/>
    </border>
    <border>
      <left style="thin">
        <color theme="0"/>
      </left>
      <right style="medium">
        <color rgb="FF000000"/>
      </right>
      <top style="thin">
        <color theme="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style="medium">
        <color rgb="FF000000"/>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medium">
        <color rgb="FF000000"/>
      </right>
      <top/>
      <bottom style="thin">
        <color theme="0"/>
      </bottom>
      <diagonal/>
    </border>
    <border>
      <left style="medium">
        <color rgb="FF000000"/>
      </left>
      <right style="thin">
        <color theme="0"/>
      </right>
      <top style="thin">
        <color theme="0"/>
      </top>
      <bottom style="medium">
        <color rgb="FF000000"/>
      </bottom>
      <diagonal/>
    </border>
    <border>
      <left style="thin">
        <color theme="0"/>
      </left>
      <right style="thin">
        <color theme="0"/>
      </right>
      <top style="thin">
        <color theme="0"/>
      </top>
      <bottom style="medium">
        <color rgb="FF000000"/>
      </bottom>
      <diagonal/>
    </border>
    <border>
      <left style="thin">
        <color theme="0"/>
      </left>
      <right style="medium">
        <color rgb="FF000000"/>
      </right>
      <top style="thin">
        <color theme="0"/>
      </top>
      <bottom style="medium">
        <color rgb="FF000000"/>
      </bottom>
      <diagonal/>
    </border>
    <border>
      <left style="medium">
        <color theme="1"/>
      </left>
      <right style="thin">
        <color theme="0"/>
      </right>
      <top/>
      <bottom style="thin">
        <color theme="0"/>
      </bottom>
      <diagonal/>
    </border>
    <border>
      <left style="thin">
        <color theme="0"/>
      </left>
      <right style="medium">
        <color theme="1"/>
      </right>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rgb="FF000000"/>
      </left>
      <right/>
      <top/>
      <bottom/>
      <diagonal/>
    </border>
    <border>
      <left style="medium">
        <color theme="1"/>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0"/>
      </right>
      <top style="thin">
        <color theme="0"/>
      </top>
      <bottom style="medium">
        <color theme="1"/>
      </bottom>
      <diagonal/>
    </border>
    <border>
      <left style="thin">
        <color theme="0"/>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medium">
        <color theme="0"/>
      </left>
      <right style="medium">
        <color theme="0"/>
      </right>
      <top style="medium">
        <color theme="0"/>
      </top>
      <bottom style="medium">
        <color theme="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medium">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rgb="FFE7E6E6"/>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92">
    <xf numFmtId="0" fontId="0" fillId="0" borderId="0" xfId="0"/>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5" fillId="2" borderId="5" xfId="0" applyFont="1" applyFill="1" applyBorder="1"/>
    <xf numFmtId="0" fontId="5" fillId="2" borderId="6" xfId="0" applyFont="1" applyFill="1" applyBorder="1"/>
    <xf numFmtId="0" fontId="6" fillId="0" borderId="0" xfId="0" applyFont="1"/>
    <xf numFmtId="0" fontId="7" fillId="2" borderId="7" xfId="0" applyFont="1" applyFill="1" applyBorder="1" applyAlignment="1">
      <alignment horizontal="center"/>
    </xf>
    <xf numFmtId="0" fontId="5" fillId="0" borderId="8" xfId="0" applyFont="1" applyBorder="1"/>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xf numFmtId="0" fontId="5" fillId="0" borderId="18" xfId="0" applyFont="1" applyBorder="1"/>
    <xf numFmtId="0" fontId="5" fillId="0" borderId="19" xfId="0" applyFont="1" applyBorder="1"/>
    <xf numFmtId="0" fontId="5" fillId="0" borderId="20" xfId="0" applyFont="1" applyBorder="1"/>
    <xf numFmtId="0" fontId="5" fillId="0" borderId="21" xfId="0" applyFont="1" applyBorder="1"/>
    <xf numFmtId="0" fontId="5" fillId="0" borderId="22" xfId="0" applyFont="1" applyBorder="1"/>
    <xf numFmtId="0" fontId="5" fillId="0" borderId="23" xfId="0" applyFont="1" applyBorder="1"/>
    <xf numFmtId="0" fontId="5" fillId="0" borderId="24" xfId="0" applyFont="1" applyBorder="1"/>
    <xf numFmtId="0" fontId="8" fillId="0" borderId="0" xfId="0" applyFont="1"/>
    <xf numFmtId="14" fontId="5" fillId="0" borderId="0" xfId="0" applyNumberFormat="1" applyFont="1"/>
    <xf numFmtId="0" fontId="9" fillId="0" borderId="0" xfId="0" applyFont="1"/>
    <xf numFmtId="0" fontId="10" fillId="3" borderId="5" xfId="0" applyFont="1" applyFill="1" applyBorder="1"/>
    <xf numFmtId="0" fontId="10" fillId="3" borderId="25" xfId="0" applyFont="1" applyFill="1" applyBorder="1"/>
    <xf numFmtId="0" fontId="5" fillId="0" borderId="26" xfId="0" applyFont="1" applyBorder="1"/>
    <xf numFmtId="0" fontId="5" fillId="0" borderId="27" xfId="0" applyFont="1" applyBorder="1"/>
    <xf numFmtId="0" fontId="5" fillId="0" borderId="28" xfId="0" applyFont="1" applyBorder="1"/>
    <xf numFmtId="0" fontId="10" fillId="0" borderId="0" xfId="0" applyFont="1"/>
    <xf numFmtId="0" fontId="5" fillId="0" borderId="29" xfId="0" applyFont="1" applyBorder="1"/>
    <xf numFmtId="0" fontId="5" fillId="0" borderId="30" xfId="0" applyFont="1" applyBorder="1"/>
    <xf numFmtId="0" fontId="5" fillId="0" borderId="31" xfId="0" applyFont="1" applyBorder="1"/>
    <xf numFmtId="0" fontId="7" fillId="2" borderId="1" xfId="0" applyFont="1" applyFill="1" applyBorder="1" applyAlignment="1">
      <alignment horizontal="center"/>
    </xf>
    <xf numFmtId="20" fontId="5" fillId="0" borderId="0" xfId="0" applyNumberFormat="1" applyFont="1"/>
    <xf numFmtId="0" fontId="5" fillId="0" borderId="32" xfId="0" applyFont="1" applyBorder="1"/>
    <xf numFmtId="0" fontId="5" fillId="0" borderId="33" xfId="0" applyFont="1" applyBorder="1"/>
    <xf numFmtId="0" fontId="5" fillId="0" borderId="34" xfId="0" applyFont="1" applyBorder="1"/>
    <xf numFmtId="0" fontId="5" fillId="0" borderId="35" xfId="0" applyFont="1" applyBorder="1"/>
    <xf numFmtId="0" fontId="5" fillId="0" borderId="37" xfId="0" applyFont="1" applyBorder="1"/>
    <xf numFmtId="0" fontId="5" fillId="0" borderId="38" xfId="0" applyFont="1" applyBorder="1"/>
    <xf numFmtId="0" fontId="5" fillId="0" borderId="39" xfId="0" applyFont="1" applyBorder="1"/>
    <xf numFmtId="0" fontId="5" fillId="0" borderId="40" xfId="0" applyFont="1" applyBorder="1"/>
    <xf numFmtId="0" fontId="5" fillId="0" borderId="41" xfId="0" applyFont="1" applyBorder="1"/>
    <xf numFmtId="0" fontId="5" fillId="0" borderId="11" xfId="0" applyFont="1" applyBorder="1" applyAlignment="1">
      <alignment wrapText="1"/>
    </xf>
    <xf numFmtId="18" fontId="5" fillId="0" borderId="0" xfId="0" applyNumberFormat="1" applyFont="1"/>
    <xf numFmtId="0" fontId="5" fillId="0" borderId="0" xfId="0" applyFont="1"/>
    <xf numFmtId="0" fontId="5" fillId="0" borderId="42" xfId="0" applyFont="1" applyBorder="1"/>
    <xf numFmtId="0" fontId="9" fillId="0" borderId="0" xfId="0" applyFont="1" applyAlignment="1">
      <alignment horizontal="right"/>
    </xf>
    <xf numFmtId="0" fontId="5" fillId="0" borderId="44" xfId="0" applyFont="1" applyBorder="1"/>
    <xf numFmtId="0" fontId="6" fillId="0" borderId="43" xfId="0" applyFont="1" applyBorder="1"/>
    <xf numFmtId="20" fontId="6" fillId="0" borderId="0" xfId="0" applyNumberFormat="1" applyFont="1"/>
    <xf numFmtId="0" fontId="5" fillId="0" borderId="49" xfId="0" applyFont="1" applyBorder="1"/>
    <xf numFmtId="0" fontId="5" fillId="0" borderId="43" xfId="0" applyFont="1" applyBorder="1"/>
    <xf numFmtId="0" fontId="12" fillId="3" borderId="0" xfId="0" applyFont="1" applyFill="1"/>
    <xf numFmtId="0" fontId="13" fillId="5" borderId="7" xfId="0" applyFont="1" applyFill="1" applyBorder="1" applyAlignment="1">
      <alignment horizontal="center"/>
    </xf>
    <xf numFmtId="0" fontId="4" fillId="2" borderId="50" xfId="0" applyFont="1" applyFill="1" applyBorder="1" applyAlignment="1">
      <alignment horizontal="center" vertical="center"/>
    </xf>
    <xf numFmtId="0" fontId="5" fillId="2" borderId="51" xfId="0" applyFont="1" applyFill="1" applyBorder="1"/>
    <xf numFmtId="0" fontId="5" fillId="2" borderId="52" xfId="0" applyFont="1" applyFill="1" applyBorder="1"/>
    <xf numFmtId="0" fontId="5" fillId="2" borderId="53" xfId="0" applyFont="1" applyFill="1" applyBorder="1"/>
    <xf numFmtId="0" fontId="5" fillId="2" borderId="54" xfId="0" applyFont="1" applyFill="1" applyBorder="1"/>
    <xf numFmtId="0" fontId="5" fillId="2" borderId="55" xfId="0" applyFont="1" applyFill="1" applyBorder="1"/>
    <xf numFmtId="0" fontId="4" fillId="2" borderId="56" xfId="0" applyFont="1" applyFill="1" applyBorder="1" applyAlignment="1">
      <alignment horizontal="center" vertical="center"/>
    </xf>
    <xf numFmtId="0" fontId="4" fillId="2" borderId="57" xfId="0" applyFont="1" applyFill="1" applyBorder="1" applyAlignment="1">
      <alignment horizontal="center" vertical="center"/>
    </xf>
    <xf numFmtId="0" fontId="5" fillId="0" borderId="58" xfId="0" applyFont="1" applyBorder="1"/>
    <xf numFmtId="0" fontId="5" fillId="0" borderId="59" xfId="0" applyFont="1" applyBorder="1"/>
    <xf numFmtId="0" fontId="5" fillId="0" borderId="60" xfId="0" applyFont="1" applyBorder="1"/>
    <xf numFmtId="0" fontId="13" fillId="5" borderId="61" xfId="0" applyFont="1" applyFill="1" applyBorder="1" applyAlignment="1">
      <alignment horizontal="center"/>
    </xf>
    <xf numFmtId="0" fontId="5" fillId="2" borderId="62" xfId="0" applyFont="1" applyFill="1" applyBorder="1"/>
    <xf numFmtId="0" fontId="6" fillId="0" borderId="44" xfId="0" applyFont="1" applyBorder="1"/>
    <xf numFmtId="0" fontId="6" fillId="0" borderId="45" xfId="0" applyFont="1" applyBorder="1"/>
    <xf numFmtId="0" fontId="6" fillId="0" borderId="46" xfId="0" applyFont="1" applyBorder="1"/>
    <xf numFmtId="0" fontId="6" fillId="0" borderId="47" xfId="0" applyFont="1" applyBorder="1"/>
    <xf numFmtId="0" fontId="5" fillId="6" borderId="0" xfId="0" applyFont="1" applyFill="1"/>
    <xf numFmtId="0" fontId="5" fillId="0" borderId="63" xfId="0" applyFont="1" applyBorder="1"/>
    <xf numFmtId="0" fontId="5" fillId="0" borderId="64" xfId="0" applyFont="1" applyBorder="1"/>
    <xf numFmtId="0" fontId="9" fillId="0" borderId="43" xfId="0" applyFont="1" applyBorder="1" applyAlignment="1">
      <alignment horizontal="right"/>
    </xf>
    <xf numFmtId="0" fontId="5" fillId="0" borderId="45" xfId="0" applyFont="1" applyBorder="1"/>
    <xf numFmtId="0" fontId="5" fillId="0" borderId="65" xfId="0" applyFont="1" applyBorder="1"/>
    <xf numFmtId="0" fontId="5" fillId="0" borderId="48" xfId="0" applyFont="1" applyBorder="1"/>
    <xf numFmtId="0" fontId="5" fillId="0" borderId="66" xfId="0" applyFont="1" applyBorder="1"/>
    <xf numFmtId="0" fontId="9" fillId="0" borderId="48" xfId="0" applyFont="1" applyBorder="1" applyAlignment="1">
      <alignment horizontal="right"/>
    </xf>
    <xf numFmtId="0" fontId="6" fillId="0" borderId="67" xfId="0" applyFont="1" applyBorder="1"/>
    <xf numFmtId="0" fontId="6" fillId="0" borderId="68" xfId="0" applyFont="1" applyBorder="1"/>
    <xf numFmtId="0" fontId="6" fillId="0" borderId="69" xfId="0" applyFont="1" applyBorder="1"/>
    <xf numFmtId="0" fontId="13" fillId="5" borderId="49" xfId="0" applyFont="1" applyFill="1" applyBorder="1" applyAlignment="1">
      <alignment horizontal="center"/>
    </xf>
    <xf numFmtId="0" fontId="14" fillId="2" borderId="1" xfId="0" applyFont="1" applyFill="1" applyBorder="1"/>
    <xf numFmtId="0" fontId="14" fillId="2" borderId="2" xfId="0" applyFont="1" applyFill="1" applyBorder="1"/>
    <xf numFmtId="0" fontId="14" fillId="2" borderId="3" xfId="0" applyFont="1" applyFill="1" applyBorder="1"/>
    <xf numFmtId="0" fontId="14" fillId="2" borderId="55" xfId="0" applyFont="1" applyFill="1" applyBorder="1"/>
    <xf numFmtId="0" fontId="14" fillId="2" borderId="52" xfId="0" applyFont="1" applyFill="1" applyBorder="1"/>
    <xf numFmtId="0" fontId="14" fillId="2" borderId="54" xfId="0" applyFont="1" applyFill="1" applyBorder="1"/>
    <xf numFmtId="0" fontId="14" fillId="2" borderId="51" xfId="0" applyFont="1" applyFill="1" applyBorder="1"/>
    <xf numFmtId="0" fontId="4" fillId="2" borderId="70" xfId="0" applyFont="1" applyFill="1" applyBorder="1" applyAlignment="1">
      <alignment horizontal="center" vertical="center"/>
    </xf>
    <xf numFmtId="0" fontId="5" fillId="0" borderId="67" xfId="0" applyFont="1" applyBorder="1"/>
    <xf numFmtId="0" fontId="5" fillId="0" borderId="68" xfId="0" applyFont="1" applyBorder="1"/>
    <xf numFmtId="0" fontId="5" fillId="0" borderId="71" xfId="0" applyFont="1" applyBorder="1"/>
    <xf numFmtId="0" fontId="5" fillId="0" borderId="72" xfId="0" applyFont="1" applyBorder="1"/>
    <xf numFmtId="0" fontId="5" fillId="0" borderId="69" xfId="0" applyFont="1" applyBorder="1"/>
    <xf numFmtId="0" fontId="7" fillId="2" borderId="61" xfId="0" applyFont="1" applyFill="1" applyBorder="1" applyAlignment="1">
      <alignment horizontal="center"/>
    </xf>
    <xf numFmtId="0" fontId="15" fillId="7" borderId="1" xfId="0" applyFont="1" applyFill="1" applyBorder="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xf>
    <xf numFmtId="16" fontId="5" fillId="0" borderId="0" xfId="0" applyNumberFormat="1" applyFont="1"/>
    <xf numFmtId="0" fontId="15" fillId="7" borderId="1" xfId="0" applyFont="1" applyFill="1" applyBorder="1"/>
    <xf numFmtId="0" fontId="4" fillId="2" borderId="25" xfId="0" applyFont="1" applyFill="1" applyBorder="1" applyAlignment="1">
      <alignment horizontal="center" vertical="center" wrapText="1"/>
    </xf>
    <xf numFmtId="0" fontId="14" fillId="8" borderId="73" xfId="0" applyFont="1" applyFill="1" applyBorder="1"/>
    <xf numFmtId="0" fontId="16" fillId="8" borderId="73" xfId="0" applyFont="1" applyFill="1" applyBorder="1"/>
    <xf numFmtId="0" fontId="17" fillId="0" borderId="0" xfId="0" applyFont="1"/>
    <xf numFmtId="0" fontId="5" fillId="0" borderId="0" xfId="0" applyFont="1" applyAlignment="1">
      <alignment wrapText="1"/>
    </xf>
    <xf numFmtId="0" fontId="14" fillId="0" borderId="0" xfId="0" applyFont="1"/>
    <xf numFmtId="0" fontId="5" fillId="9" borderId="25" xfId="0" applyFont="1" applyFill="1" applyBorder="1"/>
    <xf numFmtId="0" fontId="18" fillId="6" borderId="0" xfId="0" applyFont="1" applyFill="1"/>
    <xf numFmtId="0" fontId="0" fillId="0" borderId="25" xfId="0" applyBorder="1"/>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5" fillId="0" borderId="36" xfId="0" applyFont="1" applyBorder="1"/>
    <xf numFmtId="0" fontId="5" fillId="0" borderId="25" xfId="0" applyFont="1" applyBorder="1"/>
    <xf numFmtId="0" fontId="5" fillId="0" borderId="74" xfId="0" applyFont="1" applyBorder="1"/>
    <xf numFmtId="0" fontId="5" fillId="0" borderId="75" xfId="0" applyFont="1" applyBorder="1"/>
    <xf numFmtId="0" fontId="6" fillId="0" borderId="75" xfId="0" applyFont="1" applyBorder="1"/>
    <xf numFmtId="0" fontId="5" fillId="0" borderId="76" xfId="0" applyFont="1" applyBorder="1"/>
    <xf numFmtId="0" fontId="5" fillId="0" borderId="77" xfId="0" applyFont="1" applyBorder="1"/>
    <xf numFmtId="0" fontId="6" fillId="0" borderId="25" xfId="0" applyFont="1" applyBorder="1"/>
    <xf numFmtId="0" fontId="5" fillId="0" borderId="78" xfId="0" applyFont="1" applyBorder="1"/>
    <xf numFmtId="0" fontId="5" fillId="0" borderId="79" xfId="0" applyFont="1" applyBorder="1"/>
    <xf numFmtId="0" fontId="5" fillId="0" borderId="80" xfId="0" applyFont="1" applyBorder="1"/>
    <xf numFmtId="0" fontId="5" fillId="0" borderId="81" xfId="0" applyFont="1" applyBorder="1"/>
    <xf numFmtId="0" fontId="5" fillId="0" borderId="82" xfId="0" applyFont="1" applyBorder="1"/>
    <xf numFmtId="0" fontId="4" fillId="2" borderId="74" xfId="0" applyFont="1" applyFill="1" applyBorder="1" applyAlignment="1">
      <alignment horizontal="center" vertical="center" wrapText="1"/>
    </xf>
    <xf numFmtId="0" fontId="4" fillId="2" borderId="75" xfId="0" applyFont="1" applyFill="1" applyBorder="1" applyAlignment="1">
      <alignment horizontal="center" vertical="center" wrapText="1"/>
    </xf>
    <xf numFmtId="0" fontId="4" fillId="2" borderId="76" xfId="0" applyFont="1" applyFill="1" applyBorder="1" applyAlignment="1">
      <alignment horizontal="center" vertical="center" wrapText="1"/>
    </xf>
    <xf numFmtId="0" fontId="4" fillId="2" borderId="83" xfId="0" applyFont="1" applyFill="1" applyBorder="1" applyAlignment="1">
      <alignment horizontal="center" vertical="center" wrapText="1"/>
    </xf>
    <xf numFmtId="0" fontId="4" fillId="2" borderId="84" xfId="0" applyFont="1" applyFill="1" applyBorder="1" applyAlignment="1">
      <alignment horizontal="center" vertical="center" wrapText="1"/>
    </xf>
    <xf numFmtId="0" fontId="4" fillId="2" borderId="85" xfId="0" applyFont="1" applyFill="1" applyBorder="1" applyAlignment="1">
      <alignment horizontal="center" vertical="center" wrapText="1"/>
    </xf>
    <xf numFmtId="0" fontId="21" fillId="0" borderId="0" xfId="0" applyFont="1"/>
    <xf numFmtId="0" fontId="25" fillId="0" borderId="25" xfId="0" applyFont="1" applyBorder="1"/>
    <xf numFmtId="0" fontId="25" fillId="0" borderId="0" xfId="0" applyFont="1" applyAlignment="1">
      <alignment horizontal="right"/>
    </xf>
    <xf numFmtId="0" fontId="26" fillId="0" borderId="25" xfId="0" applyFont="1" applyBorder="1"/>
    <xf numFmtId="14" fontId="6" fillId="0" borderId="25" xfId="0" applyNumberFormat="1" applyFont="1" applyBorder="1"/>
    <xf numFmtId="0" fontId="9" fillId="0" borderId="25" xfId="0" applyFont="1" applyBorder="1"/>
    <xf numFmtId="0" fontId="9" fillId="0" borderId="25" xfId="0" applyFont="1" applyBorder="1" applyAlignment="1">
      <alignment horizontal="right"/>
    </xf>
    <xf numFmtId="0" fontId="11" fillId="0" borderId="25" xfId="0" applyFont="1" applyBorder="1"/>
    <xf numFmtId="0" fontId="12" fillId="4" borderId="25" xfId="0" applyFont="1" applyFill="1" applyBorder="1"/>
    <xf numFmtId="0" fontId="12" fillId="0" borderId="25" xfId="0" applyFont="1" applyBorder="1"/>
    <xf numFmtId="0" fontId="9" fillId="0" borderId="75" xfId="0" applyFont="1" applyBorder="1"/>
    <xf numFmtId="0" fontId="0" fillId="0" borderId="77" xfId="0" applyBorder="1"/>
    <xf numFmtId="0" fontId="12" fillId="3" borderId="25" xfId="0" applyFont="1" applyFill="1" applyBorder="1"/>
    <xf numFmtId="0" fontId="13" fillId="5" borderId="1" xfId="0" applyFont="1" applyFill="1" applyBorder="1" applyAlignment="1">
      <alignment horizontal="center"/>
    </xf>
    <xf numFmtId="18" fontId="6" fillId="0" borderId="25" xfId="0" applyNumberFormat="1" applyFont="1" applyBorder="1"/>
    <xf numFmtId="0" fontId="28" fillId="10" borderId="77" xfId="0" applyFont="1" applyFill="1" applyBorder="1"/>
    <xf numFmtId="0" fontId="3" fillId="0" borderId="25" xfId="0" applyFont="1" applyBorder="1"/>
    <xf numFmtId="0" fontId="0" fillId="0" borderId="80" xfId="0" applyBorder="1"/>
    <xf numFmtId="0" fontId="22" fillId="0" borderId="25" xfId="0" applyFont="1" applyBorder="1"/>
    <xf numFmtId="0" fontId="3" fillId="0" borderId="0" xfId="0" applyFont="1"/>
    <xf numFmtId="0" fontId="28" fillId="10" borderId="14" xfId="0" applyFont="1" applyFill="1" applyBorder="1"/>
    <xf numFmtId="0" fontId="20" fillId="10" borderId="25" xfId="0" applyFont="1" applyFill="1" applyBorder="1"/>
    <xf numFmtId="0" fontId="20" fillId="10" borderId="0" xfId="0" applyFont="1" applyFill="1"/>
    <xf numFmtId="0" fontId="27" fillId="10" borderId="9" xfId="0" applyFont="1" applyFill="1" applyBorder="1"/>
    <xf numFmtId="0" fontId="28" fillId="3" borderId="4" xfId="0" applyFont="1" applyFill="1" applyBorder="1"/>
    <xf numFmtId="0" fontId="28" fillId="10" borderId="8" xfId="0" applyFont="1" applyFill="1" applyBorder="1"/>
    <xf numFmtId="0" fontId="0" fillId="0" borderId="0" xfId="0" applyAlignment="1">
      <alignment horizontal="right"/>
    </xf>
    <xf numFmtId="0" fontId="2" fillId="0" borderId="0" xfId="0" applyFont="1" applyAlignment="1">
      <alignment horizontal="right"/>
    </xf>
    <xf numFmtId="0" fontId="28" fillId="0" borderId="77" xfId="0" applyFont="1" applyBorder="1"/>
    <xf numFmtId="0" fontId="20" fillId="0" borderId="25" xfId="0" applyFont="1" applyBorder="1"/>
    <xf numFmtId="0" fontId="29" fillId="0" borderId="77" xfId="0" applyFont="1" applyBorder="1"/>
    <xf numFmtId="0" fontId="30" fillId="0" borderId="25" xfId="0" applyFont="1" applyBorder="1"/>
    <xf numFmtId="0" fontId="1" fillId="0" borderId="25" xfId="0" applyFont="1" applyBorder="1"/>
    <xf numFmtId="0" fontId="29" fillId="0" borderId="36" xfId="0" applyFont="1" applyBorder="1"/>
    <xf numFmtId="0" fontId="30" fillId="0" borderId="0" xfId="0" applyFont="1"/>
    <xf numFmtId="0" fontId="31" fillId="0" borderId="14" xfId="0" applyFont="1" applyBorder="1"/>
    <xf numFmtId="0" fontId="27" fillId="10" borderId="74" xfId="0" applyFont="1" applyFill="1" applyBorder="1"/>
    <xf numFmtId="0" fontId="27" fillId="10" borderId="75" xfId="0" applyFont="1" applyFill="1" applyBorder="1"/>
    <xf numFmtId="0" fontId="27" fillId="10" borderId="25" xfId="0" applyFont="1" applyFill="1" applyBorder="1"/>
    <xf numFmtId="0" fontId="20" fillId="0" borderId="0" xfId="0" applyFont="1"/>
    <xf numFmtId="0" fontId="27" fillId="0" borderId="43" xfId="0" applyFont="1" applyBorder="1"/>
    <xf numFmtId="0" fontId="27" fillId="0" borderId="9" xfId="0" applyFont="1" applyBorder="1"/>
    <xf numFmtId="0" fontId="27" fillId="0" borderId="0" xfId="0" applyFont="1"/>
    <xf numFmtId="0" fontId="27" fillId="0" borderId="48" xfId="0" applyFont="1" applyBorder="1"/>
    <xf numFmtId="0" fontId="27" fillId="0" borderId="23" xfId="0" applyFont="1" applyBorder="1"/>
    <xf numFmtId="0" fontId="27" fillId="0" borderId="59" xfId="0" applyFont="1" applyBorder="1"/>
    <xf numFmtId="0" fontId="32" fillId="0" borderId="0" xfId="0" applyFont="1"/>
    <xf numFmtId="0" fontId="27" fillId="0" borderId="77" xfId="0" applyFont="1" applyBorder="1"/>
    <xf numFmtId="3" fontId="32" fillId="0" borderId="25" xfId="0" applyNumberFormat="1" applyFont="1" applyBorder="1"/>
    <xf numFmtId="11" fontId="0" fillId="0" borderId="0" xfId="0" applyNumberFormat="1"/>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Sheet1!$B$1</c:f>
              <c:strCache>
                <c:ptCount val="1"/>
                <c:pt idx="0">
                  <c:v>LED1</c:v>
                </c:pt>
              </c:strCache>
            </c:strRef>
          </c:tx>
          <c:spPr>
            <a:ln>
              <a:noFill/>
            </a:ln>
          </c:spPr>
          <c:marker>
            <c:symbol val="circle"/>
            <c:size val="7"/>
            <c:spPr>
              <a:solidFill>
                <a:schemeClr val="accent1"/>
              </a:solidFill>
              <a:ln cmpd="sng">
                <a:solidFill>
                  <a:schemeClr val="accent1"/>
                </a:solidFill>
              </a:ln>
            </c:spPr>
          </c:marker>
          <c:xVal>
            <c:strRef>
              <c:f>Sheet1!$A$2:$A$1001</c:f>
              <c:strCache>
                <c:ptCount val="41"/>
                <c:pt idx="0">
                  <c:v>LV2143</c:v>
                </c:pt>
                <c:pt idx="1">
                  <c:v>LV2177</c:v>
                </c:pt>
                <c:pt idx="2">
                  <c:v>LV1762</c:v>
                </c:pt>
                <c:pt idx="3">
                  <c:v>LV2085</c:v>
                </c:pt>
                <c:pt idx="4">
                  <c:v>LV2138</c:v>
                </c:pt>
                <c:pt idx="5">
                  <c:v>LV2125</c:v>
                </c:pt>
                <c:pt idx="6">
                  <c:v>LV2148</c:v>
                </c:pt>
                <c:pt idx="7">
                  <c:v>LV2060</c:v>
                </c:pt>
                <c:pt idx="8">
                  <c:v>LV2029</c:v>
                </c:pt>
                <c:pt idx="9">
                  <c:v>LV2050</c:v>
                </c:pt>
                <c:pt idx="10">
                  <c:v>LV2119</c:v>
                </c:pt>
                <c:pt idx="11">
                  <c:v>LV2086</c:v>
                </c:pt>
                <c:pt idx="12">
                  <c:v>LV2193</c:v>
                </c:pt>
                <c:pt idx="13">
                  <c:v>LV2182</c:v>
                </c:pt>
                <c:pt idx="14">
                  <c:v>LV2134</c:v>
                </c:pt>
                <c:pt idx="15">
                  <c:v>LV2201</c:v>
                </c:pt>
                <c:pt idx="16">
                  <c:v>LV2032</c:v>
                </c:pt>
                <c:pt idx="17">
                  <c:v>LV2070</c:v>
                </c:pt>
                <c:pt idx="18">
                  <c:v>LV1788</c:v>
                </c:pt>
                <c:pt idx="19">
                  <c:v>LV2121</c:v>
                </c:pt>
                <c:pt idx="20">
                  <c:v>LV2122</c:v>
                </c:pt>
                <c:pt idx="21">
                  <c:v>LV2090</c:v>
                </c:pt>
                <c:pt idx="22">
                  <c:v>LV2062</c:v>
                </c:pt>
                <c:pt idx="23">
                  <c:v>LV2063</c:v>
                </c:pt>
                <c:pt idx="24">
                  <c:v>LV2126</c:v>
                </c:pt>
                <c:pt idx="25">
                  <c:v>LV2136</c:v>
                </c:pt>
                <c:pt idx="26">
                  <c:v>LV2176</c:v>
                </c:pt>
                <c:pt idx="27">
                  <c:v>LV2079</c:v>
                </c:pt>
                <c:pt idx="28">
                  <c:v>LV2083</c:v>
                </c:pt>
                <c:pt idx="29">
                  <c:v>LV2200</c:v>
                </c:pt>
                <c:pt idx="30">
                  <c:v>LV2146</c:v>
                </c:pt>
                <c:pt idx="31">
                  <c:v>LV2155</c:v>
                </c:pt>
                <c:pt idx="32">
                  <c:v>LV2169</c:v>
                </c:pt>
                <c:pt idx="33">
                  <c:v>LV2084</c:v>
                </c:pt>
                <c:pt idx="34">
                  <c:v>LV2199</c:v>
                </c:pt>
                <c:pt idx="35">
                  <c:v>LV2144</c:v>
                </c:pt>
                <c:pt idx="36">
                  <c:v>LV2065</c:v>
                </c:pt>
                <c:pt idx="37">
                  <c:v>LV2031</c:v>
                </c:pt>
                <c:pt idx="38">
                  <c:v>LV2167</c:v>
                </c:pt>
                <c:pt idx="39">
                  <c:v>LV2128</c:v>
                </c:pt>
                <c:pt idx="40">
                  <c:v>0</c:v>
                </c:pt>
              </c:strCache>
            </c:strRef>
          </c:xVal>
          <c:yVal>
            <c:numRef>
              <c:f>Sheet1!$B$2:$B$1001</c:f>
              <c:numCache>
                <c:formatCode>General</c:formatCode>
                <c:ptCount val="1000"/>
                <c:pt idx="0">
                  <c:v>2057</c:v>
                </c:pt>
                <c:pt idx="1">
                  <c:v>2073</c:v>
                </c:pt>
                <c:pt idx="2">
                  <c:v>2097</c:v>
                </c:pt>
                <c:pt idx="3">
                  <c:v>2117</c:v>
                </c:pt>
                <c:pt idx="4">
                  <c:v>2094</c:v>
                </c:pt>
                <c:pt idx="5">
                  <c:v>2088</c:v>
                </c:pt>
                <c:pt idx="6">
                  <c:v>2090</c:v>
                </c:pt>
                <c:pt idx="7">
                  <c:v>2097</c:v>
                </c:pt>
                <c:pt idx="8">
                  <c:v>2084</c:v>
                </c:pt>
                <c:pt idx="9">
                  <c:v>2161</c:v>
                </c:pt>
                <c:pt idx="10">
                  <c:v>2060</c:v>
                </c:pt>
                <c:pt idx="11">
                  <c:v>2094</c:v>
                </c:pt>
                <c:pt idx="12">
                  <c:v>2137</c:v>
                </c:pt>
                <c:pt idx="13">
                  <c:v>2034</c:v>
                </c:pt>
                <c:pt idx="14">
                  <c:v>2023</c:v>
                </c:pt>
                <c:pt idx="15">
                  <c:v>2114</c:v>
                </c:pt>
                <c:pt idx="16">
                  <c:v>2097</c:v>
                </c:pt>
                <c:pt idx="17">
                  <c:v>2097</c:v>
                </c:pt>
                <c:pt idx="18">
                  <c:v>2051</c:v>
                </c:pt>
                <c:pt idx="19">
                  <c:v>2055</c:v>
                </c:pt>
                <c:pt idx="20">
                  <c:v>2109</c:v>
                </c:pt>
                <c:pt idx="21">
                  <c:v>2094</c:v>
                </c:pt>
                <c:pt idx="22">
                  <c:v>2104</c:v>
                </c:pt>
                <c:pt idx="23">
                  <c:v>2083</c:v>
                </c:pt>
                <c:pt idx="24">
                  <c:v>2078</c:v>
                </c:pt>
                <c:pt idx="25">
                  <c:v>2102</c:v>
                </c:pt>
                <c:pt idx="26">
                  <c:v>2093</c:v>
                </c:pt>
                <c:pt idx="27">
                  <c:v>0</c:v>
                </c:pt>
                <c:pt idx="28">
                  <c:v>2092</c:v>
                </c:pt>
                <c:pt idx="29">
                  <c:v>2150</c:v>
                </c:pt>
                <c:pt idx="30">
                  <c:v>2024</c:v>
                </c:pt>
                <c:pt idx="31">
                  <c:v>2046</c:v>
                </c:pt>
                <c:pt idx="32">
                  <c:v>2076</c:v>
                </c:pt>
                <c:pt idx="33">
                  <c:v>2122</c:v>
                </c:pt>
                <c:pt idx="34">
                  <c:v>2160</c:v>
                </c:pt>
                <c:pt idx="35">
                  <c:v>2225</c:v>
                </c:pt>
                <c:pt idx="36">
                  <c:v>2106</c:v>
                </c:pt>
                <c:pt idx="37">
                  <c:v>2105</c:v>
                </c:pt>
                <c:pt idx="38">
                  <c:v>2073</c:v>
                </c:pt>
                <c:pt idx="39">
                  <c:v>2080</c:v>
                </c:pt>
              </c:numCache>
            </c:numRef>
          </c:yVal>
          <c:smooth val="1"/>
          <c:extLst>
            <c:ext xmlns:c16="http://schemas.microsoft.com/office/drawing/2014/chart" uri="{C3380CC4-5D6E-409C-BE32-E72D297353CC}">
              <c16:uniqueId val="{00000000-E8CB-4A6C-9EB4-E5F55E32CC47}"/>
            </c:ext>
          </c:extLst>
        </c:ser>
        <c:ser>
          <c:idx val="1"/>
          <c:order val="1"/>
          <c:tx>
            <c:strRef>
              <c:f>Sheet1!$H$1</c:f>
              <c:strCache>
                <c:ptCount val="1"/>
                <c:pt idx="0">
                  <c:v>LED1 adjusted</c:v>
                </c:pt>
              </c:strCache>
            </c:strRef>
          </c:tx>
          <c:spPr>
            <a:ln>
              <a:noFill/>
            </a:ln>
          </c:spPr>
          <c:marker>
            <c:symbol val="circle"/>
            <c:size val="7"/>
            <c:spPr>
              <a:solidFill>
                <a:schemeClr val="accent2"/>
              </a:solidFill>
              <a:ln cmpd="sng">
                <a:solidFill>
                  <a:schemeClr val="accent2"/>
                </a:solidFill>
              </a:ln>
            </c:spPr>
          </c:marker>
          <c:xVal>
            <c:strRef>
              <c:f>Sheet1!$A$2:$A$1001</c:f>
              <c:strCache>
                <c:ptCount val="41"/>
                <c:pt idx="0">
                  <c:v>LV2143</c:v>
                </c:pt>
                <c:pt idx="1">
                  <c:v>LV2177</c:v>
                </c:pt>
                <c:pt idx="2">
                  <c:v>LV1762</c:v>
                </c:pt>
                <c:pt idx="3">
                  <c:v>LV2085</c:v>
                </c:pt>
                <c:pt idx="4">
                  <c:v>LV2138</c:v>
                </c:pt>
                <c:pt idx="5">
                  <c:v>LV2125</c:v>
                </c:pt>
                <c:pt idx="6">
                  <c:v>LV2148</c:v>
                </c:pt>
                <c:pt idx="7">
                  <c:v>LV2060</c:v>
                </c:pt>
                <c:pt idx="8">
                  <c:v>LV2029</c:v>
                </c:pt>
                <c:pt idx="9">
                  <c:v>LV2050</c:v>
                </c:pt>
                <c:pt idx="10">
                  <c:v>LV2119</c:v>
                </c:pt>
                <c:pt idx="11">
                  <c:v>LV2086</c:v>
                </c:pt>
                <c:pt idx="12">
                  <c:v>LV2193</c:v>
                </c:pt>
                <c:pt idx="13">
                  <c:v>LV2182</c:v>
                </c:pt>
                <c:pt idx="14">
                  <c:v>LV2134</c:v>
                </c:pt>
                <c:pt idx="15">
                  <c:v>LV2201</c:v>
                </c:pt>
                <c:pt idx="16">
                  <c:v>LV2032</c:v>
                </c:pt>
                <c:pt idx="17">
                  <c:v>LV2070</c:v>
                </c:pt>
                <c:pt idx="18">
                  <c:v>LV1788</c:v>
                </c:pt>
                <c:pt idx="19">
                  <c:v>LV2121</c:v>
                </c:pt>
                <c:pt idx="20">
                  <c:v>LV2122</c:v>
                </c:pt>
                <c:pt idx="21">
                  <c:v>LV2090</c:v>
                </c:pt>
                <c:pt idx="22">
                  <c:v>LV2062</c:v>
                </c:pt>
                <c:pt idx="23">
                  <c:v>LV2063</c:v>
                </c:pt>
                <c:pt idx="24">
                  <c:v>LV2126</c:v>
                </c:pt>
                <c:pt idx="25">
                  <c:v>LV2136</c:v>
                </c:pt>
                <c:pt idx="26">
                  <c:v>LV2176</c:v>
                </c:pt>
                <c:pt idx="27">
                  <c:v>LV2079</c:v>
                </c:pt>
                <c:pt idx="28">
                  <c:v>LV2083</c:v>
                </c:pt>
                <c:pt idx="29">
                  <c:v>LV2200</c:v>
                </c:pt>
                <c:pt idx="30">
                  <c:v>LV2146</c:v>
                </c:pt>
                <c:pt idx="31">
                  <c:v>LV2155</c:v>
                </c:pt>
                <c:pt idx="32">
                  <c:v>LV2169</c:v>
                </c:pt>
                <c:pt idx="33">
                  <c:v>LV2084</c:v>
                </c:pt>
                <c:pt idx="34">
                  <c:v>LV2199</c:v>
                </c:pt>
                <c:pt idx="35">
                  <c:v>LV2144</c:v>
                </c:pt>
                <c:pt idx="36">
                  <c:v>LV2065</c:v>
                </c:pt>
                <c:pt idx="37">
                  <c:v>LV2031</c:v>
                </c:pt>
                <c:pt idx="38">
                  <c:v>LV2167</c:v>
                </c:pt>
                <c:pt idx="39">
                  <c:v>LV2128</c:v>
                </c:pt>
                <c:pt idx="40">
                  <c:v>0</c:v>
                </c:pt>
              </c:strCache>
            </c:strRef>
          </c:xVal>
          <c:yVal>
            <c:numRef>
              <c:f>Sheet1!$H$2:$H$1001</c:f>
              <c:numCache>
                <c:formatCode>General</c:formatCode>
                <c:ptCount val="1000"/>
                <c:pt idx="0">
                  <c:v>2057</c:v>
                </c:pt>
                <c:pt idx="1">
                  <c:v>2073</c:v>
                </c:pt>
                <c:pt idx="2">
                  <c:v>2097</c:v>
                </c:pt>
                <c:pt idx="3">
                  <c:v>2117</c:v>
                </c:pt>
                <c:pt idx="4">
                  <c:v>2094</c:v>
                </c:pt>
                <c:pt idx="5">
                  <c:v>2088</c:v>
                </c:pt>
                <c:pt idx="6">
                  <c:v>2090</c:v>
                </c:pt>
                <c:pt idx="7">
                  <c:v>2097</c:v>
                </c:pt>
                <c:pt idx="8">
                  <c:v>2084</c:v>
                </c:pt>
                <c:pt idx="9">
                  <c:v>2161</c:v>
                </c:pt>
                <c:pt idx="10">
                  <c:v>2060</c:v>
                </c:pt>
                <c:pt idx="11">
                  <c:v>2094</c:v>
                </c:pt>
                <c:pt idx="12">
                  <c:v>2137</c:v>
                </c:pt>
                <c:pt idx="13">
                  <c:v>2034</c:v>
                </c:pt>
                <c:pt idx="14">
                  <c:v>2040</c:v>
                </c:pt>
                <c:pt idx="15">
                  <c:v>2114</c:v>
                </c:pt>
                <c:pt idx="16">
                  <c:v>2097</c:v>
                </c:pt>
                <c:pt idx="17">
                  <c:v>2097</c:v>
                </c:pt>
                <c:pt idx="18">
                  <c:v>2079</c:v>
                </c:pt>
                <c:pt idx="19">
                  <c:v>2055</c:v>
                </c:pt>
                <c:pt idx="20">
                  <c:v>2109</c:v>
                </c:pt>
                <c:pt idx="21">
                  <c:v>2094</c:v>
                </c:pt>
                <c:pt idx="22">
                  <c:v>2104</c:v>
                </c:pt>
                <c:pt idx="23">
                  <c:v>0</c:v>
                </c:pt>
                <c:pt idx="24">
                  <c:v>2078</c:v>
                </c:pt>
                <c:pt idx="25">
                  <c:v>2102</c:v>
                </c:pt>
                <c:pt idx="26">
                  <c:v>2087</c:v>
                </c:pt>
                <c:pt idx="27">
                  <c:v>0</c:v>
                </c:pt>
                <c:pt idx="28">
                  <c:v>2092</c:v>
                </c:pt>
                <c:pt idx="29">
                  <c:v>2150</c:v>
                </c:pt>
                <c:pt idx="30">
                  <c:v>2070</c:v>
                </c:pt>
                <c:pt idx="31">
                  <c:v>2068</c:v>
                </c:pt>
                <c:pt idx="32">
                  <c:v>2076</c:v>
                </c:pt>
                <c:pt idx="33">
                  <c:v>2122</c:v>
                </c:pt>
                <c:pt idx="34">
                  <c:v>2160</c:v>
                </c:pt>
                <c:pt idx="35">
                  <c:v>2180</c:v>
                </c:pt>
                <c:pt idx="36">
                  <c:v>2106</c:v>
                </c:pt>
                <c:pt idx="37">
                  <c:v>2105</c:v>
                </c:pt>
                <c:pt idx="38">
                  <c:v>2073</c:v>
                </c:pt>
                <c:pt idx="39">
                  <c:v>2080</c:v>
                </c:pt>
                <c:pt idx="40">
                  <c:v>463.51278506970738</c:v>
                </c:pt>
                <c:pt idx="41">
                  <c:v>22.072037384271781</c:v>
                </c:pt>
              </c:numCache>
            </c:numRef>
          </c:yVal>
          <c:smooth val="1"/>
          <c:extLst>
            <c:ext xmlns:c16="http://schemas.microsoft.com/office/drawing/2014/chart" uri="{C3380CC4-5D6E-409C-BE32-E72D297353CC}">
              <c16:uniqueId val="{00000001-E8CB-4A6C-9EB4-E5F55E32CC47}"/>
            </c:ext>
          </c:extLst>
        </c:ser>
        <c:dLbls>
          <c:showLegendKey val="0"/>
          <c:showVal val="0"/>
          <c:showCatName val="0"/>
          <c:showSerName val="0"/>
          <c:showPercent val="0"/>
          <c:showBubbleSize val="0"/>
        </c:dLbls>
        <c:axId val="853717315"/>
        <c:axId val="39521669"/>
      </c:scatterChart>
      <c:valAx>
        <c:axId val="85371731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9521669"/>
        <c:crosses val="autoZero"/>
        <c:crossBetween val="midCat"/>
      </c:valAx>
      <c:valAx>
        <c:axId val="39521669"/>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53717315"/>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Sheet1!$D$1</c:f>
              <c:strCache>
                <c:ptCount val="1"/>
                <c:pt idx="0">
                  <c:v>LED2</c:v>
                </c:pt>
              </c:strCache>
            </c:strRef>
          </c:tx>
          <c:spPr>
            <a:ln>
              <a:noFill/>
            </a:ln>
          </c:spPr>
          <c:marker>
            <c:symbol val="circle"/>
            <c:size val="7"/>
            <c:spPr>
              <a:solidFill>
                <a:schemeClr val="accent1"/>
              </a:solidFill>
              <a:ln cmpd="sng">
                <a:solidFill>
                  <a:schemeClr val="accent1"/>
                </a:solidFill>
              </a:ln>
            </c:spPr>
          </c:marker>
          <c:xVal>
            <c:strRef>
              <c:f>Sheet1!$A$2:$A$1001</c:f>
              <c:strCache>
                <c:ptCount val="41"/>
                <c:pt idx="0">
                  <c:v>LV2143</c:v>
                </c:pt>
                <c:pt idx="1">
                  <c:v>LV2177</c:v>
                </c:pt>
                <c:pt idx="2">
                  <c:v>LV1762</c:v>
                </c:pt>
                <c:pt idx="3">
                  <c:v>LV2085</c:v>
                </c:pt>
                <c:pt idx="4">
                  <c:v>LV2138</c:v>
                </c:pt>
                <c:pt idx="5">
                  <c:v>LV2125</c:v>
                </c:pt>
                <c:pt idx="6">
                  <c:v>LV2148</c:v>
                </c:pt>
                <c:pt idx="7">
                  <c:v>LV2060</c:v>
                </c:pt>
                <c:pt idx="8">
                  <c:v>LV2029</c:v>
                </c:pt>
                <c:pt idx="9">
                  <c:v>LV2050</c:v>
                </c:pt>
                <c:pt idx="10">
                  <c:v>LV2119</c:v>
                </c:pt>
                <c:pt idx="11">
                  <c:v>LV2086</c:v>
                </c:pt>
                <c:pt idx="12">
                  <c:v>LV2193</c:v>
                </c:pt>
                <c:pt idx="13">
                  <c:v>LV2182</c:v>
                </c:pt>
                <c:pt idx="14">
                  <c:v>LV2134</c:v>
                </c:pt>
                <c:pt idx="15">
                  <c:v>LV2201</c:v>
                </c:pt>
                <c:pt idx="16">
                  <c:v>LV2032</c:v>
                </c:pt>
                <c:pt idx="17">
                  <c:v>LV2070</c:v>
                </c:pt>
                <c:pt idx="18">
                  <c:v>LV1788</c:v>
                </c:pt>
                <c:pt idx="19">
                  <c:v>LV2121</c:v>
                </c:pt>
                <c:pt idx="20">
                  <c:v>LV2122</c:v>
                </c:pt>
                <c:pt idx="21">
                  <c:v>LV2090</c:v>
                </c:pt>
                <c:pt idx="22">
                  <c:v>LV2062</c:v>
                </c:pt>
                <c:pt idx="23">
                  <c:v>LV2063</c:v>
                </c:pt>
                <c:pt idx="24">
                  <c:v>LV2126</c:v>
                </c:pt>
                <c:pt idx="25">
                  <c:v>LV2136</c:v>
                </c:pt>
                <c:pt idx="26">
                  <c:v>LV2176</c:v>
                </c:pt>
                <c:pt idx="27">
                  <c:v>LV2079</c:v>
                </c:pt>
                <c:pt idx="28">
                  <c:v>LV2083</c:v>
                </c:pt>
                <c:pt idx="29">
                  <c:v>LV2200</c:v>
                </c:pt>
                <c:pt idx="30">
                  <c:v>LV2146</c:v>
                </c:pt>
                <c:pt idx="31">
                  <c:v>LV2155</c:v>
                </c:pt>
                <c:pt idx="32">
                  <c:v>LV2169</c:v>
                </c:pt>
                <c:pt idx="33">
                  <c:v>LV2084</c:v>
                </c:pt>
                <c:pt idx="34">
                  <c:v>LV2199</c:v>
                </c:pt>
                <c:pt idx="35">
                  <c:v>LV2144</c:v>
                </c:pt>
                <c:pt idx="36">
                  <c:v>LV2065</c:v>
                </c:pt>
                <c:pt idx="37">
                  <c:v>LV2031</c:v>
                </c:pt>
                <c:pt idx="38">
                  <c:v>LV2167</c:v>
                </c:pt>
                <c:pt idx="39">
                  <c:v>LV2128</c:v>
                </c:pt>
                <c:pt idx="40">
                  <c:v>0</c:v>
                </c:pt>
              </c:strCache>
            </c:strRef>
          </c:xVal>
          <c:yVal>
            <c:numRef>
              <c:f>Sheet1!$D$2:$D$1001</c:f>
              <c:numCache>
                <c:formatCode>General</c:formatCode>
                <c:ptCount val="1000"/>
                <c:pt idx="0">
                  <c:v>13883</c:v>
                </c:pt>
                <c:pt idx="1">
                  <c:v>14028</c:v>
                </c:pt>
                <c:pt idx="2">
                  <c:v>13923</c:v>
                </c:pt>
                <c:pt idx="3">
                  <c:v>14108</c:v>
                </c:pt>
                <c:pt idx="4">
                  <c:v>14083</c:v>
                </c:pt>
                <c:pt idx="5">
                  <c:v>13962</c:v>
                </c:pt>
                <c:pt idx="6">
                  <c:v>14022</c:v>
                </c:pt>
                <c:pt idx="7">
                  <c:v>13933</c:v>
                </c:pt>
                <c:pt idx="8">
                  <c:v>13888</c:v>
                </c:pt>
                <c:pt idx="9">
                  <c:v>13928</c:v>
                </c:pt>
                <c:pt idx="10">
                  <c:v>13747</c:v>
                </c:pt>
                <c:pt idx="11">
                  <c:v>13715</c:v>
                </c:pt>
                <c:pt idx="12">
                  <c:v>13961</c:v>
                </c:pt>
                <c:pt idx="13">
                  <c:v>13886</c:v>
                </c:pt>
                <c:pt idx="14">
                  <c:v>13751</c:v>
                </c:pt>
                <c:pt idx="15">
                  <c:v>14036</c:v>
                </c:pt>
                <c:pt idx="16">
                  <c:v>13995</c:v>
                </c:pt>
                <c:pt idx="17">
                  <c:v>13975</c:v>
                </c:pt>
                <c:pt idx="18">
                  <c:v>13863</c:v>
                </c:pt>
                <c:pt idx="19">
                  <c:v>13821</c:v>
                </c:pt>
                <c:pt idx="20">
                  <c:v>14093</c:v>
                </c:pt>
                <c:pt idx="21">
                  <c:v>14013</c:v>
                </c:pt>
                <c:pt idx="22">
                  <c:v>14009</c:v>
                </c:pt>
                <c:pt idx="23">
                  <c:v>13908</c:v>
                </c:pt>
                <c:pt idx="24">
                  <c:v>13920</c:v>
                </c:pt>
                <c:pt idx="25">
                  <c:v>13882</c:v>
                </c:pt>
                <c:pt idx="26">
                  <c:v>14336</c:v>
                </c:pt>
                <c:pt idx="27">
                  <c:v>14168</c:v>
                </c:pt>
                <c:pt idx="28">
                  <c:v>14073</c:v>
                </c:pt>
                <c:pt idx="29">
                  <c:v>14244</c:v>
                </c:pt>
                <c:pt idx="30">
                  <c:v>13469</c:v>
                </c:pt>
                <c:pt idx="31">
                  <c:v>13746</c:v>
                </c:pt>
                <c:pt idx="32">
                  <c:v>13927</c:v>
                </c:pt>
                <c:pt idx="33">
                  <c:v>14066</c:v>
                </c:pt>
                <c:pt idx="34">
                  <c:v>14260</c:v>
                </c:pt>
                <c:pt idx="35">
                  <c:v>13980</c:v>
                </c:pt>
                <c:pt idx="36">
                  <c:v>13986</c:v>
                </c:pt>
                <c:pt idx="37">
                  <c:v>13955</c:v>
                </c:pt>
                <c:pt idx="38">
                  <c:v>13891</c:v>
                </c:pt>
                <c:pt idx="39">
                  <c:v>13945</c:v>
                </c:pt>
              </c:numCache>
            </c:numRef>
          </c:yVal>
          <c:smooth val="1"/>
          <c:extLst>
            <c:ext xmlns:c16="http://schemas.microsoft.com/office/drawing/2014/chart" uri="{C3380CC4-5D6E-409C-BE32-E72D297353CC}">
              <c16:uniqueId val="{00000000-503A-4131-BD4D-76480863D84C}"/>
            </c:ext>
          </c:extLst>
        </c:ser>
        <c:ser>
          <c:idx val="1"/>
          <c:order val="1"/>
          <c:tx>
            <c:strRef>
              <c:f>Sheet1!$J$1</c:f>
              <c:strCache>
                <c:ptCount val="1"/>
                <c:pt idx="0">
                  <c:v>LED2 adjusted</c:v>
                </c:pt>
              </c:strCache>
            </c:strRef>
          </c:tx>
          <c:spPr>
            <a:ln>
              <a:noFill/>
            </a:ln>
          </c:spPr>
          <c:marker>
            <c:symbol val="circle"/>
            <c:size val="7"/>
            <c:spPr>
              <a:solidFill>
                <a:schemeClr val="accent2"/>
              </a:solidFill>
              <a:ln cmpd="sng">
                <a:solidFill>
                  <a:schemeClr val="accent2"/>
                </a:solidFill>
              </a:ln>
            </c:spPr>
          </c:marker>
          <c:xVal>
            <c:strRef>
              <c:f>Sheet1!$A$2:$A$1001</c:f>
              <c:strCache>
                <c:ptCount val="41"/>
                <c:pt idx="0">
                  <c:v>LV2143</c:v>
                </c:pt>
                <c:pt idx="1">
                  <c:v>LV2177</c:v>
                </c:pt>
                <c:pt idx="2">
                  <c:v>LV1762</c:v>
                </c:pt>
                <c:pt idx="3">
                  <c:v>LV2085</c:v>
                </c:pt>
                <c:pt idx="4">
                  <c:v>LV2138</c:v>
                </c:pt>
                <c:pt idx="5">
                  <c:v>LV2125</c:v>
                </c:pt>
                <c:pt idx="6">
                  <c:v>LV2148</c:v>
                </c:pt>
                <c:pt idx="7">
                  <c:v>LV2060</c:v>
                </c:pt>
                <c:pt idx="8">
                  <c:v>LV2029</c:v>
                </c:pt>
                <c:pt idx="9">
                  <c:v>LV2050</c:v>
                </c:pt>
                <c:pt idx="10">
                  <c:v>LV2119</c:v>
                </c:pt>
                <c:pt idx="11">
                  <c:v>LV2086</c:v>
                </c:pt>
                <c:pt idx="12">
                  <c:v>LV2193</c:v>
                </c:pt>
                <c:pt idx="13">
                  <c:v>LV2182</c:v>
                </c:pt>
                <c:pt idx="14">
                  <c:v>LV2134</c:v>
                </c:pt>
                <c:pt idx="15">
                  <c:v>LV2201</c:v>
                </c:pt>
                <c:pt idx="16">
                  <c:v>LV2032</c:v>
                </c:pt>
                <c:pt idx="17">
                  <c:v>LV2070</c:v>
                </c:pt>
                <c:pt idx="18">
                  <c:v>LV1788</c:v>
                </c:pt>
                <c:pt idx="19">
                  <c:v>LV2121</c:v>
                </c:pt>
                <c:pt idx="20">
                  <c:v>LV2122</c:v>
                </c:pt>
                <c:pt idx="21">
                  <c:v>LV2090</c:v>
                </c:pt>
                <c:pt idx="22">
                  <c:v>LV2062</c:v>
                </c:pt>
                <c:pt idx="23">
                  <c:v>LV2063</c:v>
                </c:pt>
                <c:pt idx="24">
                  <c:v>LV2126</c:v>
                </c:pt>
                <c:pt idx="25">
                  <c:v>LV2136</c:v>
                </c:pt>
                <c:pt idx="26">
                  <c:v>LV2176</c:v>
                </c:pt>
                <c:pt idx="27">
                  <c:v>LV2079</c:v>
                </c:pt>
                <c:pt idx="28">
                  <c:v>LV2083</c:v>
                </c:pt>
                <c:pt idx="29">
                  <c:v>LV2200</c:v>
                </c:pt>
                <c:pt idx="30">
                  <c:v>LV2146</c:v>
                </c:pt>
                <c:pt idx="31">
                  <c:v>LV2155</c:v>
                </c:pt>
                <c:pt idx="32">
                  <c:v>LV2169</c:v>
                </c:pt>
                <c:pt idx="33">
                  <c:v>LV2084</c:v>
                </c:pt>
                <c:pt idx="34">
                  <c:v>LV2199</c:v>
                </c:pt>
                <c:pt idx="35">
                  <c:v>LV2144</c:v>
                </c:pt>
                <c:pt idx="36">
                  <c:v>LV2065</c:v>
                </c:pt>
                <c:pt idx="37">
                  <c:v>LV2031</c:v>
                </c:pt>
                <c:pt idx="38">
                  <c:v>LV2167</c:v>
                </c:pt>
                <c:pt idx="39">
                  <c:v>LV2128</c:v>
                </c:pt>
                <c:pt idx="40">
                  <c:v>0</c:v>
                </c:pt>
              </c:strCache>
            </c:strRef>
          </c:xVal>
          <c:yVal>
            <c:numRef>
              <c:f>Sheet1!$J$2:$J$1001</c:f>
              <c:numCache>
                <c:formatCode>General</c:formatCode>
                <c:ptCount val="1000"/>
                <c:pt idx="0">
                  <c:v>13982</c:v>
                </c:pt>
                <c:pt idx="1">
                  <c:v>14028</c:v>
                </c:pt>
                <c:pt idx="2">
                  <c:v>13923</c:v>
                </c:pt>
                <c:pt idx="3">
                  <c:v>14108</c:v>
                </c:pt>
                <c:pt idx="4">
                  <c:v>14083</c:v>
                </c:pt>
                <c:pt idx="5">
                  <c:v>13962</c:v>
                </c:pt>
                <c:pt idx="6">
                  <c:v>14022</c:v>
                </c:pt>
                <c:pt idx="7">
                  <c:v>13933</c:v>
                </c:pt>
                <c:pt idx="8">
                  <c:v>13888</c:v>
                </c:pt>
                <c:pt idx="9">
                  <c:v>13928</c:v>
                </c:pt>
                <c:pt idx="10">
                  <c:v>13747</c:v>
                </c:pt>
                <c:pt idx="11">
                  <c:v>13715</c:v>
                </c:pt>
                <c:pt idx="12">
                  <c:v>13961</c:v>
                </c:pt>
                <c:pt idx="13">
                  <c:v>13886</c:v>
                </c:pt>
                <c:pt idx="14">
                  <c:v>13850</c:v>
                </c:pt>
                <c:pt idx="15">
                  <c:v>14036</c:v>
                </c:pt>
                <c:pt idx="16">
                  <c:v>13995</c:v>
                </c:pt>
                <c:pt idx="17">
                  <c:v>13975</c:v>
                </c:pt>
                <c:pt idx="18">
                  <c:v>14015</c:v>
                </c:pt>
                <c:pt idx="19">
                  <c:v>13821</c:v>
                </c:pt>
                <c:pt idx="20">
                  <c:v>14093</c:v>
                </c:pt>
                <c:pt idx="21">
                  <c:v>14013</c:v>
                </c:pt>
                <c:pt idx="22">
                  <c:v>14009</c:v>
                </c:pt>
                <c:pt idx="23">
                  <c:v>13908</c:v>
                </c:pt>
                <c:pt idx="24">
                  <c:v>13920</c:v>
                </c:pt>
                <c:pt idx="25">
                  <c:v>13882</c:v>
                </c:pt>
                <c:pt idx="26">
                  <c:v>14161</c:v>
                </c:pt>
                <c:pt idx="27">
                  <c:v>14168</c:v>
                </c:pt>
                <c:pt idx="28">
                  <c:v>14073</c:v>
                </c:pt>
                <c:pt idx="29">
                  <c:v>14151</c:v>
                </c:pt>
                <c:pt idx="30">
                  <c:v>13806</c:v>
                </c:pt>
                <c:pt idx="31">
                  <c:v>13846</c:v>
                </c:pt>
                <c:pt idx="32">
                  <c:v>13927</c:v>
                </c:pt>
                <c:pt idx="33">
                  <c:v>14066</c:v>
                </c:pt>
                <c:pt idx="34">
                  <c:v>14260</c:v>
                </c:pt>
                <c:pt idx="35">
                  <c:v>13980</c:v>
                </c:pt>
                <c:pt idx="36">
                  <c:v>13986</c:v>
                </c:pt>
                <c:pt idx="37">
                  <c:v>13955</c:v>
                </c:pt>
                <c:pt idx="38">
                  <c:v>13891</c:v>
                </c:pt>
                <c:pt idx="39">
                  <c:v>13945</c:v>
                </c:pt>
                <c:pt idx="40">
                  <c:v>114.5743404396442</c:v>
                </c:pt>
                <c:pt idx="41">
                  <c:v>0.81838814599745868</c:v>
                </c:pt>
              </c:numCache>
            </c:numRef>
          </c:yVal>
          <c:smooth val="1"/>
          <c:extLst>
            <c:ext xmlns:c16="http://schemas.microsoft.com/office/drawing/2014/chart" uri="{C3380CC4-5D6E-409C-BE32-E72D297353CC}">
              <c16:uniqueId val="{00000001-503A-4131-BD4D-76480863D84C}"/>
            </c:ext>
          </c:extLst>
        </c:ser>
        <c:dLbls>
          <c:showLegendKey val="0"/>
          <c:showVal val="0"/>
          <c:showCatName val="0"/>
          <c:showSerName val="0"/>
          <c:showPercent val="0"/>
          <c:showBubbleSize val="0"/>
        </c:dLbls>
        <c:axId val="327568809"/>
        <c:axId val="1012977578"/>
      </c:scatterChart>
      <c:valAx>
        <c:axId val="327568809"/>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012977578"/>
        <c:crosses val="autoZero"/>
        <c:crossBetween val="midCat"/>
      </c:valAx>
      <c:valAx>
        <c:axId val="1012977578"/>
        <c:scaling>
          <c:orientation val="minMax"/>
          <c:max val="16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327568809"/>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scatterChart>
        <c:scatterStyle val="lineMarker"/>
        <c:varyColors val="1"/>
        <c:ser>
          <c:idx val="0"/>
          <c:order val="0"/>
          <c:tx>
            <c:strRef>
              <c:f>Sheet1!$F$1</c:f>
              <c:strCache>
                <c:ptCount val="1"/>
                <c:pt idx="0">
                  <c:v>LED3</c:v>
                </c:pt>
              </c:strCache>
            </c:strRef>
          </c:tx>
          <c:spPr>
            <a:ln>
              <a:noFill/>
            </a:ln>
          </c:spPr>
          <c:marker>
            <c:symbol val="circle"/>
            <c:size val="7"/>
            <c:spPr>
              <a:solidFill>
                <a:schemeClr val="accent1"/>
              </a:solidFill>
              <a:ln cmpd="sng">
                <a:solidFill>
                  <a:schemeClr val="accent1"/>
                </a:solidFill>
              </a:ln>
            </c:spPr>
          </c:marker>
          <c:xVal>
            <c:strRef>
              <c:f>Sheet1!$A$2:$A$1001</c:f>
              <c:strCache>
                <c:ptCount val="41"/>
                <c:pt idx="0">
                  <c:v>LV2143</c:v>
                </c:pt>
                <c:pt idx="1">
                  <c:v>LV2177</c:v>
                </c:pt>
                <c:pt idx="2">
                  <c:v>LV1762</c:v>
                </c:pt>
                <c:pt idx="3">
                  <c:v>LV2085</c:v>
                </c:pt>
                <c:pt idx="4">
                  <c:v>LV2138</c:v>
                </c:pt>
                <c:pt idx="5">
                  <c:v>LV2125</c:v>
                </c:pt>
                <c:pt idx="6">
                  <c:v>LV2148</c:v>
                </c:pt>
                <c:pt idx="7">
                  <c:v>LV2060</c:v>
                </c:pt>
                <c:pt idx="8">
                  <c:v>LV2029</c:v>
                </c:pt>
                <c:pt idx="9">
                  <c:v>LV2050</c:v>
                </c:pt>
                <c:pt idx="10">
                  <c:v>LV2119</c:v>
                </c:pt>
                <c:pt idx="11">
                  <c:v>LV2086</c:v>
                </c:pt>
                <c:pt idx="12">
                  <c:v>LV2193</c:v>
                </c:pt>
                <c:pt idx="13">
                  <c:v>LV2182</c:v>
                </c:pt>
                <c:pt idx="14">
                  <c:v>LV2134</c:v>
                </c:pt>
                <c:pt idx="15">
                  <c:v>LV2201</c:v>
                </c:pt>
                <c:pt idx="16">
                  <c:v>LV2032</c:v>
                </c:pt>
                <c:pt idx="17">
                  <c:v>LV2070</c:v>
                </c:pt>
                <c:pt idx="18">
                  <c:v>LV1788</c:v>
                </c:pt>
                <c:pt idx="19">
                  <c:v>LV2121</c:v>
                </c:pt>
                <c:pt idx="20">
                  <c:v>LV2122</c:v>
                </c:pt>
                <c:pt idx="21">
                  <c:v>LV2090</c:v>
                </c:pt>
                <c:pt idx="22">
                  <c:v>LV2062</c:v>
                </c:pt>
                <c:pt idx="23">
                  <c:v>LV2063</c:v>
                </c:pt>
                <c:pt idx="24">
                  <c:v>LV2126</c:v>
                </c:pt>
                <c:pt idx="25">
                  <c:v>LV2136</c:v>
                </c:pt>
                <c:pt idx="26">
                  <c:v>LV2176</c:v>
                </c:pt>
                <c:pt idx="27">
                  <c:v>LV2079</c:v>
                </c:pt>
                <c:pt idx="28">
                  <c:v>LV2083</c:v>
                </c:pt>
                <c:pt idx="29">
                  <c:v>LV2200</c:v>
                </c:pt>
                <c:pt idx="30">
                  <c:v>LV2146</c:v>
                </c:pt>
                <c:pt idx="31">
                  <c:v>LV2155</c:v>
                </c:pt>
                <c:pt idx="32">
                  <c:v>LV2169</c:v>
                </c:pt>
                <c:pt idx="33">
                  <c:v>LV2084</c:v>
                </c:pt>
                <c:pt idx="34">
                  <c:v>LV2199</c:v>
                </c:pt>
                <c:pt idx="35">
                  <c:v>LV2144</c:v>
                </c:pt>
                <c:pt idx="36">
                  <c:v>LV2065</c:v>
                </c:pt>
                <c:pt idx="37">
                  <c:v>LV2031</c:v>
                </c:pt>
                <c:pt idx="38">
                  <c:v>LV2167</c:v>
                </c:pt>
                <c:pt idx="39">
                  <c:v>LV2128</c:v>
                </c:pt>
                <c:pt idx="40">
                  <c:v>0</c:v>
                </c:pt>
              </c:strCache>
            </c:strRef>
          </c:xVal>
          <c:yVal>
            <c:numRef>
              <c:f>Sheet1!$F$2:$F$1001</c:f>
              <c:numCache>
                <c:formatCode>General</c:formatCode>
                <c:ptCount val="1000"/>
                <c:pt idx="0">
                  <c:v>44719</c:v>
                </c:pt>
                <c:pt idx="1">
                  <c:v>44904</c:v>
                </c:pt>
                <c:pt idx="2">
                  <c:v>44696</c:v>
                </c:pt>
                <c:pt idx="3">
                  <c:v>45348</c:v>
                </c:pt>
                <c:pt idx="4">
                  <c:v>45101</c:v>
                </c:pt>
                <c:pt idx="5">
                  <c:v>45013</c:v>
                </c:pt>
                <c:pt idx="6">
                  <c:v>44862</c:v>
                </c:pt>
                <c:pt idx="7">
                  <c:v>44807</c:v>
                </c:pt>
                <c:pt idx="8">
                  <c:v>45439</c:v>
                </c:pt>
                <c:pt idx="9">
                  <c:v>44726</c:v>
                </c:pt>
                <c:pt idx="10">
                  <c:v>44395</c:v>
                </c:pt>
                <c:pt idx="11">
                  <c:v>44384</c:v>
                </c:pt>
                <c:pt idx="12">
                  <c:v>44880</c:v>
                </c:pt>
                <c:pt idx="13">
                  <c:v>44762</c:v>
                </c:pt>
                <c:pt idx="14">
                  <c:v>44575</c:v>
                </c:pt>
                <c:pt idx="15">
                  <c:v>45094</c:v>
                </c:pt>
                <c:pt idx="16">
                  <c:v>45059</c:v>
                </c:pt>
                <c:pt idx="17">
                  <c:v>44913</c:v>
                </c:pt>
                <c:pt idx="18">
                  <c:v>44801</c:v>
                </c:pt>
                <c:pt idx="19">
                  <c:v>44533</c:v>
                </c:pt>
                <c:pt idx="20">
                  <c:v>45308</c:v>
                </c:pt>
                <c:pt idx="21">
                  <c:v>44889</c:v>
                </c:pt>
                <c:pt idx="22">
                  <c:v>45609</c:v>
                </c:pt>
                <c:pt idx="23">
                  <c:v>46767</c:v>
                </c:pt>
                <c:pt idx="24">
                  <c:v>44797</c:v>
                </c:pt>
                <c:pt idx="25">
                  <c:v>44620</c:v>
                </c:pt>
                <c:pt idx="26">
                  <c:v>44976</c:v>
                </c:pt>
                <c:pt idx="27">
                  <c:v>45355</c:v>
                </c:pt>
                <c:pt idx="28">
                  <c:v>46091</c:v>
                </c:pt>
                <c:pt idx="29">
                  <c:v>45694</c:v>
                </c:pt>
                <c:pt idx="30">
                  <c:v>44467</c:v>
                </c:pt>
                <c:pt idx="31">
                  <c:v>44517</c:v>
                </c:pt>
                <c:pt idx="32">
                  <c:v>44812</c:v>
                </c:pt>
                <c:pt idx="33">
                  <c:v>44877</c:v>
                </c:pt>
                <c:pt idx="34">
                  <c:v>45728</c:v>
                </c:pt>
                <c:pt idx="35">
                  <c:v>42982</c:v>
                </c:pt>
                <c:pt idx="36">
                  <c:v>44501</c:v>
                </c:pt>
                <c:pt idx="37">
                  <c:v>45605</c:v>
                </c:pt>
                <c:pt idx="38">
                  <c:v>44382</c:v>
                </c:pt>
                <c:pt idx="39">
                  <c:v>44586</c:v>
                </c:pt>
              </c:numCache>
            </c:numRef>
          </c:yVal>
          <c:smooth val="1"/>
          <c:extLst>
            <c:ext xmlns:c16="http://schemas.microsoft.com/office/drawing/2014/chart" uri="{C3380CC4-5D6E-409C-BE32-E72D297353CC}">
              <c16:uniqueId val="{00000000-836E-4009-9FDA-42B409E15FD8}"/>
            </c:ext>
          </c:extLst>
        </c:ser>
        <c:ser>
          <c:idx val="1"/>
          <c:order val="1"/>
          <c:tx>
            <c:strRef>
              <c:f>Sheet1!$L$1</c:f>
              <c:strCache>
                <c:ptCount val="1"/>
                <c:pt idx="0">
                  <c:v>LED3 adjusted</c:v>
                </c:pt>
              </c:strCache>
            </c:strRef>
          </c:tx>
          <c:spPr>
            <a:ln>
              <a:noFill/>
            </a:ln>
          </c:spPr>
          <c:marker>
            <c:symbol val="circle"/>
            <c:size val="7"/>
            <c:spPr>
              <a:solidFill>
                <a:schemeClr val="accent2"/>
              </a:solidFill>
              <a:ln cmpd="sng">
                <a:solidFill>
                  <a:schemeClr val="accent2"/>
                </a:solidFill>
              </a:ln>
            </c:spPr>
          </c:marker>
          <c:xVal>
            <c:strRef>
              <c:f>Sheet1!$A$2:$A$1001</c:f>
              <c:strCache>
                <c:ptCount val="41"/>
                <c:pt idx="0">
                  <c:v>LV2143</c:v>
                </c:pt>
                <c:pt idx="1">
                  <c:v>LV2177</c:v>
                </c:pt>
                <c:pt idx="2">
                  <c:v>LV1762</c:v>
                </c:pt>
                <c:pt idx="3">
                  <c:v>LV2085</c:v>
                </c:pt>
                <c:pt idx="4">
                  <c:v>LV2138</c:v>
                </c:pt>
                <c:pt idx="5">
                  <c:v>LV2125</c:v>
                </c:pt>
                <c:pt idx="6">
                  <c:v>LV2148</c:v>
                </c:pt>
                <c:pt idx="7">
                  <c:v>LV2060</c:v>
                </c:pt>
                <c:pt idx="8">
                  <c:v>LV2029</c:v>
                </c:pt>
                <c:pt idx="9">
                  <c:v>LV2050</c:v>
                </c:pt>
                <c:pt idx="10">
                  <c:v>LV2119</c:v>
                </c:pt>
                <c:pt idx="11">
                  <c:v>LV2086</c:v>
                </c:pt>
                <c:pt idx="12">
                  <c:v>LV2193</c:v>
                </c:pt>
                <c:pt idx="13">
                  <c:v>LV2182</c:v>
                </c:pt>
                <c:pt idx="14">
                  <c:v>LV2134</c:v>
                </c:pt>
                <c:pt idx="15">
                  <c:v>LV2201</c:v>
                </c:pt>
                <c:pt idx="16">
                  <c:v>LV2032</c:v>
                </c:pt>
                <c:pt idx="17">
                  <c:v>LV2070</c:v>
                </c:pt>
                <c:pt idx="18">
                  <c:v>LV1788</c:v>
                </c:pt>
                <c:pt idx="19">
                  <c:v>LV2121</c:v>
                </c:pt>
                <c:pt idx="20">
                  <c:v>LV2122</c:v>
                </c:pt>
                <c:pt idx="21">
                  <c:v>LV2090</c:v>
                </c:pt>
                <c:pt idx="22">
                  <c:v>LV2062</c:v>
                </c:pt>
                <c:pt idx="23">
                  <c:v>LV2063</c:v>
                </c:pt>
                <c:pt idx="24">
                  <c:v>LV2126</c:v>
                </c:pt>
                <c:pt idx="25">
                  <c:v>LV2136</c:v>
                </c:pt>
                <c:pt idx="26">
                  <c:v>LV2176</c:v>
                </c:pt>
                <c:pt idx="27">
                  <c:v>LV2079</c:v>
                </c:pt>
                <c:pt idx="28">
                  <c:v>LV2083</c:v>
                </c:pt>
                <c:pt idx="29">
                  <c:v>LV2200</c:v>
                </c:pt>
                <c:pt idx="30">
                  <c:v>LV2146</c:v>
                </c:pt>
                <c:pt idx="31">
                  <c:v>LV2155</c:v>
                </c:pt>
                <c:pt idx="32">
                  <c:v>LV2169</c:v>
                </c:pt>
                <c:pt idx="33">
                  <c:v>LV2084</c:v>
                </c:pt>
                <c:pt idx="34">
                  <c:v>LV2199</c:v>
                </c:pt>
                <c:pt idx="35">
                  <c:v>LV2144</c:v>
                </c:pt>
                <c:pt idx="36">
                  <c:v>LV2065</c:v>
                </c:pt>
                <c:pt idx="37">
                  <c:v>LV2031</c:v>
                </c:pt>
                <c:pt idx="38">
                  <c:v>LV2167</c:v>
                </c:pt>
                <c:pt idx="39">
                  <c:v>LV2128</c:v>
                </c:pt>
                <c:pt idx="40">
                  <c:v>0</c:v>
                </c:pt>
              </c:strCache>
            </c:strRef>
          </c:xVal>
          <c:yVal>
            <c:numRef>
              <c:f>Sheet1!$L$2:$L$1001</c:f>
              <c:numCache>
                <c:formatCode>General</c:formatCode>
                <c:ptCount val="1000"/>
                <c:pt idx="0">
                  <c:v>45059</c:v>
                </c:pt>
                <c:pt idx="1">
                  <c:v>44904</c:v>
                </c:pt>
                <c:pt idx="2">
                  <c:v>44986</c:v>
                </c:pt>
                <c:pt idx="3">
                  <c:v>44881</c:v>
                </c:pt>
                <c:pt idx="4">
                  <c:v>45101</c:v>
                </c:pt>
                <c:pt idx="5">
                  <c:v>45013</c:v>
                </c:pt>
                <c:pt idx="6">
                  <c:v>44862</c:v>
                </c:pt>
                <c:pt idx="7">
                  <c:v>44807</c:v>
                </c:pt>
                <c:pt idx="8">
                  <c:v>45439</c:v>
                </c:pt>
                <c:pt idx="9">
                  <c:v>44726</c:v>
                </c:pt>
                <c:pt idx="10">
                  <c:v>44395</c:v>
                </c:pt>
                <c:pt idx="11">
                  <c:v>44384</c:v>
                </c:pt>
                <c:pt idx="12">
                  <c:v>44880</c:v>
                </c:pt>
                <c:pt idx="13">
                  <c:v>45150</c:v>
                </c:pt>
                <c:pt idx="14">
                  <c:v>44973</c:v>
                </c:pt>
                <c:pt idx="15">
                  <c:v>45094</c:v>
                </c:pt>
                <c:pt idx="16">
                  <c:v>45059</c:v>
                </c:pt>
                <c:pt idx="17">
                  <c:v>44913</c:v>
                </c:pt>
                <c:pt idx="18">
                  <c:v>44989</c:v>
                </c:pt>
                <c:pt idx="19">
                  <c:v>44998</c:v>
                </c:pt>
                <c:pt idx="20">
                  <c:v>44807</c:v>
                </c:pt>
                <c:pt idx="21">
                  <c:v>44889</c:v>
                </c:pt>
                <c:pt idx="22">
                  <c:v>44912</c:v>
                </c:pt>
                <c:pt idx="23">
                  <c:v>46767</c:v>
                </c:pt>
                <c:pt idx="24">
                  <c:v>45195</c:v>
                </c:pt>
                <c:pt idx="25">
                  <c:v>44620</c:v>
                </c:pt>
                <c:pt idx="26">
                  <c:v>44976</c:v>
                </c:pt>
                <c:pt idx="27">
                  <c:v>45016</c:v>
                </c:pt>
                <c:pt idx="28">
                  <c:v>45102</c:v>
                </c:pt>
                <c:pt idx="29">
                  <c:v>45059</c:v>
                </c:pt>
                <c:pt idx="30">
                  <c:v>44949</c:v>
                </c:pt>
                <c:pt idx="31">
                  <c:v>44917</c:v>
                </c:pt>
                <c:pt idx="32">
                  <c:v>44812</c:v>
                </c:pt>
                <c:pt idx="33">
                  <c:v>44877</c:v>
                </c:pt>
                <c:pt idx="34">
                  <c:v>44785</c:v>
                </c:pt>
                <c:pt idx="35">
                  <c:v>44917</c:v>
                </c:pt>
                <c:pt idx="36">
                  <c:v>44501</c:v>
                </c:pt>
                <c:pt idx="37">
                  <c:v>45605</c:v>
                </c:pt>
                <c:pt idx="38">
                  <c:v>44560</c:v>
                </c:pt>
                <c:pt idx="39">
                  <c:v>44586</c:v>
                </c:pt>
                <c:pt idx="40">
                  <c:v>378.10503814653788</c:v>
                </c:pt>
                <c:pt idx="41">
                  <c:v>0.84023341810341745</c:v>
                </c:pt>
              </c:numCache>
            </c:numRef>
          </c:yVal>
          <c:smooth val="1"/>
          <c:extLst>
            <c:ext xmlns:c16="http://schemas.microsoft.com/office/drawing/2014/chart" uri="{C3380CC4-5D6E-409C-BE32-E72D297353CC}">
              <c16:uniqueId val="{00000001-836E-4009-9FDA-42B409E15FD8}"/>
            </c:ext>
          </c:extLst>
        </c:ser>
        <c:dLbls>
          <c:showLegendKey val="0"/>
          <c:showVal val="0"/>
          <c:showCatName val="0"/>
          <c:showSerName val="0"/>
          <c:showPercent val="0"/>
          <c:showBubbleSize val="0"/>
        </c:dLbls>
        <c:axId val="784737264"/>
        <c:axId val="1473789368"/>
      </c:scatterChart>
      <c:valAx>
        <c:axId val="784737264"/>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473789368"/>
        <c:crosses val="autoZero"/>
        <c:crossBetween val="midCat"/>
      </c:valAx>
      <c:valAx>
        <c:axId val="1473789368"/>
        <c:scaling>
          <c:orientation val="minMax"/>
          <c:max val="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8473726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742950</xdr:colOff>
      <xdr:row>43</xdr:row>
      <xdr:rowOff>9525</xdr:rowOff>
    </xdr:from>
    <xdr:ext cx="3609975" cy="2228850"/>
    <xdr:graphicFrame macro="">
      <xdr:nvGraphicFramePr>
        <xdr:cNvPr id="449517741" name="Chart 1" title="Chart">
          <a:extLst>
            <a:ext uri="{FF2B5EF4-FFF2-40B4-BE49-F238E27FC236}">
              <a16:creationId xmlns:a16="http://schemas.microsoft.com/office/drawing/2014/main" id="{00000000-0008-0000-0800-0000AD18C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114300</xdr:colOff>
      <xdr:row>43</xdr:row>
      <xdr:rowOff>9525</xdr:rowOff>
    </xdr:from>
    <xdr:ext cx="3609975" cy="2228850"/>
    <xdr:graphicFrame macro="">
      <xdr:nvGraphicFramePr>
        <xdr:cNvPr id="1372458726" name="Chart 2" title="Chart">
          <a:extLst>
            <a:ext uri="{FF2B5EF4-FFF2-40B4-BE49-F238E27FC236}">
              <a16:creationId xmlns:a16="http://schemas.microsoft.com/office/drawing/2014/main" id="{00000000-0008-0000-0800-0000E60EC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200025</xdr:colOff>
      <xdr:row>43</xdr:row>
      <xdr:rowOff>9525</xdr:rowOff>
    </xdr:from>
    <xdr:ext cx="3609975" cy="2228850"/>
    <xdr:graphicFrame macro="">
      <xdr:nvGraphicFramePr>
        <xdr:cNvPr id="301578065" name="Chart 3" title="Chart">
          <a:extLst>
            <a:ext uri="{FF2B5EF4-FFF2-40B4-BE49-F238E27FC236}">
              <a16:creationId xmlns:a16="http://schemas.microsoft.com/office/drawing/2014/main" id="{00000000-0008-0000-0800-000051B7F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0"/>
  <sheetViews>
    <sheetView workbookViewId="0">
      <pane ySplit="1" topLeftCell="A2" activePane="bottomLeft" state="frozen"/>
      <selection pane="bottomLeft" activeCell="M4" sqref="M4"/>
    </sheetView>
  </sheetViews>
  <sheetFormatPr defaultColWidth="14.42578125" defaultRowHeight="15" customHeight="1"/>
  <cols>
    <col min="1" max="2" width="8.85546875" customWidth="1"/>
    <col min="3" max="3" width="9.28515625" customWidth="1"/>
    <col min="4" max="4" width="18.85546875" customWidth="1"/>
    <col min="5" max="5" width="8.42578125" customWidth="1"/>
    <col min="6" max="6" width="12.140625" customWidth="1"/>
    <col min="7" max="7" width="9.28515625" customWidth="1"/>
    <col min="8" max="11" width="8.85546875" customWidth="1"/>
    <col min="12" max="12" width="11.28515625" customWidth="1"/>
    <col min="13" max="13" width="14.85546875" customWidth="1"/>
    <col min="14" max="14" width="11" customWidth="1"/>
    <col min="15" max="16" width="11.42578125" customWidth="1"/>
    <col min="17" max="17" width="13.42578125" customWidth="1"/>
    <col min="18" max="18" width="13" customWidth="1"/>
    <col min="19" max="19" width="13.140625" customWidth="1"/>
    <col min="20" max="20" width="13.85546875" customWidth="1"/>
    <col min="21" max="21" width="13" customWidth="1"/>
    <col min="22" max="22" width="21.85546875" bestFit="1" customWidth="1"/>
    <col min="23" max="23" width="13" customWidth="1"/>
    <col min="24" max="24" width="8.85546875" customWidth="1"/>
    <col min="25" max="25" width="2.85546875" customWidth="1"/>
    <col min="26" max="39" width="8.85546875" customWidth="1"/>
  </cols>
  <sheetData>
    <row r="1" spans="1:39" ht="33" customHeight="1" thickBot="1">
      <c r="B1" s="120" t="s">
        <v>0</v>
      </c>
      <c r="C1" s="121" t="s">
        <v>1</v>
      </c>
      <c r="D1" s="121" t="s">
        <v>2</v>
      </c>
      <c r="E1" s="121" t="s">
        <v>3</v>
      </c>
      <c r="F1" s="121" t="s">
        <v>4</v>
      </c>
      <c r="G1" s="121" t="s">
        <v>5</v>
      </c>
      <c r="H1" s="121" t="s">
        <v>6</v>
      </c>
      <c r="I1" s="121" t="s">
        <v>7</v>
      </c>
      <c r="J1" s="121" t="s">
        <v>8</v>
      </c>
      <c r="K1" s="121" t="s">
        <v>9</v>
      </c>
      <c r="L1" s="121" t="s">
        <v>10</v>
      </c>
      <c r="M1" s="121" t="s">
        <v>11</v>
      </c>
      <c r="N1" s="121" t="s">
        <v>12</v>
      </c>
      <c r="O1" s="121" t="s">
        <v>13</v>
      </c>
      <c r="P1" s="121" t="s">
        <v>14</v>
      </c>
      <c r="Q1" s="121" t="s">
        <v>15</v>
      </c>
      <c r="R1" s="121" t="s">
        <v>16</v>
      </c>
      <c r="S1" s="139" t="s">
        <v>503</v>
      </c>
      <c r="T1" s="140" t="s">
        <v>502</v>
      </c>
      <c r="U1" s="140" t="s">
        <v>501</v>
      </c>
      <c r="V1" s="141" t="s">
        <v>500</v>
      </c>
      <c r="W1" s="111" t="s">
        <v>504</v>
      </c>
      <c r="Y1" s="4"/>
      <c r="Z1" s="5" t="s">
        <v>17</v>
      </c>
      <c r="AA1" s="6"/>
      <c r="AB1" s="6"/>
      <c r="AC1" s="6"/>
      <c r="AD1" s="6"/>
      <c r="AE1" s="6"/>
      <c r="AF1" s="7"/>
      <c r="AH1" s="8" t="s">
        <v>18</v>
      </c>
    </row>
    <row r="2" spans="1:39" ht="19.5" thickBot="1">
      <c r="A2" s="39" t="s">
        <v>19</v>
      </c>
      <c r="B2" s="125" t="s">
        <v>20</v>
      </c>
      <c r="C2" s="126" t="s">
        <v>21</v>
      </c>
      <c r="D2" s="126"/>
      <c r="E2" s="126">
        <v>1</v>
      </c>
      <c r="F2" s="127">
        <v>1327</v>
      </c>
      <c r="G2" s="127">
        <v>1987</v>
      </c>
      <c r="H2" s="127">
        <v>2365</v>
      </c>
      <c r="I2" s="127">
        <v>2791</v>
      </c>
      <c r="J2" s="127">
        <v>3261</v>
      </c>
      <c r="K2" s="127">
        <v>3800</v>
      </c>
      <c r="L2" s="126">
        <v>2739</v>
      </c>
      <c r="M2" s="126">
        <v>758.15657802061924</v>
      </c>
      <c r="N2" s="126">
        <v>2057</v>
      </c>
      <c r="O2" s="126">
        <v>283</v>
      </c>
      <c r="P2" s="126"/>
      <c r="Q2" s="126"/>
      <c r="R2" s="126"/>
      <c r="S2" s="129">
        <f>ROUND((N2-2100)/N2*100,2)</f>
        <v>-2.09</v>
      </c>
      <c r="T2" s="124">
        <f>ROUND((N2-2100)/N2*100,2)</f>
        <v>-2.09</v>
      </c>
      <c r="U2" s="124">
        <f>ROUND((L2-I2)/L2*100,2)</f>
        <v>-1.9</v>
      </c>
      <c r="V2" s="131">
        <f>ROUND(O2/N2*100,3)</f>
        <v>13.757999999999999</v>
      </c>
      <c r="W2" s="145">
        <f>ABS(T2)</f>
        <v>2.09</v>
      </c>
      <c r="Y2" s="13" t="s">
        <v>22</v>
      </c>
      <c r="Z2" s="14" t="s">
        <v>23</v>
      </c>
      <c r="AA2" s="14"/>
      <c r="AB2" s="14"/>
      <c r="AC2" s="14"/>
      <c r="AD2" s="14"/>
      <c r="AE2" s="14"/>
      <c r="AF2" s="15"/>
    </row>
    <row r="3" spans="1:39">
      <c r="A3" s="119"/>
      <c r="B3" s="129"/>
      <c r="C3" s="119"/>
      <c r="D3" s="119"/>
      <c r="E3" s="130">
        <v>2</v>
      </c>
      <c r="F3" s="130">
        <v>9375</v>
      </c>
      <c r="G3" s="130">
        <v>13167</v>
      </c>
      <c r="H3" s="130">
        <v>15445</v>
      </c>
      <c r="I3" s="130">
        <v>18005</v>
      </c>
      <c r="J3" s="130">
        <v>20865</v>
      </c>
      <c r="K3" s="130">
        <v>24082</v>
      </c>
      <c r="L3" s="130">
        <v>17846</v>
      </c>
      <c r="M3" s="130">
        <v>759.62597477851307</v>
      </c>
      <c r="N3" s="130">
        <v>13883</v>
      </c>
      <c r="O3" s="130">
        <v>319</v>
      </c>
      <c r="P3" s="130">
        <v>760.8</v>
      </c>
      <c r="Q3" s="130">
        <v>13982</v>
      </c>
      <c r="R3" s="124">
        <v>323</v>
      </c>
      <c r="S3" s="129">
        <f>ROUND((N3-14000)/N3*100,2)</f>
        <v>-0.84</v>
      </c>
      <c r="T3" s="124">
        <f>ROUND((Q3-14000)/Q3*100,2)</f>
        <v>-0.13</v>
      </c>
      <c r="U3" s="124">
        <f t="shared" ref="U3:U66" si="0">ROUND((L3-I3)/L3*100,2)</f>
        <v>-0.89</v>
      </c>
      <c r="V3" s="131">
        <f t="shared" ref="V3:V66" si="1">ROUND(O3/N3*100,3)</f>
        <v>2.298</v>
      </c>
      <c r="W3" s="145">
        <f t="shared" ref="W3:W66" si="2">ABS(T3)</f>
        <v>0.13</v>
      </c>
      <c r="Y3" s="18"/>
      <c r="Z3" s="19"/>
      <c r="AA3" s="19"/>
      <c r="AB3" s="19"/>
      <c r="AC3" s="19"/>
      <c r="AD3" s="19"/>
      <c r="AE3" s="19"/>
      <c r="AF3" s="20"/>
    </row>
    <row r="4" spans="1:39">
      <c r="A4" s="119"/>
      <c r="B4" s="129"/>
      <c r="C4" s="119"/>
      <c r="D4" s="119"/>
      <c r="E4" s="130">
        <v>3</v>
      </c>
      <c r="F4" s="130">
        <v>27229</v>
      </c>
      <c r="G4" s="130">
        <v>37560</v>
      </c>
      <c r="H4" s="130">
        <v>43775</v>
      </c>
      <c r="I4" s="130">
        <v>50738</v>
      </c>
      <c r="J4" s="130">
        <v>57759</v>
      </c>
      <c r="K4" s="130">
        <v>63571</v>
      </c>
      <c r="L4" s="130">
        <v>50816</v>
      </c>
      <c r="M4" s="130">
        <v>778.43818653436188</v>
      </c>
      <c r="N4" s="130">
        <v>44719</v>
      </c>
      <c r="O4" s="130">
        <v>396</v>
      </c>
      <c r="P4" s="130">
        <v>779.6</v>
      </c>
      <c r="Q4" s="130">
        <v>45059</v>
      </c>
      <c r="R4" s="124">
        <v>381</v>
      </c>
      <c r="S4" s="129">
        <f>ROUND((N4-45000)/N4*100,2)</f>
        <v>-0.63</v>
      </c>
      <c r="T4" s="124">
        <f>ROUND((Q4-45000)/Q4*100,2)</f>
        <v>0.13</v>
      </c>
      <c r="U4" s="124">
        <f t="shared" si="0"/>
        <v>0.15</v>
      </c>
      <c r="V4" s="131">
        <f t="shared" si="1"/>
        <v>0.88600000000000001</v>
      </c>
      <c r="W4" s="145">
        <f t="shared" si="2"/>
        <v>0.13</v>
      </c>
      <c r="Y4" s="18"/>
      <c r="Z4" s="19"/>
      <c r="AA4" s="19"/>
      <c r="AB4" s="19"/>
      <c r="AC4" s="19"/>
      <c r="AD4" s="19"/>
      <c r="AE4" s="19"/>
      <c r="AF4" s="20"/>
    </row>
    <row r="5" spans="1:39">
      <c r="A5" s="119"/>
      <c r="B5" s="172" t="s">
        <v>24</v>
      </c>
      <c r="C5" s="173" t="s">
        <v>25</v>
      </c>
      <c r="D5" s="119"/>
      <c r="E5" s="130">
        <v>1</v>
      </c>
      <c r="F5" s="174">
        <v>1929</v>
      </c>
      <c r="G5" s="174">
        <v>2784</v>
      </c>
      <c r="H5" s="174">
        <v>3300</v>
      </c>
      <c r="I5" s="174">
        <v>3885</v>
      </c>
      <c r="J5" s="174">
        <v>4533</v>
      </c>
      <c r="K5" s="174">
        <v>5241</v>
      </c>
      <c r="M5" s="119">
        <v>711.09383984346277</v>
      </c>
      <c r="N5" s="119">
        <v>2073</v>
      </c>
      <c r="O5" s="119">
        <v>251</v>
      </c>
      <c r="P5" s="119">
        <v>712</v>
      </c>
      <c r="Q5" s="119">
        <v>2087</v>
      </c>
      <c r="R5" s="124">
        <v>249</v>
      </c>
      <c r="S5" s="129">
        <f>ROUND((N5-2100)/N5*100,2)</f>
        <v>-1.3</v>
      </c>
      <c r="T5" s="124">
        <f>ROUND((Q5-2100)/Q5*100,2)</f>
        <v>-0.62</v>
      </c>
      <c r="U5" s="124"/>
      <c r="V5" s="131">
        <f>ROUND(O5/N5*100,3)</f>
        <v>12.108000000000001</v>
      </c>
      <c r="W5" s="145"/>
      <c r="Y5" s="18"/>
      <c r="Z5" s="130" t="s">
        <v>26</v>
      </c>
      <c r="AA5" s="119"/>
      <c r="AB5" s="119"/>
      <c r="AC5" s="119"/>
      <c r="AD5" s="119" t="s">
        <v>587</v>
      </c>
      <c r="AE5" s="119"/>
      <c r="AF5" s="119"/>
    </row>
    <row r="6" spans="1:39">
      <c r="A6" s="119"/>
      <c r="B6" s="129"/>
      <c r="C6" s="119"/>
      <c r="D6" s="119"/>
      <c r="E6" s="130">
        <v>2</v>
      </c>
      <c r="F6">
        <v>13226</v>
      </c>
      <c r="G6">
        <v>17951</v>
      </c>
      <c r="H6">
        <v>20644</v>
      </c>
      <c r="I6">
        <v>23539</v>
      </c>
      <c r="J6">
        <v>26550</v>
      </c>
      <c r="K6">
        <v>29654</v>
      </c>
      <c r="M6" s="119">
        <v>708.55693860343388</v>
      </c>
      <c r="N6" s="119">
        <v>14028</v>
      </c>
      <c r="O6" s="119">
        <v>454</v>
      </c>
      <c r="P6" s="119"/>
      <c r="Q6" s="119"/>
      <c r="R6" s="124"/>
      <c r="S6" s="129">
        <f>ROUND((N6-14000)/N6*100,2)</f>
        <v>0.2</v>
      </c>
      <c r="T6" s="124">
        <f>ROUND((N6-14000)/N6*100,2)</f>
        <v>0.2</v>
      </c>
      <c r="U6" s="124"/>
      <c r="V6" s="131">
        <f t="shared" si="1"/>
        <v>3.2360000000000002</v>
      </c>
      <c r="W6" s="145"/>
      <c r="Y6" s="18"/>
      <c r="Z6" s="130">
        <v>3410</v>
      </c>
      <c r="AA6" s="130">
        <v>4545</v>
      </c>
      <c r="AB6" s="130">
        <v>5202</v>
      </c>
      <c r="AC6" s="130">
        <v>5918</v>
      </c>
      <c r="AD6" s="130">
        <v>6684</v>
      </c>
      <c r="AE6" s="130">
        <v>7509</v>
      </c>
      <c r="AF6" s="119"/>
    </row>
    <row r="7" spans="1:39">
      <c r="A7" s="119"/>
      <c r="B7" s="129"/>
      <c r="C7" s="119"/>
      <c r="D7" s="130"/>
      <c r="E7" s="130">
        <v>3</v>
      </c>
      <c r="F7">
        <v>33658</v>
      </c>
      <c r="G7">
        <v>44009</v>
      </c>
      <c r="H7">
        <v>49828</v>
      </c>
      <c r="I7">
        <v>55932</v>
      </c>
      <c r="J7">
        <v>61256</v>
      </c>
      <c r="M7" s="119">
        <v>754.23796167340288</v>
      </c>
      <c r="N7" s="119">
        <v>44904</v>
      </c>
      <c r="O7" s="119">
        <v>363</v>
      </c>
      <c r="P7" s="119"/>
      <c r="Q7" s="119"/>
      <c r="R7" s="124"/>
      <c r="S7" s="129">
        <f>ROUND((N7-45000)/N7*100,2)</f>
        <v>-0.21</v>
      </c>
      <c r="T7" s="124">
        <f>ROUND((N7-45000)/N7*100,2)</f>
        <v>-0.21</v>
      </c>
      <c r="U7" s="124"/>
      <c r="V7" s="131">
        <f t="shared" si="1"/>
        <v>0.80800000000000005</v>
      </c>
      <c r="W7" s="145"/>
      <c r="Y7" s="18"/>
      <c r="Z7" s="130">
        <v>10665</v>
      </c>
      <c r="AA7" s="130">
        <v>13825</v>
      </c>
      <c r="AB7" s="130">
        <v>15605</v>
      </c>
      <c r="AC7" s="130">
        <v>17511</v>
      </c>
      <c r="AD7" s="130">
        <v>19525</v>
      </c>
      <c r="AE7" s="130">
        <v>21671</v>
      </c>
      <c r="AF7" s="119"/>
    </row>
    <row r="8" spans="1:39">
      <c r="A8" s="119"/>
      <c r="B8" s="129" t="s">
        <v>27</v>
      </c>
      <c r="C8" s="130" t="s">
        <v>28</v>
      </c>
      <c r="D8" s="119"/>
      <c r="E8" s="130">
        <v>1</v>
      </c>
      <c r="F8" s="130">
        <v>1299</v>
      </c>
      <c r="G8" s="130">
        <v>1944</v>
      </c>
      <c r="H8" s="130">
        <v>2313</v>
      </c>
      <c r="I8" s="130">
        <v>2737</v>
      </c>
      <c r="J8" s="130">
        <v>3213</v>
      </c>
      <c r="K8" s="130">
        <v>3749</v>
      </c>
      <c r="L8" s="130">
        <v>2734</v>
      </c>
      <c r="M8" s="130">
        <v>761.10070137000298</v>
      </c>
      <c r="N8" s="130">
        <v>2097</v>
      </c>
      <c r="O8" s="130">
        <v>286</v>
      </c>
      <c r="P8" s="119"/>
      <c r="Q8" s="119"/>
      <c r="R8" s="124"/>
      <c r="S8" s="129">
        <f t="shared" ref="S8" si="3">ROUND((N8-2100)/N8*100,2)</f>
        <v>-0.14000000000000001</v>
      </c>
      <c r="T8" s="124">
        <f t="shared" ref="T8" si="4">ROUND((N8-2100)/N8*100,2)</f>
        <v>-0.14000000000000001</v>
      </c>
      <c r="U8" s="124">
        <f t="shared" si="0"/>
        <v>-0.11</v>
      </c>
      <c r="V8" s="131">
        <f t="shared" si="1"/>
        <v>13.638999999999999</v>
      </c>
      <c r="W8" s="145">
        <f t="shared" si="2"/>
        <v>0.14000000000000001</v>
      </c>
      <c r="Y8" s="18"/>
      <c r="Z8" s="19"/>
      <c r="AA8" s="19"/>
      <c r="AB8" s="19"/>
      <c r="AC8" s="19"/>
      <c r="AD8" s="19"/>
      <c r="AE8" s="19"/>
      <c r="AF8" s="20"/>
    </row>
    <row r="9" spans="1:39">
      <c r="A9" s="119"/>
      <c r="B9" s="129"/>
      <c r="C9" s="119"/>
      <c r="D9" s="119"/>
      <c r="E9" s="130">
        <v>2</v>
      </c>
      <c r="F9" s="130">
        <v>9769</v>
      </c>
      <c r="G9" s="130">
        <v>13642</v>
      </c>
      <c r="H9" s="130">
        <v>15939</v>
      </c>
      <c r="I9" s="130">
        <v>18537</v>
      </c>
      <c r="J9" s="130">
        <v>21416</v>
      </c>
      <c r="K9" s="130">
        <v>24641</v>
      </c>
      <c r="L9" s="130">
        <v>18509</v>
      </c>
      <c r="M9" s="130">
        <v>753.36100510373137</v>
      </c>
      <c r="N9" s="130">
        <v>13923</v>
      </c>
      <c r="O9" s="130">
        <v>328</v>
      </c>
      <c r="P9" s="119"/>
      <c r="Q9" s="119"/>
      <c r="R9" s="124"/>
      <c r="S9" s="129">
        <f t="shared" ref="S9" si="5">ROUND((N9-14000)/N9*100,2)</f>
        <v>-0.55000000000000004</v>
      </c>
      <c r="T9" s="124">
        <f t="shared" ref="T9" si="6">ROUND((N9-14000)/N9*100,2)</f>
        <v>-0.55000000000000004</v>
      </c>
      <c r="U9" s="124">
        <f t="shared" si="0"/>
        <v>-0.15</v>
      </c>
      <c r="V9" s="131">
        <f t="shared" si="1"/>
        <v>2.3559999999999999</v>
      </c>
      <c r="W9" s="145">
        <f t="shared" si="2"/>
        <v>0.55000000000000004</v>
      </c>
      <c r="Y9" s="18"/>
      <c r="Z9" s="19"/>
      <c r="AA9" s="19"/>
      <c r="AB9" s="19"/>
      <c r="AC9" s="19"/>
      <c r="AD9" s="19"/>
      <c r="AE9" s="19"/>
      <c r="AF9" s="20"/>
    </row>
    <row r="10" spans="1:39">
      <c r="A10" s="119"/>
      <c r="B10" s="129"/>
      <c r="C10" s="119"/>
      <c r="D10" s="130" t="s">
        <v>29</v>
      </c>
      <c r="E10" s="130">
        <v>3</v>
      </c>
      <c r="F10" s="130">
        <v>29142</v>
      </c>
      <c r="G10" s="130">
        <v>39313</v>
      </c>
      <c r="H10" s="130">
        <v>45195</v>
      </c>
      <c r="I10" s="130">
        <v>51658</v>
      </c>
      <c r="J10" s="130">
        <v>57743</v>
      </c>
      <c r="K10" s="130">
        <v>62903</v>
      </c>
      <c r="L10" s="130">
        <v>51660</v>
      </c>
      <c r="M10" s="130">
        <v>773.07772205918195</v>
      </c>
      <c r="N10" s="130">
        <v>44696</v>
      </c>
      <c r="O10" s="130">
        <v>380</v>
      </c>
      <c r="P10" s="130">
        <v>774.3</v>
      </c>
      <c r="Q10" s="130">
        <v>44986</v>
      </c>
      <c r="R10" s="130">
        <v>384</v>
      </c>
      <c r="S10" s="129">
        <f t="shared" ref="S10" si="7">ROUND((N10-45000)/N10*100,2)</f>
        <v>-0.68</v>
      </c>
      <c r="T10" s="124">
        <f>ROUND((Q10-45000)/Q10*100,2)</f>
        <v>-0.03</v>
      </c>
      <c r="U10" s="124">
        <f t="shared" si="0"/>
        <v>0</v>
      </c>
      <c r="V10" s="131">
        <f t="shared" si="1"/>
        <v>0.85</v>
      </c>
      <c r="W10" s="145">
        <f t="shared" si="2"/>
        <v>0.03</v>
      </c>
      <c r="Y10" s="18"/>
      <c r="Z10" s="19"/>
      <c r="AA10" s="19"/>
      <c r="AB10" s="19"/>
      <c r="AC10" s="19"/>
      <c r="AD10" s="19"/>
      <c r="AE10" s="19"/>
      <c r="AF10" s="20"/>
    </row>
    <row r="11" spans="1:39">
      <c r="A11" s="119"/>
      <c r="B11" s="129" t="s">
        <v>30</v>
      </c>
      <c r="C11" s="130" t="s">
        <v>31</v>
      </c>
      <c r="D11" s="119"/>
      <c r="E11" s="130">
        <v>1</v>
      </c>
      <c r="F11" s="130">
        <v>1058</v>
      </c>
      <c r="G11" s="130">
        <v>1666</v>
      </c>
      <c r="H11" s="130">
        <v>2007</v>
      </c>
      <c r="I11" s="130">
        <v>2391</v>
      </c>
      <c r="J11" s="130">
        <v>2818</v>
      </c>
      <c r="K11" s="130">
        <v>3289</v>
      </c>
      <c r="L11" s="130">
        <v>2407</v>
      </c>
      <c r="M11" s="130">
        <v>781.18398595319786</v>
      </c>
      <c r="N11" s="130">
        <v>2117</v>
      </c>
      <c r="O11" s="130">
        <v>221</v>
      </c>
      <c r="P11" s="119"/>
      <c r="Q11" s="119"/>
      <c r="R11" s="124"/>
      <c r="S11" s="129">
        <f t="shared" ref="S11" si="8">ROUND((N11-2100)/N11*100,2)</f>
        <v>0.8</v>
      </c>
      <c r="T11" s="124">
        <f t="shared" ref="T11" si="9">ROUND((N11-2100)/N11*100,2)</f>
        <v>0.8</v>
      </c>
      <c r="U11" s="124">
        <f t="shared" si="0"/>
        <v>0.66</v>
      </c>
      <c r="V11" s="131">
        <f t="shared" si="1"/>
        <v>10.439</v>
      </c>
      <c r="W11" s="145">
        <f t="shared" si="2"/>
        <v>0.8</v>
      </c>
      <c r="Y11" s="18"/>
      <c r="Z11" s="19"/>
      <c r="AA11" s="19"/>
      <c r="AB11" s="19"/>
      <c r="AC11" s="19"/>
      <c r="AD11" s="19"/>
      <c r="AE11" s="19"/>
      <c r="AF11" s="20"/>
      <c r="AH11" s="8">
        <v>1205</v>
      </c>
      <c r="AI11" s="8">
        <v>1845</v>
      </c>
      <c r="AJ11" s="8">
        <v>2225</v>
      </c>
      <c r="AK11" s="8">
        <v>2651</v>
      </c>
      <c r="AL11" s="8">
        <v>3122</v>
      </c>
      <c r="AM11" s="8">
        <v>3644</v>
      </c>
    </row>
    <row r="12" spans="1:39">
      <c r="A12" s="119"/>
      <c r="B12" s="129"/>
      <c r="C12" s="119"/>
      <c r="D12" s="119"/>
      <c r="E12" s="130">
        <v>2</v>
      </c>
      <c r="F12" s="130">
        <v>8238</v>
      </c>
      <c r="G12" s="130">
        <v>11726</v>
      </c>
      <c r="H12" s="130">
        <v>13857</v>
      </c>
      <c r="I12" s="130">
        <v>16276</v>
      </c>
      <c r="J12" s="130">
        <v>19032</v>
      </c>
      <c r="K12" s="130">
        <v>22131</v>
      </c>
      <c r="L12" s="130">
        <v>16408</v>
      </c>
      <c r="M12" s="130">
        <v>776.51964985396467</v>
      </c>
      <c r="N12" s="130">
        <v>14108</v>
      </c>
      <c r="O12" s="130">
        <v>281</v>
      </c>
      <c r="P12" s="119"/>
      <c r="Q12" s="119"/>
      <c r="R12" s="124"/>
      <c r="S12" s="129">
        <f t="shared" ref="S12" si="10">ROUND((N12-14000)/N12*100,2)</f>
        <v>0.77</v>
      </c>
      <c r="T12" s="124">
        <f t="shared" ref="T12" si="11">ROUND((N12-14000)/N12*100,2)</f>
        <v>0.77</v>
      </c>
      <c r="U12" s="124">
        <f t="shared" si="0"/>
        <v>0.8</v>
      </c>
      <c r="V12" s="131">
        <f t="shared" si="1"/>
        <v>1.992</v>
      </c>
      <c r="W12" s="145">
        <f t="shared" si="2"/>
        <v>0.77</v>
      </c>
      <c r="Y12" s="18"/>
      <c r="Z12" s="19"/>
      <c r="AA12" s="19"/>
      <c r="AB12" s="19"/>
      <c r="AC12" s="19"/>
      <c r="AD12" s="19"/>
      <c r="AE12" s="19"/>
      <c r="AF12" s="20"/>
      <c r="AH12" s="8">
        <v>9020</v>
      </c>
      <c r="AI12" s="8">
        <v>12870</v>
      </c>
      <c r="AJ12" s="8">
        <v>15207</v>
      </c>
      <c r="AK12" s="8">
        <v>17852</v>
      </c>
      <c r="AL12" s="8">
        <v>20862</v>
      </c>
      <c r="AM12" s="8">
        <v>24300</v>
      </c>
    </row>
    <row r="13" spans="1:39">
      <c r="A13" s="119"/>
      <c r="B13" s="129"/>
      <c r="C13" s="119"/>
      <c r="D13" s="130" t="s">
        <v>32</v>
      </c>
      <c r="E13" s="130">
        <v>3</v>
      </c>
      <c r="F13" s="130">
        <v>25983</v>
      </c>
      <c r="G13" s="130">
        <v>36884</v>
      </c>
      <c r="H13" s="130">
        <v>43674</v>
      </c>
      <c r="I13" s="130">
        <v>51504</v>
      </c>
      <c r="J13" s="130">
        <v>59218</v>
      </c>
      <c r="K13" s="130" t="s">
        <v>33</v>
      </c>
      <c r="L13" s="130">
        <v>51765</v>
      </c>
      <c r="M13" s="130">
        <v>779.75649890988154</v>
      </c>
      <c r="N13" s="130">
        <v>45348</v>
      </c>
      <c r="O13" s="130">
        <v>393</v>
      </c>
      <c r="P13" s="130">
        <v>778.2</v>
      </c>
      <c r="Q13" s="130">
        <v>44881</v>
      </c>
      <c r="R13" s="124">
        <v>394</v>
      </c>
      <c r="S13" s="129">
        <f t="shared" ref="S13" si="12">ROUND((N13-45000)/N13*100,2)</f>
        <v>0.77</v>
      </c>
      <c r="T13" s="124">
        <f>ROUND((Q13-45000)/Q13*100,2)</f>
        <v>-0.27</v>
      </c>
      <c r="U13" s="124">
        <f t="shared" si="0"/>
        <v>0.5</v>
      </c>
      <c r="V13" s="131">
        <f t="shared" si="1"/>
        <v>0.86699999999999999</v>
      </c>
      <c r="W13" s="145">
        <f t="shared" si="2"/>
        <v>0.27</v>
      </c>
      <c r="Y13" s="18"/>
      <c r="Z13" s="19"/>
      <c r="AA13" s="19"/>
      <c r="AB13" s="19"/>
      <c r="AC13" s="19"/>
      <c r="AD13" s="19"/>
      <c r="AE13" s="19"/>
      <c r="AF13" s="20"/>
      <c r="AH13" s="8">
        <v>28554</v>
      </c>
      <c r="AI13" s="8">
        <v>40421</v>
      </c>
      <c r="AJ13" s="8">
        <v>47996</v>
      </c>
      <c r="AK13" s="8">
        <v>56627</v>
      </c>
      <c r="AL13" s="8">
        <v>64887</v>
      </c>
      <c r="AM13" s="8" t="s">
        <v>34</v>
      </c>
    </row>
    <row r="14" spans="1:39">
      <c r="A14" s="119"/>
      <c r="B14" s="129" t="s">
        <v>35</v>
      </c>
      <c r="C14" s="130" t="s">
        <v>36</v>
      </c>
      <c r="D14" s="119"/>
      <c r="E14" s="130">
        <v>1</v>
      </c>
      <c r="F14" s="130">
        <v>1553</v>
      </c>
      <c r="G14" s="130">
        <v>2298</v>
      </c>
      <c r="H14" s="130">
        <v>2745</v>
      </c>
      <c r="I14" s="130">
        <v>3269</v>
      </c>
      <c r="J14" s="130">
        <v>3841</v>
      </c>
      <c r="K14" s="130">
        <v>4491</v>
      </c>
      <c r="L14" s="130">
        <v>3284</v>
      </c>
      <c r="M14" s="130">
        <v>737.42507101766705</v>
      </c>
      <c r="N14" s="130">
        <v>2094</v>
      </c>
      <c r="O14" s="130">
        <v>231</v>
      </c>
      <c r="P14" s="119"/>
      <c r="Q14" s="119"/>
      <c r="R14" s="124"/>
      <c r="S14" s="129">
        <f t="shared" ref="S14" si="13">ROUND((N14-2100)/N14*100,2)</f>
        <v>-0.28999999999999998</v>
      </c>
      <c r="T14" s="124">
        <f t="shared" ref="T14" si="14">ROUND((N14-2100)/N14*100,2)</f>
        <v>-0.28999999999999998</v>
      </c>
      <c r="U14" s="124">
        <f t="shared" si="0"/>
        <v>0.46</v>
      </c>
      <c r="V14" s="131">
        <f t="shared" si="1"/>
        <v>11.032</v>
      </c>
      <c r="W14" s="145">
        <f t="shared" si="2"/>
        <v>0.28999999999999998</v>
      </c>
      <c r="Y14" s="18"/>
      <c r="Z14" s="19"/>
      <c r="AA14" s="19"/>
      <c r="AB14" s="19"/>
      <c r="AC14" s="19"/>
      <c r="AD14" s="19"/>
      <c r="AE14" s="19"/>
      <c r="AF14" s="20"/>
    </row>
    <row r="15" spans="1:39">
      <c r="A15" s="119"/>
      <c r="B15" s="129"/>
      <c r="C15" s="119"/>
      <c r="D15" s="119"/>
      <c r="E15" s="130">
        <v>2</v>
      </c>
      <c r="F15" s="130">
        <v>10904</v>
      </c>
      <c r="G15" s="130">
        <v>15497</v>
      </c>
      <c r="H15" s="130">
        <v>18265</v>
      </c>
      <c r="I15" s="130">
        <v>21306</v>
      </c>
      <c r="J15" s="130">
        <v>24811</v>
      </c>
      <c r="K15" s="130">
        <v>28823</v>
      </c>
      <c r="L15" s="130">
        <v>21439</v>
      </c>
      <c r="M15" s="130">
        <v>735.14531083745271</v>
      </c>
      <c r="N15" s="130">
        <v>14083</v>
      </c>
      <c r="O15" s="130">
        <v>287</v>
      </c>
      <c r="P15" s="119"/>
      <c r="Q15" s="119"/>
      <c r="R15" s="124"/>
      <c r="S15" s="129">
        <f t="shared" ref="S15" si="15">ROUND((N15-14000)/N15*100,2)</f>
        <v>0.59</v>
      </c>
      <c r="T15" s="124">
        <f t="shared" ref="T15" si="16">ROUND((N15-14000)/N15*100,2)</f>
        <v>0.59</v>
      </c>
      <c r="U15" s="124">
        <f t="shared" si="0"/>
        <v>0.62</v>
      </c>
      <c r="V15" s="131">
        <f t="shared" si="1"/>
        <v>2.0379999999999998</v>
      </c>
      <c r="W15" s="145">
        <f t="shared" si="2"/>
        <v>0.59</v>
      </c>
      <c r="Y15" s="21"/>
      <c r="Z15" s="22"/>
      <c r="AA15" s="22"/>
      <c r="AB15" s="22"/>
      <c r="AC15" s="22"/>
      <c r="AD15" s="22"/>
      <c r="AE15" s="22"/>
      <c r="AF15" s="23"/>
    </row>
    <row r="16" spans="1:39" ht="15.75" thickBot="1">
      <c r="A16" s="119"/>
      <c r="B16" s="132"/>
      <c r="C16" s="133"/>
      <c r="D16" s="133" t="s">
        <v>37</v>
      </c>
      <c r="E16" s="133">
        <v>3</v>
      </c>
      <c r="F16" s="133">
        <v>32263</v>
      </c>
      <c r="G16" s="133">
        <v>45005</v>
      </c>
      <c r="H16" s="133">
        <v>52762</v>
      </c>
      <c r="I16" s="133">
        <v>60851</v>
      </c>
      <c r="J16" s="133" t="s">
        <v>33</v>
      </c>
      <c r="K16" s="133" t="s">
        <v>33</v>
      </c>
      <c r="L16" s="133">
        <v>61105</v>
      </c>
      <c r="M16" s="133">
        <v>749.35445486630044</v>
      </c>
      <c r="N16" s="133">
        <v>45101</v>
      </c>
      <c r="O16" s="133">
        <v>368</v>
      </c>
      <c r="P16" s="133"/>
      <c r="Q16" s="133"/>
      <c r="R16" s="133"/>
      <c r="S16" s="129">
        <f t="shared" ref="S16" si="17">ROUND((N16-45000)/N16*100,2)</f>
        <v>0.22</v>
      </c>
      <c r="T16" s="124">
        <f t="shared" ref="T16" si="18">ROUND((N16-45000)/N16*100,2)</f>
        <v>0.22</v>
      </c>
      <c r="U16" s="124">
        <f t="shared" si="0"/>
        <v>0.42</v>
      </c>
      <c r="V16" s="131">
        <f t="shared" si="1"/>
        <v>0.81599999999999995</v>
      </c>
      <c r="W16" s="145">
        <f t="shared" si="2"/>
        <v>0.22</v>
      </c>
      <c r="Y16" s="21"/>
      <c r="Z16" s="22"/>
      <c r="AA16" s="22"/>
      <c r="AB16" s="22"/>
      <c r="AC16" s="22"/>
      <c r="AD16" s="22"/>
      <c r="AE16" s="22"/>
      <c r="AF16" s="23"/>
    </row>
    <row r="17" spans="1:32" ht="19.5" thickBot="1">
      <c r="A17" s="9" t="s">
        <v>38</v>
      </c>
      <c r="B17" s="123" t="s">
        <v>39</v>
      </c>
      <c r="C17" s="124" t="s">
        <v>40</v>
      </c>
      <c r="D17" s="124" t="s">
        <v>41</v>
      </c>
      <c r="E17" s="124">
        <v>1</v>
      </c>
      <c r="F17" s="124">
        <v>1300</v>
      </c>
      <c r="G17" s="124">
        <v>1963</v>
      </c>
      <c r="H17" s="124">
        <v>2375</v>
      </c>
      <c r="I17" s="124">
        <v>2834</v>
      </c>
      <c r="J17" s="124">
        <v>3348</v>
      </c>
      <c r="K17" s="124">
        <v>3903</v>
      </c>
      <c r="L17" s="124">
        <v>2924</v>
      </c>
      <c r="M17" s="124">
        <v>758.15892593506896</v>
      </c>
      <c r="N17" s="124">
        <v>2088</v>
      </c>
      <c r="O17" s="124">
        <v>312</v>
      </c>
      <c r="P17" s="124"/>
      <c r="Q17" s="124"/>
      <c r="R17" s="124"/>
      <c r="S17" s="129">
        <f t="shared" ref="S17" si="19">ROUND((N17-2100)/N17*100,2)</f>
        <v>-0.56999999999999995</v>
      </c>
      <c r="T17" s="124">
        <f t="shared" ref="T17" si="20">ROUND((N17-2100)/N17*100,2)</f>
        <v>-0.56999999999999995</v>
      </c>
      <c r="U17" s="124">
        <f t="shared" si="0"/>
        <v>3.08</v>
      </c>
      <c r="V17" s="131">
        <f t="shared" si="1"/>
        <v>14.943</v>
      </c>
      <c r="W17" s="145">
        <f t="shared" si="2"/>
        <v>0.56999999999999995</v>
      </c>
      <c r="Y17" s="10"/>
      <c r="Z17" s="11"/>
      <c r="AA17" s="11"/>
      <c r="AB17" s="11"/>
      <c r="AC17" s="11"/>
      <c r="AD17" s="11"/>
      <c r="AE17" s="11"/>
      <c r="AF17" s="12"/>
    </row>
    <row r="18" spans="1:32">
      <c r="B18" s="16"/>
      <c r="E18" s="8">
        <v>2</v>
      </c>
      <c r="F18" s="8">
        <v>9309</v>
      </c>
      <c r="G18" s="8">
        <v>13262</v>
      </c>
      <c r="H18" s="8">
        <v>15590</v>
      </c>
      <c r="I18" s="8">
        <v>18223</v>
      </c>
      <c r="J18" s="8">
        <v>21282</v>
      </c>
      <c r="K18" s="8">
        <v>24590</v>
      </c>
      <c r="L18" s="8">
        <v>18409</v>
      </c>
      <c r="M18" s="8">
        <v>758.34239864526592</v>
      </c>
      <c r="N18" s="8">
        <v>13962</v>
      </c>
      <c r="O18" s="8">
        <v>335</v>
      </c>
      <c r="R18" s="124"/>
      <c r="S18" s="129">
        <f t="shared" ref="S18" si="21">ROUND((N18-14000)/N18*100,2)</f>
        <v>-0.27</v>
      </c>
      <c r="T18" s="124">
        <f t="shared" ref="T18" si="22">ROUND((N18-14000)/N18*100,2)</f>
        <v>-0.27</v>
      </c>
      <c r="U18" s="124">
        <f t="shared" si="0"/>
        <v>1.01</v>
      </c>
      <c r="V18" s="131">
        <f t="shared" si="1"/>
        <v>2.399</v>
      </c>
      <c r="W18" s="145">
        <f t="shared" si="2"/>
        <v>0.27</v>
      </c>
      <c r="Y18" s="16"/>
      <c r="AF18" s="17"/>
    </row>
    <row r="19" spans="1:32">
      <c r="B19" s="16"/>
      <c r="E19" s="8">
        <v>3</v>
      </c>
      <c r="F19" s="8">
        <v>25883</v>
      </c>
      <c r="G19" s="8">
        <v>35391</v>
      </c>
      <c r="H19" s="8">
        <v>41429</v>
      </c>
      <c r="I19" s="8">
        <v>48330</v>
      </c>
      <c r="J19" s="8">
        <v>55919</v>
      </c>
      <c r="K19" s="8">
        <v>62685</v>
      </c>
      <c r="L19" s="8">
        <v>48519</v>
      </c>
      <c r="M19" s="8">
        <v>788.01844681528644</v>
      </c>
      <c r="N19" s="8">
        <v>45013</v>
      </c>
      <c r="O19" s="8">
        <v>415</v>
      </c>
      <c r="R19" s="124"/>
      <c r="S19" s="129">
        <f t="shared" ref="S19" si="23">ROUND((N19-45000)/N19*100,2)</f>
        <v>0.03</v>
      </c>
      <c r="T19" s="124">
        <f t="shared" ref="T19" si="24">ROUND((N19-45000)/N19*100,2)</f>
        <v>0.03</v>
      </c>
      <c r="U19" s="124">
        <f t="shared" si="0"/>
        <v>0.39</v>
      </c>
      <c r="V19" s="131">
        <f t="shared" si="1"/>
        <v>0.92200000000000004</v>
      </c>
      <c r="W19" s="145">
        <f t="shared" si="2"/>
        <v>0.03</v>
      </c>
      <c r="Y19" s="16"/>
      <c r="AF19" s="17"/>
    </row>
    <row r="20" spans="1:32">
      <c r="B20" s="177" t="s">
        <v>42</v>
      </c>
      <c r="C20" s="176" t="s">
        <v>43</v>
      </c>
      <c r="D20" s="8" t="s">
        <v>44</v>
      </c>
      <c r="E20" s="8">
        <v>1</v>
      </c>
      <c r="F20" s="27">
        <v>993</v>
      </c>
      <c r="G20" s="8">
        <v>1422</v>
      </c>
      <c r="H20" s="8">
        <v>1762</v>
      </c>
      <c r="I20" s="8">
        <v>2120</v>
      </c>
      <c r="J20" s="8">
        <v>2517</v>
      </c>
      <c r="K20" s="8">
        <v>2962</v>
      </c>
      <c r="L20" s="8">
        <v>2076</v>
      </c>
      <c r="M20" s="8">
        <v>799.77631831426652</v>
      </c>
      <c r="N20" s="8">
        <v>2090</v>
      </c>
      <c r="O20" s="8">
        <v>279</v>
      </c>
      <c r="R20" s="124"/>
      <c r="S20" s="129">
        <f t="shared" ref="S20" si="25">ROUND((N20-2100)/N20*100,2)</f>
        <v>-0.48</v>
      </c>
      <c r="T20" s="124">
        <f t="shared" ref="T20" si="26">ROUND((N20-2100)/N20*100,2)</f>
        <v>-0.48</v>
      </c>
      <c r="U20" s="124">
        <f t="shared" si="0"/>
        <v>-2.12</v>
      </c>
      <c r="V20" s="131">
        <f t="shared" si="1"/>
        <v>13.349</v>
      </c>
      <c r="W20" s="145">
        <f t="shared" si="2"/>
        <v>0.48</v>
      </c>
      <c r="Y20" s="16"/>
      <c r="AF20" s="17"/>
    </row>
    <row r="21" spans="1:32" ht="15.75" customHeight="1">
      <c r="B21" s="16"/>
      <c r="E21" s="8">
        <v>2</v>
      </c>
      <c r="F21" s="8">
        <v>6938</v>
      </c>
      <c r="G21" s="8">
        <v>9933</v>
      </c>
      <c r="H21" s="8">
        <v>11703</v>
      </c>
      <c r="I21" s="8">
        <v>13712</v>
      </c>
      <c r="J21" s="8">
        <v>15962</v>
      </c>
      <c r="K21" s="8">
        <v>18512</v>
      </c>
      <c r="L21" s="8">
        <v>13722</v>
      </c>
      <c r="M21" s="8">
        <v>803.52955993361547</v>
      </c>
      <c r="N21" s="8">
        <v>14022</v>
      </c>
      <c r="O21" s="8">
        <v>316</v>
      </c>
      <c r="R21" s="124"/>
      <c r="S21" s="129">
        <f t="shared" ref="S21" si="27">ROUND((N21-14000)/N21*100,2)</f>
        <v>0.16</v>
      </c>
      <c r="T21" s="124">
        <f t="shared" ref="T21" si="28">ROUND((N21-14000)/N21*100,2)</f>
        <v>0.16</v>
      </c>
      <c r="U21" s="124">
        <f t="shared" si="0"/>
        <v>7.0000000000000007E-2</v>
      </c>
      <c r="V21" s="131">
        <f t="shared" si="1"/>
        <v>2.254</v>
      </c>
      <c r="W21" s="145">
        <f t="shared" si="2"/>
        <v>0.16</v>
      </c>
      <c r="Y21" s="16"/>
      <c r="AF21" s="17"/>
    </row>
    <row r="22" spans="1:32" ht="15.75" customHeight="1">
      <c r="B22" s="16"/>
      <c r="E22" s="8">
        <v>3</v>
      </c>
      <c r="F22" s="8">
        <v>19486</v>
      </c>
      <c r="G22" s="8">
        <v>27302</v>
      </c>
      <c r="H22" s="8">
        <v>31975</v>
      </c>
      <c r="I22" s="8">
        <v>37137</v>
      </c>
      <c r="J22" s="8">
        <v>42662</v>
      </c>
      <c r="K22" s="8">
        <v>49234</v>
      </c>
      <c r="L22" s="8">
        <v>37279</v>
      </c>
      <c r="M22" s="8">
        <v>834.14233805858169</v>
      </c>
      <c r="N22" s="8">
        <v>44862</v>
      </c>
      <c r="O22" s="8">
        <v>399</v>
      </c>
      <c r="R22" s="124"/>
      <c r="S22" s="129">
        <f t="shared" ref="S22" si="29">ROUND((N22-45000)/N22*100,2)</f>
        <v>-0.31</v>
      </c>
      <c r="T22" s="124">
        <f t="shared" ref="T22" si="30">ROUND((N22-45000)/N22*100,2)</f>
        <v>-0.31</v>
      </c>
      <c r="U22" s="124">
        <f t="shared" si="0"/>
        <v>0.38</v>
      </c>
      <c r="V22" s="131">
        <f t="shared" si="1"/>
        <v>0.88900000000000001</v>
      </c>
      <c r="W22" s="145">
        <f t="shared" si="2"/>
        <v>0.31</v>
      </c>
      <c r="Y22" s="16"/>
      <c r="AF22" s="17"/>
    </row>
    <row r="23" spans="1:32" ht="15.75" customHeight="1">
      <c r="A23" s="28"/>
      <c r="B23" s="16" t="s">
        <v>45</v>
      </c>
      <c r="C23" s="8" t="s">
        <v>46</v>
      </c>
      <c r="D23" s="8" t="s">
        <v>47</v>
      </c>
      <c r="E23" s="8">
        <v>1</v>
      </c>
      <c r="F23" s="8">
        <v>1148</v>
      </c>
      <c r="G23" s="8">
        <v>1763</v>
      </c>
      <c r="H23" s="8">
        <v>2102</v>
      </c>
      <c r="I23" s="8">
        <v>2486</v>
      </c>
      <c r="J23" s="8">
        <v>2914</v>
      </c>
      <c r="K23" s="8">
        <v>3408</v>
      </c>
      <c r="L23" s="8">
        <v>2465</v>
      </c>
      <c r="M23" s="8">
        <v>774.78043700550188</v>
      </c>
      <c r="N23" s="8">
        <v>2097</v>
      </c>
      <c r="O23" s="8">
        <v>269</v>
      </c>
      <c r="R23" s="124"/>
      <c r="S23" s="129">
        <f t="shared" ref="S23" si="31">ROUND((N23-2100)/N23*100,2)</f>
        <v>-0.14000000000000001</v>
      </c>
      <c r="T23" s="124">
        <f t="shared" ref="T23" si="32">ROUND((N23-2100)/N23*100,2)</f>
        <v>-0.14000000000000001</v>
      </c>
      <c r="U23" s="124">
        <f t="shared" si="0"/>
        <v>-0.85</v>
      </c>
      <c r="V23" s="131">
        <f t="shared" si="1"/>
        <v>12.827999999999999</v>
      </c>
      <c r="W23" s="145">
        <f t="shared" si="2"/>
        <v>0.14000000000000001</v>
      </c>
      <c r="Y23" s="16"/>
      <c r="AF23" s="17"/>
    </row>
    <row r="24" spans="1:32" ht="15.75" customHeight="1">
      <c r="B24" s="16"/>
      <c r="E24" s="8">
        <v>2</v>
      </c>
      <c r="F24" s="8">
        <v>8217</v>
      </c>
      <c r="G24" s="8">
        <v>11749</v>
      </c>
      <c r="H24" s="8">
        <v>13860</v>
      </c>
      <c r="I24" s="8">
        <v>16272</v>
      </c>
      <c r="J24" s="8">
        <v>18988</v>
      </c>
      <c r="K24" s="8">
        <v>22029</v>
      </c>
      <c r="L24" s="8">
        <v>16147</v>
      </c>
      <c r="M24" s="8">
        <v>776.3275917769414</v>
      </c>
      <c r="N24" s="8">
        <v>13933</v>
      </c>
      <c r="O24" s="8">
        <v>306</v>
      </c>
      <c r="R24" s="124"/>
      <c r="S24" s="129">
        <f t="shared" ref="S24" si="33">ROUND((N24-14000)/N24*100,2)</f>
        <v>-0.48</v>
      </c>
      <c r="T24" s="124">
        <f t="shared" ref="T24" si="34">ROUND((N24-14000)/N24*100,2)</f>
        <v>-0.48</v>
      </c>
      <c r="U24" s="124">
        <f t="shared" si="0"/>
        <v>-0.77</v>
      </c>
      <c r="V24" s="131">
        <f t="shared" si="1"/>
        <v>2.1960000000000002</v>
      </c>
      <c r="W24" s="145">
        <f t="shared" si="2"/>
        <v>0.48</v>
      </c>
      <c r="Y24" s="16"/>
      <c r="AF24" s="17"/>
    </row>
    <row r="25" spans="1:32" ht="15.75" customHeight="1">
      <c r="B25" s="16"/>
      <c r="E25" s="8">
        <v>3</v>
      </c>
      <c r="F25" s="8">
        <v>23808</v>
      </c>
      <c r="G25" s="8">
        <v>33559</v>
      </c>
      <c r="H25" s="8">
        <v>39210</v>
      </c>
      <c r="I25" s="8">
        <v>45424</v>
      </c>
      <c r="J25" s="8">
        <v>52513</v>
      </c>
      <c r="K25" s="8">
        <v>58678</v>
      </c>
      <c r="L25" s="8">
        <v>45420</v>
      </c>
      <c r="M25" s="8">
        <v>798.44553054806397</v>
      </c>
      <c r="N25" s="8">
        <v>44807</v>
      </c>
      <c r="O25" s="8">
        <v>393</v>
      </c>
      <c r="R25" s="124"/>
      <c r="S25" s="129">
        <f t="shared" ref="S25" si="35">ROUND((N25-45000)/N25*100,2)</f>
        <v>-0.43</v>
      </c>
      <c r="T25" s="124">
        <f t="shared" ref="T25" si="36">ROUND((N25-45000)/N25*100,2)</f>
        <v>-0.43</v>
      </c>
      <c r="U25" s="124">
        <f t="shared" si="0"/>
        <v>-0.01</v>
      </c>
      <c r="V25" s="131">
        <f t="shared" si="1"/>
        <v>0.877</v>
      </c>
      <c r="W25" s="145">
        <f t="shared" si="2"/>
        <v>0.43</v>
      </c>
      <c r="Y25" s="16"/>
      <c r="AF25" s="17"/>
    </row>
    <row r="26" spans="1:32" ht="15.75" customHeight="1">
      <c r="B26" s="16" t="s">
        <v>48</v>
      </c>
      <c r="C26" s="8" t="s">
        <v>49</v>
      </c>
      <c r="D26" s="8" t="s">
        <v>50</v>
      </c>
      <c r="E26" s="8">
        <v>1</v>
      </c>
      <c r="F26" s="8">
        <v>1844</v>
      </c>
      <c r="G26" s="8">
        <v>2721</v>
      </c>
      <c r="H26" s="8">
        <v>3233</v>
      </c>
      <c r="I26" s="8">
        <v>3850</v>
      </c>
      <c r="J26" s="8">
        <v>4528</v>
      </c>
      <c r="K26" s="8">
        <v>5240</v>
      </c>
      <c r="L26" s="8">
        <v>3882</v>
      </c>
      <c r="M26" s="8">
        <v>715.99154526489485</v>
      </c>
      <c r="N26" s="8">
        <v>2084</v>
      </c>
      <c r="O26" s="8">
        <v>304</v>
      </c>
      <c r="R26" s="124"/>
      <c r="S26" s="129">
        <f t="shared" ref="S26" si="37">ROUND((N26-2100)/N26*100,2)</f>
        <v>-0.77</v>
      </c>
      <c r="T26" s="124">
        <f t="shared" ref="T26" si="38">ROUND((N26-2100)/N26*100,2)</f>
        <v>-0.77</v>
      </c>
      <c r="U26" s="124">
        <f t="shared" si="0"/>
        <v>0.82</v>
      </c>
      <c r="V26" s="131">
        <f t="shared" si="1"/>
        <v>14.587</v>
      </c>
      <c r="W26" s="145">
        <f t="shared" si="2"/>
        <v>0.77</v>
      </c>
      <c r="Y26" s="16"/>
      <c r="AF26" s="17"/>
    </row>
    <row r="27" spans="1:32" ht="15.75" customHeight="1">
      <c r="B27" s="16"/>
      <c r="E27" s="8">
        <v>2</v>
      </c>
      <c r="F27" s="8">
        <v>12849</v>
      </c>
      <c r="G27" s="8">
        <v>17879</v>
      </c>
      <c r="H27" s="8">
        <v>20827</v>
      </c>
      <c r="I27" s="8">
        <v>24079</v>
      </c>
      <c r="J27" s="8">
        <v>27610</v>
      </c>
      <c r="K27" s="8">
        <v>31321</v>
      </c>
      <c r="L27" s="8">
        <v>24004</v>
      </c>
      <c r="M27" s="8">
        <v>712.3240864008477</v>
      </c>
      <c r="N27" s="8">
        <v>13888</v>
      </c>
      <c r="O27" s="8">
        <v>333</v>
      </c>
      <c r="R27" s="124"/>
      <c r="S27" s="129">
        <f t="shared" ref="S27" si="39">ROUND((N27-14000)/N27*100,2)</f>
        <v>-0.81</v>
      </c>
      <c r="T27" s="124">
        <f t="shared" ref="T27" si="40">ROUND((N27-14000)/N27*100,2)</f>
        <v>-0.81</v>
      </c>
      <c r="U27" s="124">
        <f t="shared" si="0"/>
        <v>-0.31</v>
      </c>
      <c r="V27" s="131">
        <f t="shared" si="1"/>
        <v>2.3980000000000001</v>
      </c>
      <c r="W27" s="145">
        <f t="shared" si="2"/>
        <v>0.81</v>
      </c>
      <c r="Y27" s="16"/>
      <c r="AF27" s="17"/>
    </row>
    <row r="28" spans="1:32" ht="15.75" customHeight="1">
      <c r="B28" s="16"/>
      <c r="E28" s="8">
        <v>3</v>
      </c>
      <c r="F28" s="8">
        <v>33569</v>
      </c>
      <c r="G28" s="8">
        <v>45086</v>
      </c>
      <c r="H28" s="8">
        <v>51560</v>
      </c>
      <c r="I28" s="8">
        <v>57521</v>
      </c>
      <c r="J28" s="8">
        <v>62620</v>
      </c>
      <c r="K28" s="8" t="s">
        <v>34</v>
      </c>
      <c r="L28" s="8">
        <v>57642</v>
      </c>
      <c r="M28" s="8">
        <v>751.59194795032261</v>
      </c>
      <c r="N28" s="8">
        <v>45439</v>
      </c>
      <c r="O28" s="8">
        <v>372</v>
      </c>
      <c r="P28" s="8">
        <v>750.5</v>
      </c>
      <c r="Q28" s="8">
        <v>45234</v>
      </c>
      <c r="R28" s="124">
        <v>369</v>
      </c>
      <c r="S28" s="129">
        <f t="shared" ref="S28" si="41">ROUND((N28-45000)/N28*100,2)</f>
        <v>0.97</v>
      </c>
      <c r="T28" s="124">
        <f>ROUND((Q28-45000)/Q28*100,2)</f>
        <v>0.52</v>
      </c>
      <c r="U28" s="124">
        <f t="shared" si="0"/>
        <v>0.21</v>
      </c>
      <c r="V28" s="131">
        <f t="shared" si="1"/>
        <v>0.81899999999999995</v>
      </c>
      <c r="W28" s="145">
        <f t="shared" si="2"/>
        <v>0.52</v>
      </c>
      <c r="Y28" s="16"/>
      <c r="AF28" s="17"/>
    </row>
    <row r="29" spans="1:32" ht="15.75" customHeight="1">
      <c r="B29" s="16" t="s">
        <v>51</v>
      </c>
      <c r="C29" s="8" t="s">
        <v>52</v>
      </c>
      <c r="D29" s="8" t="s">
        <v>53</v>
      </c>
      <c r="E29" s="8">
        <v>1</v>
      </c>
      <c r="F29" s="8">
        <v>1231</v>
      </c>
      <c r="G29" s="29">
        <v>1858</v>
      </c>
      <c r="H29" s="8">
        <v>2213</v>
      </c>
      <c r="I29" s="8">
        <v>2614</v>
      </c>
      <c r="J29" s="8">
        <v>3155</v>
      </c>
      <c r="K29" s="8">
        <v>3662</v>
      </c>
      <c r="L29" s="8">
        <v>2611</v>
      </c>
      <c r="M29" s="8">
        <v>767.47946492496226</v>
      </c>
      <c r="N29" s="8">
        <v>2161</v>
      </c>
      <c r="O29" s="8">
        <v>249</v>
      </c>
      <c r="P29" s="8">
        <v>762.5</v>
      </c>
      <c r="Q29" s="8">
        <v>2094</v>
      </c>
      <c r="R29" s="124">
        <v>245</v>
      </c>
      <c r="S29" s="129">
        <f t="shared" ref="S29" si="42">ROUND((N29-2100)/N29*100,2)</f>
        <v>2.82</v>
      </c>
      <c r="T29" s="124">
        <f>ROUND((Q29-2100)/Q29*100,2)</f>
        <v>-0.28999999999999998</v>
      </c>
      <c r="U29" s="124">
        <f t="shared" si="0"/>
        <v>-0.11</v>
      </c>
      <c r="V29" s="131">
        <f t="shared" si="1"/>
        <v>11.522</v>
      </c>
      <c r="W29" s="145">
        <f t="shared" si="2"/>
        <v>0.28999999999999998</v>
      </c>
      <c r="Y29" s="16"/>
      <c r="AF29" s="17"/>
    </row>
    <row r="30" spans="1:32" ht="15.75" customHeight="1">
      <c r="B30" s="16"/>
      <c r="E30" s="8">
        <v>2</v>
      </c>
      <c r="F30" s="8">
        <v>8680</v>
      </c>
      <c r="G30" s="8">
        <v>12427</v>
      </c>
      <c r="H30" s="8">
        <v>14652</v>
      </c>
      <c r="I30" s="8">
        <v>17305</v>
      </c>
      <c r="J30" s="8">
        <v>20259</v>
      </c>
      <c r="K30" s="8">
        <v>23697</v>
      </c>
      <c r="L30" s="8">
        <v>17272</v>
      </c>
      <c r="M30" s="8">
        <v>767.83939028343616</v>
      </c>
      <c r="N30" s="8">
        <v>13928</v>
      </c>
      <c r="O30" s="8">
        <v>329</v>
      </c>
      <c r="R30" s="124"/>
      <c r="S30" s="129">
        <f t="shared" ref="S30" si="43">ROUND((N30-14000)/N30*100,2)</f>
        <v>-0.52</v>
      </c>
      <c r="T30" s="124">
        <f t="shared" ref="T30" si="44">ROUND((N30-14000)/N30*100,2)</f>
        <v>-0.52</v>
      </c>
      <c r="U30" s="124">
        <f t="shared" si="0"/>
        <v>-0.19</v>
      </c>
      <c r="V30" s="131">
        <f t="shared" si="1"/>
        <v>2.3620000000000001</v>
      </c>
      <c r="W30" s="145">
        <f t="shared" si="2"/>
        <v>0.52</v>
      </c>
      <c r="Y30" s="16"/>
      <c r="AF30" s="17"/>
    </row>
    <row r="31" spans="1:32" ht="15.75" customHeight="1" thickBot="1">
      <c r="B31" s="24"/>
      <c r="C31" s="25"/>
      <c r="D31" s="25"/>
      <c r="E31" s="25">
        <v>3</v>
      </c>
      <c r="F31" s="25">
        <v>25413</v>
      </c>
      <c r="G31" s="25">
        <v>35937</v>
      </c>
      <c r="H31" s="25">
        <v>42498</v>
      </c>
      <c r="I31" s="25">
        <v>50163</v>
      </c>
      <c r="J31" s="25">
        <v>58065</v>
      </c>
      <c r="K31" s="25">
        <v>64555</v>
      </c>
      <c r="L31" s="25">
        <v>50127</v>
      </c>
      <c r="M31" s="25">
        <v>783.56011418732487</v>
      </c>
      <c r="N31" s="25">
        <v>44726</v>
      </c>
      <c r="O31" s="25">
        <v>410</v>
      </c>
      <c r="P31" s="25"/>
      <c r="Q31" s="25"/>
      <c r="R31" s="25"/>
      <c r="S31" s="129">
        <f t="shared" ref="S31" si="45">ROUND((N31-45000)/N31*100,2)</f>
        <v>-0.61</v>
      </c>
      <c r="T31" s="124">
        <f t="shared" ref="T31" si="46">ROUND((N31-45000)/N31*100,2)</f>
        <v>-0.61</v>
      </c>
      <c r="U31" s="124">
        <f t="shared" si="0"/>
        <v>-7.0000000000000007E-2</v>
      </c>
      <c r="V31" s="131">
        <f t="shared" si="1"/>
        <v>0.91700000000000004</v>
      </c>
      <c r="W31" s="145">
        <f t="shared" si="2"/>
        <v>0.61</v>
      </c>
      <c r="Y31" s="24"/>
      <c r="Z31" s="25"/>
      <c r="AA31" s="25"/>
      <c r="AB31" s="25"/>
      <c r="AC31" s="25"/>
      <c r="AD31" s="25"/>
      <c r="AE31" s="25"/>
      <c r="AF31" s="26"/>
    </row>
    <row r="32" spans="1:32" ht="15.75" customHeight="1" thickBot="1">
      <c r="A32" s="9" t="s">
        <v>54</v>
      </c>
      <c r="B32" s="166" t="s">
        <v>55</v>
      </c>
      <c r="C32" s="165" t="s">
        <v>56</v>
      </c>
      <c r="D32" s="11"/>
      <c r="E32" s="11">
        <v>1</v>
      </c>
      <c r="F32" s="11">
        <v>2234</v>
      </c>
      <c r="G32" s="11">
        <v>3179</v>
      </c>
      <c r="H32" s="11">
        <v>3754</v>
      </c>
      <c r="I32" s="11">
        <v>4391</v>
      </c>
      <c r="J32" s="11">
        <v>5098</v>
      </c>
      <c r="K32" s="11">
        <v>5868</v>
      </c>
      <c r="L32" s="11"/>
      <c r="M32" s="30">
        <v>692.51968363816479</v>
      </c>
      <c r="N32" s="11">
        <v>2060</v>
      </c>
      <c r="O32" s="11">
        <v>296</v>
      </c>
      <c r="P32" s="11"/>
      <c r="Q32" s="11"/>
      <c r="R32" s="11"/>
      <c r="S32" s="129">
        <f t="shared" ref="S32" si="47">ROUND((N32-2100)/N32*100,2)</f>
        <v>-1.94</v>
      </c>
      <c r="T32" s="124">
        <f t="shared" ref="T32" si="48">ROUND((N32-2100)/N32*100,2)</f>
        <v>-1.94</v>
      </c>
      <c r="U32" s="124" t="e">
        <f t="shared" si="0"/>
        <v>#DIV/0!</v>
      </c>
      <c r="V32" s="131">
        <f t="shared" si="1"/>
        <v>14.369</v>
      </c>
      <c r="W32" s="145">
        <f t="shared" si="2"/>
        <v>1.94</v>
      </c>
      <c r="Y32" s="13"/>
      <c r="Z32" s="14"/>
      <c r="AA32" s="14"/>
      <c r="AB32" s="14"/>
      <c r="AC32" s="14"/>
      <c r="AD32" s="14"/>
      <c r="AE32" s="14"/>
      <c r="AF32" s="15"/>
    </row>
    <row r="33" spans="1:32" ht="15.75" customHeight="1">
      <c r="B33" s="16"/>
      <c r="E33" s="8">
        <v>2</v>
      </c>
      <c r="F33" s="8">
        <v>15053</v>
      </c>
      <c r="G33" s="8">
        <v>20211</v>
      </c>
      <c r="H33" s="8">
        <v>23099</v>
      </c>
      <c r="I33" s="8">
        <v>26152</v>
      </c>
      <c r="J33" s="8">
        <v>29627</v>
      </c>
      <c r="K33" s="8">
        <v>33384</v>
      </c>
      <c r="M33" s="31">
        <v>688.24318974625271</v>
      </c>
      <c r="N33" s="8">
        <v>13747</v>
      </c>
      <c r="O33" s="8">
        <v>350</v>
      </c>
      <c r="R33" s="124"/>
      <c r="S33" s="129">
        <f t="shared" ref="S33" si="49">ROUND((N33-14000)/N33*100,2)</f>
        <v>-1.84</v>
      </c>
      <c r="T33" s="124">
        <f t="shared" ref="T33" si="50">ROUND((N33-14000)/N33*100,2)</f>
        <v>-1.84</v>
      </c>
      <c r="U33" s="124" t="e">
        <f t="shared" si="0"/>
        <v>#DIV/0!</v>
      </c>
      <c r="V33" s="131">
        <f t="shared" si="1"/>
        <v>2.5459999999999998</v>
      </c>
      <c r="W33" s="145">
        <f t="shared" si="2"/>
        <v>1.84</v>
      </c>
      <c r="Y33" s="32"/>
      <c r="Z33" s="33"/>
      <c r="AA33" s="33"/>
      <c r="AB33" s="33"/>
      <c r="AC33" s="33"/>
      <c r="AD33" s="33"/>
      <c r="AE33" s="33"/>
      <c r="AF33" s="34"/>
    </row>
    <row r="34" spans="1:32" ht="15.75" customHeight="1">
      <c r="B34" s="16"/>
      <c r="D34" s="8" t="s">
        <v>57</v>
      </c>
      <c r="E34" s="8">
        <v>3</v>
      </c>
      <c r="F34" s="8">
        <v>41252</v>
      </c>
      <c r="G34" s="8">
        <v>53964</v>
      </c>
      <c r="H34" s="8">
        <v>60521</v>
      </c>
      <c r="I34" s="8" t="s">
        <v>33</v>
      </c>
      <c r="J34" s="8" t="s">
        <v>33</v>
      </c>
      <c r="K34" s="8" t="s">
        <v>33</v>
      </c>
      <c r="M34" s="8">
        <v>714.95284832406105</v>
      </c>
      <c r="N34" s="8">
        <v>44395</v>
      </c>
      <c r="O34" s="8">
        <v>398</v>
      </c>
      <c r="R34" s="124"/>
      <c r="S34" s="129">
        <f t="shared" ref="S34" si="51">ROUND((N34-45000)/N34*100,2)</f>
        <v>-1.36</v>
      </c>
      <c r="T34" s="124">
        <f t="shared" ref="T34" si="52">ROUND((N34-45000)/N34*100,2)</f>
        <v>-1.36</v>
      </c>
      <c r="U34" s="124" t="e">
        <f t="shared" si="0"/>
        <v>#VALUE!</v>
      </c>
      <c r="V34" s="131">
        <f t="shared" si="1"/>
        <v>0.89600000000000002</v>
      </c>
      <c r="W34" s="145">
        <f t="shared" si="2"/>
        <v>1.36</v>
      </c>
      <c r="Y34" s="18" t="s">
        <v>22</v>
      </c>
      <c r="Z34" s="19" t="s">
        <v>58</v>
      </c>
      <c r="AA34" s="19"/>
      <c r="AB34" s="19"/>
      <c r="AC34" s="19"/>
      <c r="AD34" s="19"/>
      <c r="AE34" s="19"/>
      <c r="AF34" s="20"/>
    </row>
    <row r="35" spans="1:32" ht="15.75" customHeight="1">
      <c r="B35" s="16" t="s">
        <v>59</v>
      </c>
      <c r="C35" s="8" t="s">
        <v>60</v>
      </c>
      <c r="E35" s="8">
        <v>1</v>
      </c>
      <c r="F35" s="8">
        <v>1029</v>
      </c>
      <c r="G35" s="8">
        <v>1598</v>
      </c>
      <c r="H35" s="8">
        <v>1923</v>
      </c>
      <c r="I35" s="8">
        <v>2283</v>
      </c>
      <c r="J35" s="8">
        <v>2693</v>
      </c>
      <c r="K35" s="8">
        <v>3146</v>
      </c>
      <c r="M35" s="8">
        <v>787.20026116948122</v>
      </c>
      <c r="N35" s="8">
        <v>2094</v>
      </c>
      <c r="O35" s="8">
        <v>310</v>
      </c>
      <c r="R35" s="124"/>
      <c r="S35" s="129">
        <f t="shared" ref="S35" si="53">ROUND((N35-2100)/N35*100,2)</f>
        <v>-0.28999999999999998</v>
      </c>
      <c r="T35" s="124">
        <f t="shared" ref="T35" si="54">ROUND((N35-2100)/N35*100,2)</f>
        <v>-0.28999999999999998</v>
      </c>
      <c r="U35" s="124" t="e">
        <f t="shared" si="0"/>
        <v>#DIV/0!</v>
      </c>
      <c r="V35" s="131">
        <f t="shared" si="1"/>
        <v>14.804</v>
      </c>
      <c r="W35" s="145">
        <f t="shared" si="2"/>
        <v>0.28999999999999998</v>
      </c>
      <c r="Y35" s="18"/>
      <c r="Z35" s="19"/>
      <c r="AA35" s="19"/>
      <c r="AB35" s="19"/>
      <c r="AC35" s="19"/>
      <c r="AD35" s="19"/>
      <c r="AE35" s="19"/>
      <c r="AF35" s="20"/>
    </row>
    <row r="36" spans="1:32" ht="15.75" customHeight="1">
      <c r="B36" s="16"/>
      <c r="E36" s="8">
        <v>2</v>
      </c>
      <c r="F36" s="8">
        <v>7965</v>
      </c>
      <c r="G36" s="8">
        <v>11328</v>
      </c>
      <c r="H36" s="8">
        <v>13365</v>
      </c>
      <c r="I36" s="8">
        <v>15664</v>
      </c>
      <c r="J36" s="8">
        <v>18245</v>
      </c>
      <c r="K36" s="8">
        <v>21193</v>
      </c>
      <c r="M36" s="8">
        <v>780.94745413568148</v>
      </c>
      <c r="N36" s="8">
        <v>13715</v>
      </c>
      <c r="O36" s="8">
        <v>356</v>
      </c>
      <c r="R36" s="124"/>
      <c r="S36" s="129">
        <f t="shared" ref="S36" si="55">ROUND((N36-14000)/N36*100,2)</f>
        <v>-2.08</v>
      </c>
      <c r="T36" s="124">
        <f t="shared" ref="T36" si="56">ROUND((N36-14000)/N36*100,2)</f>
        <v>-2.08</v>
      </c>
      <c r="U36" s="124" t="e">
        <f t="shared" si="0"/>
        <v>#DIV/0!</v>
      </c>
      <c r="V36" s="131">
        <f t="shared" si="1"/>
        <v>2.5960000000000001</v>
      </c>
      <c r="W36" s="145">
        <f t="shared" si="2"/>
        <v>2.08</v>
      </c>
      <c r="Y36" s="18"/>
      <c r="Z36" s="19"/>
      <c r="AA36" s="19"/>
      <c r="AB36" s="19"/>
      <c r="AC36" s="19"/>
      <c r="AD36" s="19"/>
      <c r="AE36" s="19"/>
      <c r="AF36" s="20"/>
    </row>
    <row r="37" spans="1:32" ht="15.75" customHeight="1">
      <c r="B37" s="16"/>
      <c r="D37" s="8" t="s">
        <v>61</v>
      </c>
      <c r="E37" s="8">
        <v>3</v>
      </c>
      <c r="F37" s="8">
        <v>25215</v>
      </c>
      <c r="G37" s="8">
        <v>35583</v>
      </c>
      <c r="H37" s="8">
        <v>41802</v>
      </c>
      <c r="I37" s="8">
        <v>49079</v>
      </c>
      <c r="J37" s="8">
        <v>56919</v>
      </c>
      <c r="K37" s="8">
        <v>63442</v>
      </c>
      <c r="M37" s="8">
        <v>785.32678950689456</v>
      </c>
      <c r="N37" s="8">
        <v>44384</v>
      </c>
      <c r="O37" s="8">
        <v>439</v>
      </c>
      <c r="R37" s="124"/>
      <c r="S37" s="129">
        <f t="shared" ref="S37" si="57">ROUND((N37-45000)/N37*100,2)</f>
        <v>-1.39</v>
      </c>
      <c r="T37" s="124">
        <f t="shared" ref="T37" si="58">ROUND((N37-45000)/N37*100,2)</f>
        <v>-1.39</v>
      </c>
      <c r="U37" s="124" t="e">
        <f t="shared" si="0"/>
        <v>#DIV/0!</v>
      </c>
      <c r="V37" s="131">
        <f t="shared" si="1"/>
        <v>0.98899999999999999</v>
      </c>
      <c r="W37" s="145">
        <f t="shared" si="2"/>
        <v>1.39</v>
      </c>
      <c r="Y37" s="18"/>
      <c r="Z37" s="19"/>
      <c r="AA37" s="19"/>
      <c r="AB37" s="19"/>
      <c r="AC37" s="19"/>
      <c r="AD37" s="19"/>
      <c r="AE37" s="19"/>
      <c r="AF37" s="20"/>
    </row>
    <row r="38" spans="1:32" ht="15.75" customHeight="1">
      <c r="B38" s="16" t="s">
        <v>62</v>
      </c>
      <c r="C38" s="8" t="s">
        <v>63</v>
      </c>
      <c r="D38" s="28">
        <v>45355</v>
      </c>
      <c r="E38" s="8">
        <v>1</v>
      </c>
      <c r="F38" s="35" t="s">
        <v>64</v>
      </c>
      <c r="G38" s="8">
        <v>1112</v>
      </c>
      <c r="H38" s="8">
        <v>1358</v>
      </c>
      <c r="I38" s="8">
        <v>1614</v>
      </c>
      <c r="J38" s="8">
        <v>1758</v>
      </c>
      <c r="K38" s="8">
        <v>2132</v>
      </c>
      <c r="L38" s="8">
        <v>1623</v>
      </c>
      <c r="M38" s="8">
        <v>849</v>
      </c>
      <c r="N38" s="8">
        <v>2137</v>
      </c>
      <c r="O38" s="8">
        <v>295</v>
      </c>
      <c r="R38" s="124"/>
      <c r="S38" s="129">
        <f t="shared" ref="S38" si="59">ROUND((N38-2100)/N38*100,2)</f>
        <v>1.73</v>
      </c>
      <c r="T38" s="124">
        <f t="shared" ref="T38" si="60">ROUND((N38-2100)/N38*100,2)</f>
        <v>1.73</v>
      </c>
      <c r="U38" s="124">
        <f t="shared" si="0"/>
        <v>0.55000000000000004</v>
      </c>
      <c r="V38" s="131">
        <f t="shared" si="1"/>
        <v>13.804</v>
      </c>
      <c r="W38" s="145">
        <f t="shared" si="2"/>
        <v>1.73</v>
      </c>
      <c r="Y38" s="18"/>
      <c r="Z38" s="19"/>
      <c r="AA38" s="19"/>
      <c r="AB38" s="19"/>
      <c r="AC38" s="19"/>
      <c r="AD38" s="19"/>
      <c r="AE38" s="19"/>
      <c r="AF38" s="20"/>
    </row>
    <row r="39" spans="1:32" ht="15.75" customHeight="1">
      <c r="B39" s="16"/>
      <c r="E39" s="8">
        <v>2</v>
      </c>
      <c r="F39" s="8">
        <v>6748</v>
      </c>
      <c r="G39" s="8">
        <v>9231</v>
      </c>
      <c r="H39" s="8">
        <v>10675</v>
      </c>
      <c r="I39" s="8">
        <v>12279</v>
      </c>
      <c r="J39" s="8">
        <v>14045</v>
      </c>
      <c r="K39" s="8">
        <v>15990</v>
      </c>
      <c r="L39" s="8">
        <v>12355</v>
      </c>
      <c r="M39" s="8">
        <v>823</v>
      </c>
      <c r="N39" s="8">
        <v>13961</v>
      </c>
      <c r="O39" s="8">
        <v>354</v>
      </c>
      <c r="R39" s="124"/>
      <c r="S39" s="129">
        <f t="shared" ref="S39" si="61">ROUND((N39-14000)/N39*100,2)</f>
        <v>-0.28000000000000003</v>
      </c>
      <c r="T39" s="124">
        <f t="shared" ref="T39" si="62">ROUND((N39-14000)/N39*100,2)</f>
        <v>-0.28000000000000003</v>
      </c>
      <c r="U39" s="124">
        <f t="shared" si="0"/>
        <v>0.62</v>
      </c>
      <c r="V39" s="131">
        <f t="shared" si="1"/>
        <v>2.536</v>
      </c>
      <c r="W39" s="145">
        <f t="shared" si="2"/>
        <v>0.28000000000000003</v>
      </c>
      <c r="Y39" s="18"/>
      <c r="Z39" s="19"/>
      <c r="AA39" s="19"/>
      <c r="AB39" s="19"/>
      <c r="AC39" s="19"/>
      <c r="AD39" s="19"/>
      <c r="AE39" s="19"/>
      <c r="AF39" s="20"/>
    </row>
    <row r="40" spans="1:32" ht="15.75" customHeight="1">
      <c r="B40" s="16"/>
      <c r="D40" s="8" t="s">
        <v>65</v>
      </c>
      <c r="E40" s="8">
        <v>3</v>
      </c>
      <c r="F40" s="8">
        <v>21332</v>
      </c>
      <c r="G40" s="8">
        <v>28345</v>
      </c>
      <c r="H40" s="8">
        <v>32295</v>
      </c>
      <c r="I40" s="8">
        <v>36526</v>
      </c>
      <c r="J40" s="8">
        <v>41101</v>
      </c>
      <c r="K40" s="8">
        <v>45967</v>
      </c>
      <c r="L40" s="8">
        <v>36593</v>
      </c>
      <c r="M40" s="8">
        <v>844.1</v>
      </c>
      <c r="N40" s="8">
        <v>44880</v>
      </c>
      <c r="O40" s="8">
        <v>403</v>
      </c>
      <c r="R40" s="124"/>
      <c r="S40" s="129">
        <f t="shared" ref="S40" si="63">ROUND((N40-45000)/N40*100,2)</f>
        <v>-0.27</v>
      </c>
      <c r="T40" s="124">
        <f t="shared" ref="T40" si="64">ROUND((N40-45000)/N40*100,2)</f>
        <v>-0.27</v>
      </c>
      <c r="U40" s="124">
        <f t="shared" si="0"/>
        <v>0.18</v>
      </c>
      <c r="V40" s="131">
        <f t="shared" si="1"/>
        <v>0.89800000000000002</v>
      </c>
      <c r="W40" s="145">
        <f t="shared" si="2"/>
        <v>0.27</v>
      </c>
      <c r="Y40" s="18"/>
      <c r="Z40" s="19"/>
      <c r="AA40" s="19"/>
      <c r="AB40" s="19"/>
      <c r="AC40" s="19"/>
      <c r="AD40" s="19"/>
      <c r="AE40" s="19"/>
      <c r="AF40" s="20"/>
    </row>
    <row r="41" spans="1:32" ht="15.75" customHeight="1">
      <c r="B41" s="16" t="s">
        <v>66</v>
      </c>
      <c r="C41" s="8" t="s">
        <v>67</v>
      </c>
      <c r="E41" s="8">
        <v>1</v>
      </c>
      <c r="F41" s="8">
        <v>1179</v>
      </c>
      <c r="G41" s="8">
        <v>1785</v>
      </c>
      <c r="H41" s="8">
        <v>2126</v>
      </c>
      <c r="I41" s="8">
        <v>2517</v>
      </c>
      <c r="J41" s="8">
        <v>2946</v>
      </c>
      <c r="K41" s="8">
        <v>3429</v>
      </c>
      <c r="L41" s="8">
        <v>2450</v>
      </c>
      <c r="M41" s="8">
        <v>772.89295776928361</v>
      </c>
      <c r="N41" s="8">
        <v>2034</v>
      </c>
      <c r="O41" s="8">
        <v>313</v>
      </c>
      <c r="R41" s="124"/>
      <c r="S41" s="129">
        <f t="shared" ref="S41" si="65">ROUND((N41-2100)/N41*100,2)</f>
        <v>-3.24</v>
      </c>
      <c r="T41" s="124">
        <f t="shared" ref="T41" si="66">ROUND((N41-2100)/N41*100,2)</f>
        <v>-3.24</v>
      </c>
      <c r="U41" s="124">
        <f t="shared" si="0"/>
        <v>-2.73</v>
      </c>
      <c r="V41" s="131">
        <f t="shared" si="1"/>
        <v>15.388</v>
      </c>
      <c r="W41" s="145">
        <f t="shared" si="2"/>
        <v>3.24</v>
      </c>
      <c r="Y41" s="18"/>
      <c r="Z41" s="19"/>
      <c r="AA41" s="19"/>
      <c r="AB41" s="19"/>
      <c r="AC41" s="19"/>
      <c r="AD41" s="19"/>
      <c r="AE41" s="19"/>
      <c r="AF41" s="20"/>
    </row>
    <row r="42" spans="1:32" ht="15.75" customHeight="1">
      <c r="B42" s="16"/>
      <c r="E42" s="8">
        <v>2</v>
      </c>
      <c r="F42" s="8">
        <v>8666</v>
      </c>
      <c r="G42" s="8">
        <v>12193</v>
      </c>
      <c r="H42" s="8">
        <v>14332</v>
      </c>
      <c r="I42" s="8">
        <v>16723</v>
      </c>
      <c r="J42" s="8">
        <v>19381</v>
      </c>
      <c r="K42" s="8">
        <v>22383</v>
      </c>
      <c r="L42" s="8">
        <v>16675</v>
      </c>
      <c r="M42" s="8">
        <v>770.63080755980479</v>
      </c>
      <c r="N42" s="8">
        <v>13886</v>
      </c>
      <c r="O42" s="8">
        <v>352</v>
      </c>
      <c r="R42" s="124"/>
      <c r="S42" s="129">
        <f t="shared" ref="S42" si="67">ROUND((N42-14000)/N42*100,2)</f>
        <v>-0.82</v>
      </c>
      <c r="T42" s="124">
        <f t="shared" ref="T42" si="68">ROUND((N42-14000)/N42*100,2)</f>
        <v>-0.82</v>
      </c>
      <c r="U42" s="124">
        <f t="shared" si="0"/>
        <v>-0.28999999999999998</v>
      </c>
      <c r="V42" s="131">
        <f t="shared" si="1"/>
        <v>2.5350000000000001</v>
      </c>
      <c r="W42" s="145">
        <f t="shared" si="2"/>
        <v>0.82</v>
      </c>
      <c r="Y42" s="18"/>
      <c r="Z42" s="19"/>
      <c r="AA42" s="19"/>
      <c r="AB42" s="19"/>
      <c r="AC42" s="19"/>
      <c r="AD42" s="19"/>
      <c r="AE42" s="19"/>
      <c r="AF42" s="20"/>
    </row>
    <row r="43" spans="1:32" ht="15.75" customHeight="1">
      <c r="B43" s="16"/>
      <c r="D43" s="8" t="s">
        <v>68</v>
      </c>
      <c r="E43" s="8">
        <v>3</v>
      </c>
      <c r="F43" s="8">
        <v>26554</v>
      </c>
      <c r="G43" s="8">
        <v>36418</v>
      </c>
      <c r="H43" s="8">
        <v>42551</v>
      </c>
      <c r="I43" s="8">
        <v>49506</v>
      </c>
      <c r="J43" s="8">
        <v>56788</v>
      </c>
      <c r="K43" s="8">
        <v>62925</v>
      </c>
      <c r="L43" s="8">
        <v>49551</v>
      </c>
      <c r="M43" s="8">
        <v>783.10203132041443</v>
      </c>
      <c r="N43" s="8">
        <v>44762</v>
      </c>
      <c r="O43" s="8">
        <v>422</v>
      </c>
      <c r="P43" s="8">
        <v>784.5</v>
      </c>
      <c r="Q43" s="8">
        <v>45150</v>
      </c>
      <c r="R43" s="124">
        <v>418</v>
      </c>
      <c r="S43" s="129">
        <f t="shared" ref="S43" si="69">ROUND((N43-45000)/N43*100,2)</f>
        <v>-0.53</v>
      </c>
      <c r="T43" s="124">
        <f>ROUND((Q43-45000)/Q43*100,2)</f>
        <v>0.33</v>
      </c>
      <c r="U43" s="124">
        <f t="shared" si="0"/>
        <v>0.09</v>
      </c>
      <c r="V43" s="131">
        <f t="shared" si="1"/>
        <v>0.94299999999999995</v>
      </c>
      <c r="W43" s="145">
        <f t="shared" si="2"/>
        <v>0.33</v>
      </c>
      <c r="Y43" s="18"/>
      <c r="Z43" s="19"/>
      <c r="AA43" s="19"/>
      <c r="AB43" s="19"/>
      <c r="AC43" s="19"/>
      <c r="AD43" s="19"/>
      <c r="AE43" s="19"/>
      <c r="AF43" s="20"/>
    </row>
    <row r="44" spans="1:32" ht="14.25" customHeight="1">
      <c r="B44" s="16" t="s">
        <v>69</v>
      </c>
      <c r="C44" s="8" t="s">
        <v>70</v>
      </c>
      <c r="E44" s="8">
        <v>1</v>
      </c>
      <c r="F44" s="8">
        <v>1396</v>
      </c>
      <c r="G44" s="8">
        <v>1894</v>
      </c>
      <c r="H44" s="8">
        <v>2172</v>
      </c>
      <c r="I44" s="8">
        <v>2474</v>
      </c>
      <c r="J44" s="8">
        <v>2801</v>
      </c>
      <c r="K44" s="8">
        <v>3160</v>
      </c>
      <c r="L44" s="8">
        <v>2388</v>
      </c>
      <c r="M44" s="8">
        <v>768.7726246203348</v>
      </c>
      <c r="N44" s="8">
        <v>2023</v>
      </c>
      <c r="O44" s="8">
        <v>275</v>
      </c>
      <c r="P44" s="8">
        <v>770.5</v>
      </c>
      <c r="Q44" s="8">
        <v>2040</v>
      </c>
      <c r="R44" s="124">
        <v>272</v>
      </c>
      <c r="S44" s="129">
        <f t="shared" ref="S44" si="70">ROUND((N44-2100)/N44*100,2)</f>
        <v>-3.81</v>
      </c>
      <c r="T44" s="124">
        <f>ROUND((Q44-2100)/Q44*100,2)</f>
        <v>-2.94</v>
      </c>
      <c r="U44" s="124">
        <f t="shared" si="0"/>
        <v>-3.6</v>
      </c>
      <c r="V44" s="131">
        <f t="shared" si="1"/>
        <v>13.593999999999999</v>
      </c>
      <c r="W44" s="145">
        <f t="shared" si="2"/>
        <v>2.94</v>
      </c>
      <c r="Y44" s="18"/>
      <c r="Z44" s="19"/>
      <c r="AA44" s="19"/>
      <c r="AB44" s="19"/>
      <c r="AC44" s="19"/>
      <c r="AD44" s="19"/>
      <c r="AE44" s="19"/>
      <c r="AF44" s="20"/>
    </row>
    <row r="45" spans="1:32" ht="15.75" customHeight="1">
      <c r="B45" s="16"/>
      <c r="E45" s="8">
        <v>2</v>
      </c>
      <c r="F45" s="8">
        <v>10810</v>
      </c>
      <c r="G45" s="8">
        <v>14338</v>
      </c>
      <c r="H45" s="8">
        <v>16332</v>
      </c>
      <c r="I45" s="8">
        <v>18455</v>
      </c>
      <c r="J45" s="8">
        <v>20744</v>
      </c>
      <c r="K45" s="8">
        <v>23181</v>
      </c>
      <c r="L45" s="8">
        <v>18169</v>
      </c>
      <c r="M45" s="8">
        <v>745.3385065706841</v>
      </c>
      <c r="N45" s="8">
        <v>13751</v>
      </c>
      <c r="O45" s="8">
        <v>325</v>
      </c>
      <c r="P45" s="8">
        <v>746.5</v>
      </c>
      <c r="Q45" s="8">
        <v>13850</v>
      </c>
      <c r="R45" s="135">
        <v>326</v>
      </c>
      <c r="S45" s="129">
        <f t="shared" ref="S45" si="71">ROUND((N45-14000)/N45*100,2)</f>
        <v>-1.81</v>
      </c>
      <c r="T45" s="124">
        <f>ROUND((Q45-14000)/Q45*100,2)</f>
        <v>-1.08</v>
      </c>
      <c r="U45" s="124">
        <f t="shared" si="0"/>
        <v>-1.57</v>
      </c>
      <c r="V45" s="131">
        <f t="shared" si="1"/>
        <v>2.363</v>
      </c>
      <c r="W45" s="145">
        <f t="shared" si="2"/>
        <v>1.08</v>
      </c>
      <c r="Y45" s="18"/>
      <c r="Z45" s="19"/>
      <c r="AA45" s="19"/>
      <c r="AB45" s="19"/>
      <c r="AC45" s="19"/>
      <c r="AD45" s="19"/>
      <c r="AE45" s="19"/>
      <c r="AF45" s="20"/>
    </row>
    <row r="46" spans="1:32" ht="15.75" customHeight="1" thickBot="1">
      <c r="B46" s="24"/>
      <c r="C46" s="25"/>
      <c r="D46" s="25" t="s">
        <v>71</v>
      </c>
      <c r="E46" s="25">
        <v>3</v>
      </c>
      <c r="F46" s="25">
        <v>33526</v>
      </c>
      <c r="G46" s="25">
        <v>42849</v>
      </c>
      <c r="H46" s="25">
        <v>47872</v>
      </c>
      <c r="I46" s="25">
        <v>53195</v>
      </c>
      <c r="J46" s="25">
        <v>58532</v>
      </c>
      <c r="K46" s="25">
        <v>62886</v>
      </c>
      <c r="L46" s="25">
        <v>52583</v>
      </c>
      <c r="M46" s="25">
        <v>760.14678967626651</v>
      </c>
      <c r="N46" s="25">
        <v>44575</v>
      </c>
      <c r="O46" s="25">
        <v>386</v>
      </c>
      <c r="P46" s="25">
        <v>762.2</v>
      </c>
      <c r="Q46" s="25">
        <v>44973</v>
      </c>
      <c r="R46" s="25">
        <v>394</v>
      </c>
      <c r="S46" s="129">
        <f t="shared" ref="S46" si="72">ROUND((N46-45000)/N46*100,2)</f>
        <v>-0.95</v>
      </c>
      <c r="T46" s="124">
        <f>ROUND((Q46-45000)/Q46*100,2)</f>
        <v>-0.06</v>
      </c>
      <c r="U46" s="124">
        <f t="shared" si="0"/>
        <v>-1.1599999999999999</v>
      </c>
      <c r="V46" s="131">
        <f t="shared" si="1"/>
        <v>0.86599999999999999</v>
      </c>
      <c r="W46" s="145">
        <f t="shared" si="2"/>
        <v>0.06</v>
      </c>
      <c r="Y46" s="36"/>
      <c r="Z46" s="37"/>
      <c r="AA46" s="37"/>
      <c r="AB46" s="37"/>
      <c r="AC46" s="37"/>
      <c r="AD46" s="37"/>
      <c r="AE46" s="37"/>
      <c r="AF46" s="38"/>
    </row>
    <row r="47" spans="1:32" ht="15.75" customHeight="1" thickBot="1">
      <c r="A47" s="39" t="s">
        <v>72</v>
      </c>
      <c r="B47" s="10" t="s">
        <v>73</v>
      </c>
      <c r="C47" s="11" t="s">
        <v>74</v>
      </c>
      <c r="D47" s="11" t="s">
        <v>75</v>
      </c>
      <c r="E47" s="11">
        <v>1</v>
      </c>
      <c r="F47" s="11">
        <v>1082</v>
      </c>
      <c r="G47" s="11">
        <v>1711</v>
      </c>
      <c r="H47" s="11">
        <v>2065</v>
      </c>
      <c r="I47" s="11">
        <v>2476</v>
      </c>
      <c r="J47" s="11">
        <v>2941</v>
      </c>
      <c r="K47" s="11">
        <v>3455</v>
      </c>
      <c r="L47" s="8">
        <v>2499</v>
      </c>
      <c r="M47" s="11">
        <f>ROUND(776.708682532232,1)</f>
        <v>776.7</v>
      </c>
      <c r="N47" s="11">
        <v>2114</v>
      </c>
      <c r="O47" s="11">
        <v>243</v>
      </c>
      <c r="P47" s="11"/>
      <c r="Q47" s="11"/>
      <c r="R47" s="11"/>
      <c r="S47" s="129">
        <f t="shared" ref="S47" si="73">ROUND((N47-2100)/N47*100,2)</f>
        <v>0.66</v>
      </c>
      <c r="T47" s="124">
        <f t="shared" ref="T47" si="74">ROUND((N47-2100)/N47*100,2)</f>
        <v>0.66</v>
      </c>
      <c r="U47" s="124">
        <f t="shared" si="0"/>
        <v>0.92</v>
      </c>
      <c r="V47" s="131">
        <f t="shared" si="1"/>
        <v>11.494999999999999</v>
      </c>
      <c r="W47" s="145">
        <f t="shared" si="2"/>
        <v>0.66</v>
      </c>
      <c r="Y47" s="10"/>
      <c r="Z47" s="11"/>
      <c r="AA47" s="11"/>
      <c r="AB47" s="11"/>
      <c r="AC47" s="11"/>
      <c r="AD47" s="11"/>
      <c r="AE47" s="11"/>
      <c r="AF47" s="12"/>
    </row>
    <row r="48" spans="1:32" ht="15.75" customHeight="1">
      <c r="B48" s="16"/>
      <c r="E48" s="8">
        <v>2</v>
      </c>
      <c r="F48" s="8">
        <v>8409</v>
      </c>
      <c r="G48" s="8">
        <v>11963</v>
      </c>
      <c r="H48" s="8">
        <v>14067</v>
      </c>
      <c r="I48" s="8">
        <v>16463</v>
      </c>
      <c r="J48" s="8">
        <v>19129</v>
      </c>
      <c r="K48" s="8">
        <v>22089</v>
      </c>
      <c r="L48" s="8">
        <v>16526</v>
      </c>
      <c r="M48" s="8">
        <f>ROUND(773.953293915101,1)</f>
        <v>774</v>
      </c>
      <c r="N48" s="8">
        <v>14036</v>
      </c>
      <c r="O48" s="8">
        <v>298</v>
      </c>
      <c r="R48" s="124"/>
      <c r="S48" s="129">
        <f t="shared" ref="S48" si="75">ROUND((N48-14000)/N48*100,2)</f>
        <v>0.26</v>
      </c>
      <c r="T48" s="124">
        <f t="shared" ref="T48" si="76">ROUND((N48-14000)/N48*100,2)</f>
        <v>0.26</v>
      </c>
      <c r="U48" s="124">
        <f t="shared" si="0"/>
        <v>0.38</v>
      </c>
      <c r="V48" s="131">
        <f t="shared" si="1"/>
        <v>2.1230000000000002</v>
      </c>
      <c r="W48" s="145">
        <f t="shared" si="2"/>
        <v>0.26</v>
      </c>
      <c r="Y48" s="16"/>
      <c r="AF48" s="17"/>
    </row>
    <row r="49" spans="1:32" ht="15.75" customHeight="1">
      <c r="B49" s="16"/>
      <c r="E49" s="8">
        <v>3</v>
      </c>
      <c r="F49" s="8">
        <v>25276</v>
      </c>
      <c r="G49" s="8">
        <v>35007</v>
      </c>
      <c r="H49" s="8">
        <v>40994</v>
      </c>
      <c r="I49" s="8">
        <v>47754</v>
      </c>
      <c r="J49" s="8">
        <v>55126</v>
      </c>
      <c r="K49" s="8">
        <v>61556</v>
      </c>
      <c r="L49" s="8">
        <v>47911</v>
      </c>
      <c r="M49" s="8">
        <f>ROUND(789.860128936956,1)</f>
        <v>789.9</v>
      </c>
      <c r="N49" s="8">
        <v>45094</v>
      </c>
      <c r="O49" s="8">
        <v>392</v>
      </c>
      <c r="R49" s="124"/>
      <c r="S49" s="129">
        <f t="shared" ref="S49" si="77">ROUND((N49-45000)/N49*100,2)</f>
        <v>0.21</v>
      </c>
      <c r="T49" s="124">
        <f t="shared" ref="T49" si="78">ROUND((N49-45000)/N49*100,2)</f>
        <v>0.21</v>
      </c>
      <c r="U49" s="124">
        <f t="shared" si="0"/>
        <v>0.33</v>
      </c>
      <c r="V49" s="131">
        <f t="shared" si="1"/>
        <v>0.86899999999999999</v>
      </c>
      <c r="W49" s="145">
        <f t="shared" si="2"/>
        <v>0.21</v>
      </c>
      <c r="Y49" s="16"/>
      <c r="AF49" s="17"/>
    </row>
    <row r="50" spans="1:32" ht="15.75" customHeight="1">
      <c r="B50" s="16" t="s">
        <v>76</v>
      </c>
      <c r="C50" s="8" t="s">
        <v>77</v>
      </c>
      <c r="D50" s="40" t="s">
        <v>78</v>
      </c>
      <c r="E50" s="8">
        <v>1</v>
      </c>
      <c r="F50" s="8">
        <v>1238</v>
      </c>
      <c r="G50" s="8">
        <v>1819</v>
      </c>
      <c r="H50" s="8">
        <v>2123</v>
      </c>
      <c r="I50" s="8">
        <v>2465</v>
      </c>
      <c r="J50" s="8">
        <v>2831</v>
      </c>
      <c r="K50" s="8">
        <v>3240</v>
      </c>
      <c r="L50" s="8">
        <v>2472</v>
      </c>
      <c r="M50" s="8">
        <f>ROUND(772.652653968235,1)</f>
        <v>772.7</v>
      </c>
      <c r="N50" s="8">
        <v>2097</v>
      </c>
      <c r="O50" s="8">
        <v>265</v>
      </c>
      <c r="R50" s="124"/>
      <c r="S50" s="129">
        <f t="shared" ref="S50" si="79">ROUND((N50-2100)/N50*100,2)</f>
        <v>-0.14000000000000001</v>
      </c>
      <c r="T50" s="124">
        <f t="shared" ref="T50" si="80">ROUND((N50-2100)/N50*100,2)</f>
        <v>-0.14000000000000001</v>
      </c>
      <c r="U50" s="124">
        <f t="shared" si="0"/>
        <v>0.28000000000000003</v>
      </c>
      <c r="V50" s="131">
        <f t="shared" si="1"/>
        <v>12.637</v>
      </c>
      <c r="W50" s="145">
        <f t="shared" si="2"/>
        <v>0.14000000000000001</v>
      </c>
      <c r="Y50" s="16"/>
      <c r="AF50" s="17"/>
    </row>
    <row r="51" spans="1:32" ht="15.75" customHeight="1">
      <c r="B51" s="16"/>
      <c r="E51" s="8">
        <v>2</v>
      </c>
      <c r="F51" s="8">
        <v>9414</v>
      </c>
      <c r="G51" s="8">
        <v>12714</v>
      </c>
      <c r="H51" s="8">
        <v>14585</v>
      </c>
      <c r="I51" s="8">
        <v>16626</v>
      </c>
      <c r="J51" s="8">
        <v>18869</v>
      </c>
      <c r="K51" s="8">
        <v>21224</v>
      </c>
      <c r="L51" s="8">
        <v>16671</v>
      </c>
      <c r="M51" s="8">
        <f>ROUND(766.915358269834,1)</f>
        <v>766.9</v>
      </c>
      <c r="N51" s="8">
        <v>13995</v>
      </c>
      <c r="O51" s="8">
        <v>309</v>
      </c>
      <c r="R51" s="124"/>
      <c r="S51" s="129">
        <f t="shared" ref="S51" si="81">ROUND((N51-14000)/N51*100,2)</f>
        <v>-0.04</v>
      </c>
      <c r="T51" s="124">
        <f t="shared" ref="T51" si="82">ROUND((N51-14000)/N51*100,2)</f>
        <v>-0.04</v>
      </c>
      <c r="U51" s="124">
        <f t="shared" si="0"/>
        <v>0.27</v>
      </c>
      <c r="V51" s="131">
        <f t="shared" si="1"/>
        <v>2.2080000000000002</v>
      </c>
      <c r="W51" s="145">
        <f t="shared" si="2"/>
        <v>0.04</v>
      </c>
      <c r="Y51" s="16"/>
      <c r="AF51" s="17"/>
    </row>
    <row r="52" spans="1:32" ht="15.75" customHeight="1">
      <c r="B52" s="16"/>
      <c r="E52" s="8">
        <v>3</v>
      </c>
      <c r="F52" s="8">
        <v>27836</v>
      </c>
      <c r="G52" s="8">
        <v>36546</v>
      </c>
      <c r="H52" s="8">
        <v>41440</v>
      </c>
      <c r="I52" s="8">
        <v>46695</v>
      </c>
      <c r="J52" s="8">
        <v>52252</v>
      </c>
      <c r="K52" s="8">
        <v>57992</v>
      </c>
      <c r="L52" s="8">
        <v>46781</v>
      </c>
      <c r="M52" s="8">
        <f>ROUND(791.831129830618,1)</f>
        <v>791.8</v>
      </c>
      <c r="N52" s="8">
        <v>45059</v>
      </c>
      <c r="O52" s="8">
        <v>382</v>
      </c>
      <c r="R52" s="124"/>
      <c r="S52" s="129">
        <f t="shared" ref="S52" si="83">ROUND((N52-45000)/N52*100,2)</f>
        <v>0.13</v>
      </c>
      <c r="T52" s="124">
        <f t="shared" ref="T52" si="84">ROUND((N52-45000)/N52*100,2)</f>
        <v>0.13</v>
      </c>
      <c r="U52" s="124">
        <f t="shared" si="0"/>
        <v>0.18</v>
      </c>
      <c r="V52" s="131">
        <f t="shared" si="1"/>
        <v>0.84799999999999998</v>
      </c>
      <c r="W52" s="145">
        <f t="shared" si="2"/>
        <v>0.13</v>
      </c>
      <c r="Y52" s="16"/>
      <c r="AF52" s="17"/>
    </row>
    <row r="53" spans="1:32" ht="15.75" customHeight="1">
      <c r="B53" s="16" t="s">
        <v>79</v>
      </c>
      <c r="C53" s="8" t="s">
        <v>80</v>
      </c>
      <c r="D53" s="8" t="s">
        <v>81</v>
      </c>
      <c r="E53" s="8">
        <v>1</v>
      </c>
      <c r="F53" s="8" t="s">
        <v>82</v>
      </c>
      <c r="G53" s="8">
        <v>1335</v>
      </c>
      <c r="H53" s="8">
        <v>1615</v>
      </c>
      <c r="I53" s="8">
        <v>1884</v>
      </c>
      <c r="J53" s="8">
        <v>2181</v>
      </c>
      <c r="K53" s="8">
        <v>2515</v>
      </c>
      <c r="L53" s="8">
        <v>1889</v>
      </c>
      <c r="M53" s="8">
        <v>817.5265124369638</v>
      </c>
      <c r="N53" s="8">
        <v>2097</v>
      </c>
      <c r="O53" s="8">
        <v>233</v>
      </c>
      <c r="R53" s="124"/>
      <c r="S53" s="129">
        <f t="shared" ref="S53" si="85">ROUND((N53-2100)/N53*100,2)</f>
        <v>-0.14000000000000001</v>
      </c>
      <c r="T53" s="124">
        <f t="shared" ref="T53" si="86">ROUND((N53-2100)/N53*100,2)</f>
        <v>-0.14000000000000001</v>
      </c>
      <c r="U53" s="124">
        <f t="shared" si="0"/>
        <v>0.26</v>
      </c>
      <c r="V53" s="131">
        <f t="shared" si="1"/>
        <v>11.111000000000001</v>
      </c>
      <c r="W53" s="145">
        <f t="shared" si="2"/>
        <v>0.14000000000000001</v>
      </c>
      <c r="Y53" s="16" t="s">
        <v>22</v>
      </c>
      <c r="Z53" s="8" t="s">
        <v>83</v>
      </c>
      <c r="AF53" s="17"/>
    </row>
    <row r="54" spans="1:32" ht="15.75" customHeight="1">
      <c r="B54" s="16"/>
      <c r="E54" s="8">
        <v>2</v>
      </c>
      <c r="F54" s="8">
        <v>7428</v>
      </c>
      <c r="G54" s="8">
        <v>10168</v>
      </c>
      <c r="H54" s="8">
        <v>11769</v>
      </c>
      <c r="I54" s="8">
        <v>13511</v>
      </c>
      <c r="J54" s="8">
        <v>15416</v>
      </c>
      <c r="K54" s="8">
        <v>17468</v>
      </c>
      <c r="L54" s="8">
        <v>13489</v>
      </c>
      <c r="M54" s="8">
        <v>806.82638758993119</v>
      </c>
      <c r="N54" s="8">
        <v>13975</v>
      </c>
      <c r="O54" s="8">
        <v>287</v>
      </c>
      <c r="R54" s="124"/>
      <c r="S54" s="129">
        <f t="shared" ref="S54" si="87">ROUND((N54-14000)/N54*100,2)</f>
        <v>-0.18</v>
      </c>
      <c r="T54" s="124">
        <f t="shared" ref="T54" si="88">ROUND((N54-14000)/N54*100,2)</f>
        <v>-0.18</v>
      </c>
      <c r="U54" s="124">
        <f t="shared" si="0"/>
        <v>-0.16</v>
      </c>
      <c r="V54" s="131">
        <f t="shared" si="1"/>
        <v>2.0539999999999998</v>
      </c>
      <c r="W54" s="145">
        <f t="shared" si="2"/>
        <v>0.18</v>
      </c>
      <c r="Y54" s="16"/>
      <c r="AF54" s="17"/>
    </row>
    <row r="55" spans="1:32" ht="15.75" customHeight="1">
      <c r="B55" s="16"/>
      <c r="E55" s="8">
        <v>3</v>
      </c>
      <c r="F55" s="8">
        <v>22700</v>
      </c>
      <c r="G55" s="8">
        <v>30183</v>
      </c>
      <c r="H55" s="8">
        <v>34392</v>
      </c>
      <c r="I55" s="8">
        <v>38877</v>
      </c>
      <c r="J55" s="8">
        <v>43627</v>
      </c>
      <c r="K55" s="8">
        <v>48722</v>
      </c>
      <c r="L55" s="8">
        <v>38899</v>
      </c>
      <c r="M55" s="8">
        <v>831.37618901593339</v>
      </c>
      <c r="N55" s="8">
        <v>44913</v>
      </c>
      <c r="O55" s="8">
        <v>359</v>
      </c>
      <c r="R55" s="124"/>
      <c r="S55" s="129">
        <f t="shared" ref="S55" si="89">ROUND((N55-45000)/N55*100,2)</f>
        <v>-0.19</v>
      </c>
      <c r="T55" s="124">
        <f t="shared" ref="T55" si="90">ROUND((N55-45000)/N55*100,2)</f>
        <v>-0.19</v>
      </c>
      <c r="U55" s="124">
        <f t="shared" si="0"/>
        <v>0.06</v>
      </c>
      <c r="V55" s="131">
        <f t="shared" si="1"/>
        <v>0.79900000000000004</v>
      </c>
      <c r="W55" s="145">
        <f t="shared" si="2"/>
        <v>0.19</v>
      </c>
      <c r="Y55" s="16"/>
      <c r="AF55" s="17"/>
    </row>
    <row r="56" spans="1:32" ht="15.75" customHeight="1">
      <c r="B56" s="177" t="s">
        <v>84</v>
      </c>
      <c r="C56" s="176" t="s">
        <v>85</v>
      </c>
      <c r="D56" s="8" t="s">
        <v>86</v>
      </c>
      <c r="E56" s="8">
        <v>1</v>
      </c>
      <c r="F56" s="8">
        <v>1031</v>
      </c>
      <c r="G56" s="8">
        <v>1546</v>
      </c>
      <c r="H56" s="8">
        <v>1846</v>
      </c>
      <c r="I56" s="8">
        <v>2177</v>
      </c>
      <c r="J56" s="8">
        <v>2555</v>
      </c>
      <c r="K56" s="8">
        <v>2970</v>
      </c>
      <c r="L56" s="8">
        <v>2137</v>
      </c>
      <c r="M56" s="8">
        <v>794.07175861353358</v>
      </c>
      <c r="N56" s="8">
        <v>2051</v>
      </c>
      <c r="O56" s="8">
        <v>296</v>
      </c>
      <c r="P56" s="8">
        <v>796</v>
      </c>
      <c r="Q56" s="8">
        <v>2079</v>
      </c>
      <c r="R56" s="124">
        <v>292</v>
      </c>
      <c r="S56" s="129">
        <f t="shared" ref="S56" si="91">ROUND((N56-2100)/N56*100,2)</f>
        <v>-2.39</v>
      </c>
      <c r="T56" s="124">
        <f>ROUND((Q56-2100)/Q56*100,2)</f>
        <v>-1.01</v>
      </c>
      <c r="U56" s="124">
        <f t="shared" si="0"/>
        <v>-1.87</v>
      </c>
      <c r="V56" s="131">
        <f t="shared" si="1"/>
        <v>14.432</v>
      </c>
      <c r="W56" s="145">
        <f t="shared" si="2"/>
        <v>1.01</v>
      </c>
      <c r="Y56" s="16" t="s">
        <v>22</v>
      </c>
      <c r="Z56" s="8" t="s">
        <v>87</v>
      </c>
      <c r="AF56" s="17"/>
    </row>
    <row r="57" spans="1:32" ht="15.75" customHeight="1">
      <c r="B57" s="16"/>
      <c r="E57" s="8">
        <v>2</v>
      </c>
      <c r="F57" s="8">
        <v>7764</v>
      </c>
      <c r="G57" s="8">
        <v>10729</v>
      </c>
      <c r="H57" s="8">
        <v>12441</v>
      </c>
      <c r="I57" s="8">
        <v>14322</v>
      </c>
      <c r="J57" s="8">
        <v>16401</v>
      </c>
      <c r="K57" s="8">
        <v>18621</v>
      </c>
      <c r="L57" s="8">
        <v>14186</v>
      </c>
      <c r="M57" s="8">
        <v>795.76237229613162</v>
      </c>
      <c r="N57" s="8">
        <v>13863</v>
      </c>
      <c r="O57" s="8">
        <v>335</v>
      </c>
      <c r="P57" s="8">
        <v>797.5</v>
      </c>
      <c r="Q57" s="8">
        <v>14015</v>
      </c>
      <c r="R57" s="124">
        <v>329</v>
      </c>
      <c r="S57" s="129">
        <f t="shared" ref="S57" si="92">ROUND((N57-14000)/N57*100,2)</f>
        <v>-0.99</v>
      </c>
      <c r="T57" s="124">
        <f>ROUND((Q57-14000)/Q57*100,2)</f>
        <v>0.11</v>
      </c>
      <c r="U57" s="124">
        <f t="shared" si="0"/>
        <v>-0.96</v>
      </c>
      <c r="V57" s="131">
        <f t="shared" si="1"/>
        <v>2.4169999999999998</v>
      </c>
      <c r="W57" s="145">
        <f t="shared" si="2"/>
        <v>0.11</v>
      </c>
      <c r="Y57" s="16"/>
      <c r="Z57" s="8" t="s">
        <v>88</v>
      </c>
      <c r="AF57" s="17"/>
    </row>
    <row r="58" spans="1:32" ht="15.75" customHeight="1">
      <c r="B58" s="16"/>
      <c r="E58" s="8">
        <v>3</v>
      </c>
      <c r="F58" s="8">
        <v>22708</v>
      </c>
      <c r="G58" s="8">
        <v>30148</v>
      </c>
      <c r="H58" s="8">
        <v>34213</v>
      </c>
      <c r="I58" s="8">
        <v>38421</v>
      </c>
      <c r="J58" s="8">
        <v>43062</v>
      </c>
      <c r="K58" s="8">
        <v>48069</v>
      </c>
      <c r="L58" s="8">
        <v>38214</v>
      </c>
      <c r="M58" s="8">
        <v>834.92389694091617</v>
      </c>
      <c r="N58" s="8">
        <v>44801</v>
      </c>
      <c r="O58" s="8">
        <v>388</v>
      </c>
      <c r="P58" s="8">
        <v>836</v>
      </c>
      <c r="Q58" s="8">
        <v>44989</v>
      </c>
      <c r="R58" s="124">
        <v>385</v>
      </c>
      <c r="S58" s="129">
        <f t="shared" ref="S58" si="93">ROUND((N58-45000)/N58*100,2)</f>
        <v>-0.44</v>
      </c>
      <c r="T58" s="124">
        <f>ROUND((Q58-45000)/Q58*100,2)</f>
        <v>-0.02</v>
      </c>
      <c r="U58" s="124">
        <f t="shared" si="0"/>
        <v>-0.54</v>
      </c>
      <c r="V58" s="131">
        <f t="shared" si="1"/>
        <v>0.86599999999999999</v>
      </c>
      <c r="W58" s="145">
        <f t="shared" si="2"/>
        <v>0.02</v>
      </c>
      <c r="Y58" s="16"/>
      <c r="AF58" s="17"/>
    </row>
    <row r="59" spans="1:32" ht="15.75" customHeight="1">
      <c r="B59" s="16" t="s">
        <v>89</v>
      </c>
      <c r="C59" s="8" t="s">
        <v>90</v>
      </c>
      <c r="D59" s="8" t="s">
        <v>91</v>
      </c>
      <c r="E59" s="8">
        <v>1</v>
      </c>
      <c r="F59" s="8">
        <v>1388</v>
      </c>
      <c r="G59" s="8">
        <v>1930</v>
      </c>
      <c r="H59" s="8">
        <v>2240</v>
      </c>
      <c r="I59" s="8">
        <v>2576</v>
      </c>
      <c r="J59" s="8">
        <v>2962</v>
      </c>
      <c r="K59" s="8">
        <v>3375</v>
      </c>
      <c r="L59" s="8">
        <v>2530</v>
      </c>
      <c r="M59" s="8">
        <v>764.21123507872358</v>
      </c>
      <c r="N59" s="8">
        <v>2055</v>
      </c>
      <c r="O59" s="8">
        <v>275</v>
      </c>
      <c r="R59" s="124"/>
      <c r="S59" s="129">
        <f t="shared" ref="S59" si="94">ROUND((N59-2100)/N59*100,2)</f>
        <v>-2.19</v>
      </c>
      <c r="T59" s="124">
        <f t="shared" ref="T59" si="95">ROUND((N59-2100)/N59*100,2)</f>
        <v>-2.19</v>
      </c>
      <c r="U59" s="124">
        <f t="shared" si="0"/>
        <v>-1.82</v>
      </c>
      <c r="V59" s="131">
        <f t="shared" si="1"/>
        <v>13.382</v>
      </c>
      <c r="W59" s="145">
        <f t="shared" si="2"/>
        <v>2.19</v>
      </c>
      <c r="Y59" s="16"/>
      <c r="AF59" s="17"/>
    </row>
    <row r="60" spans="1:32" ht="15.75" customHeight="1">
      <c r="B60" s="16"/>
      <c r="E60" s="8">
        <v>2</v>
      </c>
      <c r="F60" s="8">
        <v>9869</v>
      </c>
      <c r="G60" s="8">
        <v>13249</v>
      </c>
      <c r="H60" s="8">
        <v>15208</v>
      </c>
      <c r="I60" s="8">
        <v>17357</v>
      </c>
      <c r="J60" s="8">
        <v>19674</v>
      </c>
      <c r="K60" s="8">
        <v>22198</v>
      </c>
      <c r="L60" s="8">
        <v>17129</v>
      </c>
      <c r="M60" s="8">
        <v>759.75444489669951</v>
      </c>
      <c r="N60" s="8">
        <v>13821</v>
      </c>
      <c r="O60" s="8">
        <v>322</v>
      </c>
      <c r="R60" s="124"/>
      <c r="S60" s="129">
        <f t="shared" ref="S60" si="96">ROUND((N60-14000)/N60*100,2)</f>
        <v>-1.3</v>
      </c>
      <c r="T60" s="124">
        <f t="shared" ref="T60" si="97">ROUND((N60-14000)/N60*100,2)</f>
        <v>-1.3</v>
      </c>
      <c r="U60" s="124">
        <f t="shared" si="0"/>
        <v>-1.33</v>
      </c>
      <c r="V60" s="131">
        <f t="shared" si="1"/>
        <v>2.33</v>
      </c>
      <c r="W60" s="145">
        <f t="shared" si="2"/>
        <v>1.3</v>
      </c>
      <c r="Y60" s="16"/>
      <c r="AF60" s="17"/>
    </row>
    <row r="61" spans="1:32" ht="15.75" customHeight="1" thickBot="1">
      <c r="B61" s="24"/>
      <c r="C61" s="25"/>
      <c r="D61" s="25"/>
      <c r="E61" s="25">
        <v>3</v>
      </c>
      <c r="F61" s="25">
        <v>29673</v>
      </c>
      <c r="G61" s="25">
        <v>39484</v>
      </c>
      <c r="H61" s="25">
        <v>45137</v>
      </c>
      <c r="I61" s="25">
        <v>51305</v>
      </c>
      <c r="J61" s="25">
        <v>56695</v>
      </c>
      <c r="K61" s="25">
        <v>60914</v>
      </c>
      <c r="L61" s="25">
        <v>50985</v>
      </c>
      <c r="M61" s="25">
        <v>773.67967015234535</v>
      </c>
      <c r="N61" s="25">
        <v>44533</v>
      </c>
      <c r="O61" s="25">
        <v>416</v>
      </c>
      <c r="P61" s="25">
        <v>775.5</v>
      </c>
      <c r="Q61" s="25">
        <v>44998</v>
      </c>
      <c r="R61" s="25">
        <v>417</v>
      </c>
      <c r="S61" s="129">
        <f t="shared" ref="S61" si="98">ROUND((N61-45000)/N61*100,2)</f>
        <v>-1.05</v>
      </c>
      <c r="T61" s="124">
        <f>ROUND((Q61-45000)/Q61*100,3)</f>
        <v>-4.0000000000000001E-3</v>
      </c>
      <c r="U61" s="124">
        <f t="shared" si="0"/>
        <v>-0.63</v>
      </c>
      <c r="V61" s="131">
        <f t="shared" si="1"/>
        <v>0.93400000000000005</v>
      </c>
      <c r="W61" s="145">
        <f t="shared" si="2"/>
        <v>4.0000000000000001E-3</v>
      </c>
      <c r="Y61" s="24"/>
      <c r="Z61" s="25"/>
      <c r="AA61" s="25"/>
      <c r="AB61" s="25"/>
      <c r="AC61" s="25"/>
      <c r="AD61" s="25"/>
      <c r="AE61" s="25"/>
      <c r="AF61" s="26"/>
    </row>
    <row r="62" spans="1:32" ht="15.75" customHeight="1" thickBot="1">
      <c r="A62" s="9" t="s">
        <v>92</v>
      </c>
      <c r="B62" s="10" t="s">
        <v>93</v>
      </c>
      <c r="C62" s="11" t="s">
        <v>94</v>
      </c>
      <c r="D62" s="11"/>
      <c r="E62" s="11">
        <v>1</v>
      </c>
      <c r="F62" s="11">
        <v>1036</v>
      </c>
      <c r="G62" s="11">
        <v>1586</v>
      </c>
      <c r="H62" s="11">
        <v>1891</v>
      </c>
      <c r="I62" s="11">
        <v>2224</v>
      </c>
      <c r="J62" s="11">
        <v>2599</v>
      </c>
      <c r="K62" s="11">
        <v>3018</v>
      </c>
      <c r="L62" s="11">
        <v>2238</v>
      </c>
      <c r="M62" s="11">
        <v>790.61532884479334</v>
      </c>
      <c r="N62" s="11">
        <v>2109</v>
      </c>
      <c r="O62" s="11">
        <v>237</v>
      </c>
      <c r="P62" s="11"/>
      <c r="Q62" s="11"/>
      <c r="R62" s="11"/>
      <c r="S62" s="129">
        <f t="shared" ref="S62" si="99">ROUND((N62-2100)/N62*100,2)</f>
        <v>0.43</v>
      </c>
      <c r="T62" s="124">
        <f t="shared" ref="T62" si="100">ROUND((N62-2100)/N62*100,2)</f>
        <v>0.43</v>
      </c>
      <c r="U62" s="124">
        <f t="shared" si="0"/>
        <v>0.63</v>
      </c>
      <c r="V62" s="131">
        <f t="shared" si="1"/>
        <v>11.238</v>
      </c>
      <c r="W62" s="145">
        <f t="shared" si="2"/>
        <v>0.43</v>
      </c>
      <c r="Y62" s="41" t="s">
        <v>22</v>
      </c>
      <c r="Z62" s="33"/>
      <c r="AA62" s="33"/>
      <c r="AB62" s="33"/>
      <c r="AC62" s="33"/>
      <c r="AD62" s="33"/>
      <c r="AE62" s="33"/>
      <c r="AF62" s="42"/>
    </row>
    <row r="63" spans="1:32" ht="15.75" customHeight="1">
      <c r="B63" s="16"/>
      <c r="E63" s="8">
        <v>2</v>
      </c>
      <c r="F63" s="8">
        <v>8004</v>
      </c>
      <c r="G63" s="8">
        <v>11050</v>
      </c>
      <c r="H63" s="8">
        <v>12839</v>
      </c>
      <c r="I63" s="8">
        <v>14830</v>
      </c>
      <c r="J63" s="8">
        <v>17015</v>
      </c>
      <c r="K63" s="8">
        <v>19431</v>
      </c>
      <c r="L63" s="8">
        <v>14921</v>
      </c>
      <c r="M63" s="8">
        <v>789.82277669116581</v>
      </c>
      <c r="N63" s="8">
        <v>14093</v>
      </c>
      <c r="O63" s="8">
        <v>294</v>
      </c>
      <c r="R63" s="124"/>
      <c r="S63" s="129">
        <f t="shared" ref="S63" si="101">ROUND((N63-14000)/N63*100,2)</f>
        <v>0.66</v>
      </c>
      <c r="T63" s="124">
        <f t="shared" ref="T63" si="102">ROUND((N63-14000)/N63*100,2)</f>
        <v>0.66</v>
      </c>
      <c r="U63" s="124">
        <f t="shared" si="0"/>
        <v>0.61</v>
      </c>
      <c r="V63" s="131">
        <f t="shared" si="1"/>
        <v>2.0859999999999999</v>
      </c>
      <c r="W63" s="145">
        <f t="shared" si="2"/>
        <v>0.66</v>
      </c>
      <c r="Y63" s="43"/>
      <c r="Z63" s="19"/>
      <c r="AA63" s="19"/>
      <c r="AB63" s="19"/>
      <c r="AC63" s="19"/>
      <c r="AD63" s="19"/>
      <c r="AE63" s="19"/>
      <c r="AF63" s="44"/>
    </row>
    <row r="64" spans="1:32" ht="15.75" customHeight="1">
      <c r="B64" s="16"/>
      <c r="D64" s="8" t="s">
        <v>95</v>
      </c>
      <c r="E64" s="8">
        <v>3</v>
      </c>
      <c r="F64" s="8">
        <v>23801</v>
      </c>
      <c r="G64" s="8">
        <v>31611</v>
      </c>
      <c r="H64" s="8">
        <v>36217</v>
      </c>
      <c r="I64" s="8">
        <v>41259</v>
      </c>
      <c r="J64" s="8">
        <v>46792</v>
      </c>
      <c r="K64" s="8">
        <v>52652</v>
      </c>
      <c r="L64" s="8">
        <v>41588</v>
      </c>
      <c r="M64" s="8">
        <v>817.19543003485137</v>
      </c>
      <c r="N64" s="8">
        <v>45308</v>
      </c>
      <c r="O64" s="8">
        <v>372</v>
      </c>
      <c r="P64" s="8">
        <v>815</v>
      </c>
      <c r="Q64" s="8">
        <v>44807</v>
      </c>
      <c r="R64" s="124">
        <v>366</v>
      </c>
      <c r="S64" s="129">
        <f t="shared" ref="S64" si="103">ROUND((N64-45000)/N64*100,2)</f>
        <v>0.68</v>
      </c>
      <c r="T64" s="124">
        <f>ROUND((Q64-45000)/Q64*100,2)</f>
        <v>-0.43</v>
      </c>
      <c r="U64" s="124">
        <f t="shared" si="0"/>
        <v>0.79</v>
      </c>
      <c r="V64" s="131">
        <f t="shared" si="1"/>
        <v>0.82099999999999995</v>
      </c>
      <c r="W64" s="145">
        <f t="shared" si="2"/>
        <v>0.43</v>
      </c>
      <c r="Y64" s="43"/>
      <c r="Z64" s="19"/>
      <c r="AA64" s="19"/>
      <c r="AB64" s="19"/>
      <c r="AC64" s="19"/>
      <c r="AD64" s="19"/>
      <c r="AE64" s="19"/>
      <c r="AF64" s="44"/>
    </row>
    <row r="65" spans="1:46" ht="15.75" customHeight="1">
      <c r="B65" s="16" t="s">
        <v>96</v>
      </c>
      <c r="C65" s="8" t="s">
        <v>97</v>
      </c>
      <c r="E65" s="8">
        <v>1</v>
      </c>
      <c r="F65" s="8">
        <v>971</v>
      </c>
      <c r="G65" s="8">
        <v>1535</v>
      </c>
      <c r="H65" s="8">
        <v>1856</v>
      </c>
      <c r="I65" s="8">
        <v>2219</v>
      </c>
      <c r="J65" s="8">
        <v>2630</v>
      </c>
      <c r="K65" s="8">
        <v>3091</v>
      </c>
      <c r="L65" s="8">
        <v>2221</v>
      </c>
      <c r="M65" s="8">
        <v>792.0631264002227</v>
      </c>
      <c r="N65" s="8">
        <v>2094</v>
      </c>
      <c r="O65" s="8">
        <v>250</v>
      </c>
      <c r="R65" s="124"/>
      <c r="S65" s="129">
        <f t="shared" ref="S65" si="104">ROUND((N65-2100)/N65*100,2)</f>
        <v>-0.28999999999999998</v>
      </c>
      <c r="T65" s="124">
        <f t="shared" ref="T65" si="105">ROUND((N65-2100)/N65*100,2)</f>
        <v>-0.28999999999999998</v>
      </c>
      <c r="U65" s="124">
        <f t="shared" si="0"/>
        <v>0.09</v>
      </c>
      <c r="V65" s="131">
        <f t="shared" si="1"/>
        <v>11.939</v>
      </c>
      <c r="W65" s="145">
        <f t="shared" si="2"/>
        <v>0.28999999999999998</v>
      </c>
      <c r="Y65" s="43" t="s">
        <v>22</v>
      </c>
      <c r="Z65" s="19" t="s">
        <v>98</v>
      </c>
      <c r="AA65" s="19"/>
      <c r="AB65" s="19"/>
      <c r="AC65" s="19"/>
      <c r="AD65" s="19"/>
      <c r="AE65" s="19"/>
      <c r="AF65" s="44"/>
    </row>
    <row r="66" spans="1:46" ht="15.75" customHeight="1">
      <c r="B66" s="16"/>
      <c r="E66" s="8">
        <v>2</v>
      </c>
      <c r="F66" s="8">
        <v>7771</v>
      </c>
      <c r="G66" s="8">
        <v>11151</v>
      </c>
      <c r="H66" s="8">
        <v>13202</v>
      </c>
      <c r="I66" s="8">
        <v>15532</v>
      </c>
      <c r="J66" s="8">
        <v>18180</v>
      </c>
      <c r="K66" s="8">
        <v>21178</v>
      </c>
      <c r="L66" s="8">
        <v>15582</v>
      </c>
      <c r="M66" s="8">
        <v>783.76878551235995</v>
      </c>
      <c r="N66" s="8">
        <v>14013</v>
      </c>
      <c r="R66" s="124"/>
      <c r="S66" s="129">
        <f t="shared" ref="S66" si="106">ROUND((N66-14000)/N66*100,2)</f>
        <v>0.09</v>
      </c>
      <c r="T66" s="124">
        <f t="shared" ref="T66" si="107">ROUND((N66-14000)/N66*100,2)</f>
        <v>0.09</v>
      </c>
      <c r="U66" s="124">
        <f t="shared" si="0"/>
        <v>0.32</v>
      </c>
      <c r="V66" s="131">
        <f t="shared" si="1"/>
        <v>0</v>
      </c>
      <c r="W66" s="145">
        <f t="shared" si="2"/>
        <v>0.09</v>
      </c>
      <c r="Y66" s="43" t="s">
        <v>22</v>
      </c>
      <c r="Z66" s="19" t="s">
        <v>99</v>
      </c>
      <c r="AA66" s="19"/>
      <c r="AB66" s="19"/>
      <c r="AC66" s="19"/>
      <c r="AD66" s="19"/>
      <c r="AE66" s="19"/>
      <c r="AF66" s="44"/>
    </row>
    <row r="67" spans="1:46" ht="15.75" customHeight="1">
      <c r="B67" s="16"/>
      <c r="D67" s="8" t="s">
        <v>100</v>
      </c>
      <c r="E67" s="8">
        <v>3</v>
      </c>
      <c r="F67" s="8">
        <v>24443</v>
      </c>
      <c r="G67" s="8">
        <v>34809</v>
      </c>
      <c r="H67" s="8">
        <v>41267</v>
      </c>
      <c r="I67" s="8">
        <v>48655</v>
      </c>
      <c r="J67" s="8">
        <v>56342</v>
      </c>
      <c r="K67" s="8">
        <v>62873</v>
      </c>
      <c r="L67" s="8">
        <v>48860</v>
      </c>
      <c r="M67" s="8">
        <v>787.14263089012468</v>
      </c>
      <c r="N67" s="8">
        <v>44889</v>
      </c>
      <c r="O67" s="8">
        <v>405</v>
      </c>
      <c r="R67" s="124"/>
      <c r="S67" s="129">
        <f t="shared" ref="S67" si="108">ROUND((N67-45000)/N67*100,2)</f>
        <v>-0.25</v>
      </c>
      <c r="T67" s="124">
        <f t="shared" ref="T67" si="109">ROUND((N67-45000)/N67*100,2)</f>
        <v>-0.25</v>
      </c>
      <c r="U67" s="124">
        <f t="shared" ref="U67:U121" si="110">ROUND((L67-I67)/L67*100,2)</f>
        <v>0.42</v>
      </c>
      <c r="V67" s="131">
        <f t="shared" ref="V67:V121" si="111">ROUND(O67/N67*100,3)</f>
        <v>0.90200000000000002</v>
      </c>
      <c r="W67" s="145">
        <f t="shared" ref="W67:W121" si="112">ABS(T67)</f>
        <v>0.25</v>
      </c>
      <c r="Y67" s="43"/>
      <c r="Z67" s="19"/>
      <c r="AA67" s="19"/>
      <c r="AB67" s="19"/>
      <c r="AC67" s="19"/>
      <c r="AD67" s="19"/>
      <c r="AE67" s="19"/>
      <c r="AF67" s="44"/>
    </row>
    <row r="68" spans="1:46" ht="15.75" customHeight="1">
      <c r="B68" s="16" t="s">
        <v>101</v>
      </c>
      <c r="C68" s="8" t="s">
        <v>102</v>
      </c>
      <c r="E68" s="8">
        <v>1</v>
      </c>
      <c r="F68" s="8">
        <v>1304</v>
      </c>
      <c r="G68" s="8">
        <v>1989</v>
      </c>
      <c r="H68" s="8">
        <v>2391</v>
      </c>
      <c r="I68" s="8">
        <v>2840</v>
      </c>
      <c r="J68" s="8">
        <v>3338</v>
      </c>
      <c r="K68" s="8">
        <v>3902</v>
      </c>
      <c r="L68" s="8">
        <v>2837</v>
      </c>
      <c r="M68" s="8">
        <v>757.27695480183775</v>
      </c>
      <c r="N68" s="8">
        <v>2104</v>
      </c>
      <c r="O68" s="8">
        <v>252</v>
      </c>
      <c r="R68" s="124"/>
      <c r="S68" s="129">
        <f t="shared" ref="S68" si="113">ROUND((N68-2100)/N68*100,2)</f>
        <v>0.19</v>
      </c>
      <c r="T68" s="124">
        <f t="shared" ref="T68" si="114">ROUND((N68-2100)/N68*100,2)</f>
        <v>0.19</v>
      </c>
      <c r="U68" s="124">
        <f t="shared" si="110"/>
        <v>-0.11</v>
      </c>
      <c r="V68" s="131">
        <f t="shared" si="111"/>
        <v>11.977</v>
      </c>
      <c r="W68" s="145">
        <f t="shared" si="112"/>
        <v>0.19</v>
      </c>
      <c r="Y68" s="43"/>
      <c r="Z68" s="19"/>
      <c r="AA68" s="19"/>
      <c r="AB68" s="19"/>
      <c r="AC68" s="19"/>
      <c r="AD68" s="19"/>
      <c r="AE68" s="19"/>
      <c r="AF68" s="44"/>
    </row>
    <row r="69" spans="1:46" ht="15.75" customHeight="1">
      <c r="B69" s="16"/>
      <c r="E69" s="8">
        <v>2</v>
      </c>
      <c r="F69" s="8">
        <v>9784</v>
      </c>
      <c r="G69" s="8">
        <v>14041</v>
      </c>
      <c r="H69" s="8">
        <v>16668</v>
      </c>
      <c r="I69" s="8">
        <v>19649</v>
      </c>
      <c r="J69" s="8">
        <v>22979</v>
      </c>
      <c r="K69" s="8">
        <v>26498</v>
      </c>
      <c r="L69" s="8">
        <v>19710</v>
      </c>
      <c r="M69" s="8">
        <v>748.74433788898352</v>
      </c>
      <c r="N69" s="8">
        <v>14009</v>
      </c>
      <c r="O69" s="8">
        <v>306</v>
      </c>
      <c r="R69" s="124"/>
      <c r="S69" s="129">
        <f t="shared" ref="S69" si="115">ROUND((N69-14000)/N69*100,2)</f>
        <v>0.06</v>
      </c>
      <c r="T69" s="124">
        <f t="shared" ref="T69" si="116">ROUND((N69-14000)/N69*100,2)</f>
        <v>0.06</v>
      </c>
      <c r="U69" s="124">
        <f t="shared" si="110"/>
        <v>0.31</v>
      </c>
      <c r="V69" s="131">
        <f t="shared" si="111"/>
        <v>2.1840000000000002</v>
      </c>
      <c r="W69" s="145">
        <f t="shared" si="112"/>
        <v>0.06</v>
      </c>
      <c r="Y69" s="43"/>
      <c r="Z69" s="19"/>
      <c r="AA69" s="19"/>
      <c r="AB69" s="19"/>
      <c r="AC69" s="19"/>
      <c r="AD69" s="19"/>
      <c r="AE69" s="19"/>
      <c r="AF69" s="44"/>
    </row>
    <row r="70" spans="1:46" ht="15.75" customHeight="1">
      <c r="B70" s="16"/>
      <c r="D70" s="8" t="s">
        <v>103</v>
      </c>
      <c r="E70" s="8">
        <v>3</v>
      </c>
      <c r="F70" s="8">
        <v>31110</v>
      </c>
      <c r="G70" s="8">
        <v>44114</v>
      </c>
      <c r="H70" s="8">
        <v>51946</v>
      </c>
      <c r="I70" s="8">
        <v>59742</v>
      </c>
      <c r="J70" s="8" t="s">
        <v>33</v>
      </c>
      <c r="K70" s="8" t="s">
        <v>33</v>
      </c>
      <c r="L70" s="8">
        <v>60000</v>
      </c>
      <c r="M70" s="8">
        <v>754.54371375900519</v>
      </c>
      <c r="N70" s="8">
        <v>45609</v>
      </c>
      <c r="O70" s="8">
        <v>402</v>
      </c>
      <c r="P70" s="8">
        <v>752</v>
      </c>
      <c r="Q70" s="8">
        <v>44912</v>
      </c>
      <c r="R70" s="124">
        <v>393</v>
      </c>
      <c r="S70" s="129">
        <f t="shared" ref="S70" si="117">ROUND((N70-45000)/N70*100,2)</f>
        <v>1.34</v>
      </c>
      <c r="T70" s="124">
        <f>ROUND((Q70-45000)/Q70*100,2)</f>
        <v>-0.2</v>
      </c>
      <c r="U70" s="124">
        <f t="shared" si="110"/>
        <v>0.43</v>
      </c>
      <c r="V70" s="131">
        <f t="shared" si="111"/>
        <v>0.88100000000000001</v>
      </c>
      <c r="W70" s="145">
        <f t="shared" si="112"/>
        <v>0.2</v>
      </c>
      <c r="Y70" s="43"/>
      <c r="Z70" s="19"/>
      <c r="AA70" s="19"/>
      <c r="AB70" s="19"/>
      <c r="AC70" s="19"/>
      <c r="AD70" s="19"/>
      <c r="AE70" s="19"/>
      <c r="AF70" s="44"/>
    </row>
    <row r="71" spans="1:46" ht="15.75" customHeight="1">
      <c r="B71" s="175" t="s">
        <v>104</v>
      </c>
      <c r="C71" s="176" t="s">
        <v>105</v>
      </c>
      <c r="E71" s="8">
        <v>1</v>
      </c>
      <c r="F71">
        <v>1662</v>
      </c>
      <c r="G71">
        <v>2435</v>
      </c>
      <c r="H71">
        <v>2903</v>
      </c>
      <c r="I71">
        <v>3434</v>
      </c>
      <c r="J71">
        <v>4048</v>
      </c>
      <c r="K71">
        <v>4723</v>
      </c>
      <c r="M71">
        <v>729.88398229040706</v>
      </c>
      <c r="N71">
        <v>2083</v>
      </c>
      <c r="O71">
        <v>267</v>
      </c>
      <c r="S71" s="129">
        <f t="shared" ref="S71" si="118">ROUND((N71-2100)/N71*100,2)</f>
        <v>-0.82</v>
      </c>
      <c r="T71" s="124">
        <f t="shared" ref="T71" si="119">ROUND((N71-2100)/N71*100,2)</f>
        <v>-0.82</v>
      </c>
      <c r="U71" s="124" t="e">
        <f t="shared" ref="U71:U73" si="120">ROUND((L71-I71)/L71*100,2)</f>
        <v>#DIV/0!</v>
      </c>
      <c r="V71" s="131">
        <f t="shared" ref="V71:V73" si="121">ROUND(O71/N71*100,3)</f>
        <v>12.818</v>
      </c>
      <c r="W71" s="145">
        <f t="shared" si="112"/>
        <v>0.82</v>
      </c>
      <c r="Y71" s="43"/>
      <c r="Z71" s="19"/>
      <c r="AA71" s="19"/>
      <c r="AB71" s="19"/>
      <c r="AC71" s="19"/>
      <c r="AD71" s="19"/>
      <c r="AE71" s="19"/>
      <c r="AF71" s="44"/>
      <c r="AH71" s="8" t="s">
        <v>64</v>
      </c>
      <c r="AI71" s="8">
        <v>1457</v>
      </c>
      <c r="AJ71" s="8">
        <v>1773</v>
      </c>
      <c r="AK71" s="8">
        <v>2125</v>
      </c>
      <c r="AL71" s="8">
        <v>2530</v>
      </c>
      <c r="AM71" s="8">
        <v>2988</v>
      </c>
      <c r="AN71" s="8">
        <v>2120</v>
      </c>
      <c r="AO71" s="8">
        <v>798.17682571031355</v>
      </c>
      <c r="AR71" s="8">
        <v>800</v>
      </c>
      <c r="AS71" s="8">
        <v>2120</v>
      </c>
      <c r="AT71" s="124">
        <v>224</v>
      </c>
    </row>
    <row r="72" spans="1:46" ht="15.75" customHeight="1">
      <c r="B72" s="16"/>
      <c r="E72" s="8">
        <v>2</v>
      </c>
      <c r="F72">
        <v>11776</v>
      </c>
      <c r="G72">
        <v>16821</v>
      </c>
      <c r="H72">
        <v>19893</v>
      </c>
      <c r="I72">
        <v>23329</v>
      </c>
      <c r="J72">
        <v>27128</v>
      </c>
      <c r="K72">
        <v>31153</v>
      </c>
      <c r="M72">
        <v>723.28430915664069</v>
      </c>
      <c r="N72">
        <v>13908</v>
      </c>
      <c r="O72">
        <v>312</v>
      </c>
      <c r="S72" s="129">
        <f t="shared" ref="S72" si="122">ROUND((N72-14000)/N72*100,2)</f>
        <v>-0.66</v>
      </c>
      <c r="T72" s="124">
        <f t="shared" ref="T72" si="123">ROUND((N72-14000)/N72*100,2)</f>
        <v>-0.66</v>
      </c>
      <c r="U72" s="124" t="e">
        <f t="shared" si="120"/>
        <v>#DIV/0!</v>
      </c>
      <c r="V72" s="131">
        <f t="shared" si="121"/>
        <v>2.2429999999999999</v>
      </c>
      <c r="W72" s="145">
        <f t="shared" si="112"/>
        <v>0.66</v>
      </c>
      <c r="Y72" s="43"/>
      <c r="Z72" s="19"/>
      <c r="AA72" s="19"/>
      <c r="AB72" s="19"/>
      <c r="AC72" s="19"/>
      <c r="AD72" s="19"/>
      <c r="AE72" s="19"/>
      <c r="AF72" s="44"/>
      <c r="AH72" s="8">
        <v>7291</v>
      </c>
      <c r="AI72" s="8">
        <v>10336</v>
      </c>
      <c r="AJ72" s="8">
        <v>11887</v>
      </c>
      <c r="AK72" s="8">
        <v>13679</v>
      </c>
      <c r="AL72" s="8">
        <v>15402</v>
      </c>
      <c r="AM72" s="8">
        <v>17147</v>
      </c>
      <c r="AN72" s="8">
        <v>13633</v>
      </c>
      <c r="AO72" s="8">
        <v>804.46845538377511</v>
      </c>
      <c r="AP72" s="8">
        <v>13977</v>
      </c>
      <c r="AQ72" s="8">
        <v>268</v>
      </c>
      <c r="AT72" s="124"/>
    </row>
    <row r="73" spans="1:46" ht="15.75" customHeight="1">
      <c r="B73" s="16"/>
      <c r="D73" s="8" t="s">
        <v>106</v>
      </c>
      <c r="E73" s="8">
        <v>3</v>
      </c>
      <c r="F73">
        <v>33089</v>
      </c>
      <c r="G73">
        <v>45886</v>
      </c>
      <c r="H73">
        <v>52244</v>
      </c>
      <c r="I73">
        <v>59870</v>
      </c>
      <c r="M73">
        <v>753.51082883261893</v>
      </c>
      <c r="N73">
        <v>46767</v>
      </c>
      <c r="O73">
        <v>402</v>
      </c>
      <c r="P73">
        <v>747</v>
      </c>
      <c r="Q73">
        <v>44980</v>
      </c>
      <c r="R73">
        <v>390</v>
      </c>
      <c r="S73" s="129">
        <f t="shared" ref="S73" si="124">ROUND((N73-45000)/N73*100,2)</f>
        <v>3.78</v>
      </c>
      <c r="T73" s="124">
        <f>ROUND((Q73-45000)/Q73*100,2)</f>
        <v>-0.04</v>
      </c>
      <c r="U73" s="124" t="e">
        <f t="shared" si="120"/>
        <v>#DIV/0!</v>
      </c>
      <c r="V73" s="131">
        <f t="shared" si="121"/>
        <v>0.86</v>
      </c>
      <c r="W73" s="145"/>
      <c r="Y73" s="43"/>
      <c r="Z73" s="19"/>
      <c r="AA73" s="19"/>
      <c r="AB73" s="19"/>
      <c r="AC73" s="19"/>
      <c r="AD73" s="19"/>
      <c r="AE73" s="19"/>
      <c r="AF73" s="44"/>
      <c r="AH73" s="31">
        <v>20459</v>
      </c>
      <c r="AI73" s="31">
        <v>25534</v>
      </c>
      <c r="AJ73" s="31">
        <v>28284</v>
      </c>
      <c r="AK73" s="31">
        <v>31117</v>
      </c>
      <c r="AL73" s="31">
        <v>34083</v>
      </c>
      <c r="AM73" s="31">
        <v>37165</v>
      </c>
      <c r="AT73" s="124"/>
    </row>
    <row r="74" spans="1:46" ht="15.75" customHeight="1">
      <c r="B74" s="16" t="s">
        <v>107</v>
      </c>
      <c r="C74" s="8" t="s">
        <v>108</v>
      </c>
      <c r="E74" s="8">
        <v>1</v>
      </c>
      <c r="F74" s="8">
        <v>1204</v>
      </c>
      <c r="G74" s="8">
        <v>1857</v>
      </c>
      <c r="H74" s="8">
        <v>2223</v>
      </c>
      <c r="I74" s="8">
        <v>2639</v>
      </c>
      <c r="J74" s="8">
        <v>3106</v>
      </c>
      <c r="K74" s="8">
        <v>3632</v>
      </c>
      <c r="L74" s="8">
        <v>2616</v>
      </c>
      <c r="M74" s="8">
        <v>766.9500350700481</v>
      </c>
      <c r="N74" s="8">
        <v>2078</v>
      </c>
      <c r="O74" s="8">
        <v>234</v>
      </c>
      <c r="R74" s="124"/>
      <c r="S74" s="129">
        <f t="shared" ref="S74" si="125">ROUND((N74-2100)/N74*100,2)</f>
        <v>-1.06</v>
      </c>
      <c r="T74" s="124">
        <f t="shared" ref="T74" si="126">ROUND((N74-2100)/N74*100,2)</f>
        <v>-1.06</v>
      </c>
      <c r="U74" s="124">
        <f t="shared" si="110"/>
        <v>-0.88</v>
      </c>
      <c r="V74" s="131">
        <f t="shared" si="111"/>
        <v>11.260999999999999</v>
      </c>
      <c r="W74" s="145">
        <f t="shared" si="112"/>
        <v>1.06</v>
      </c>
      <c r="Y74" s="43" t="s">
        <v>22</v>
      </c>
      <c r="Z74" s="19" t="s">
        <v>109</v>
      </c>
      <c r="AA74" s="19"/>
      <c r="AB74" s="19"/>
      <c r="AC74" s="19"/>
      <c r="AD74" s="19"/>
      <c r="AE74" s="19"/>
      <c r="AF74" s="44"/>
    </row>
    <row r="75" spans="1:46" ht="15.75" customHeight="1">
      <c r="B75" s="16"/>
      <c r="E75" s="8">
        <v>2</v>
      </c>
      <c r="F75" s="8">
        <v>9064</v>
      </c>
      <c r="G75" s="8">
        <v>12828</v>
      </c>
      <c r="H75" s="8">
        <v>15112</v>
      </c>
      <c r="I75" s="8">
        <v>17642</v>
      </c>
      <c r="J75" s="8">
        <v>20507</v>
      </c>
      <c r="K75" s="8">
        <v>23696</v>
      </c>
      <c r="L75" s="8">
        <v>17546</v>
      </c>
      <c r="M75" s="8">
        <v>763.01887211624398</v>
      </c>
      <c r="N75" s="8">
        <v>13920</v>
      </c>
      <c r="O75" s="8">
        <v>294</v>
      </c>
      <c r="R75" s="124"/>
      <c r="S75" s="129">
        <f t="shared" ref="S75" si="127">ROUND((N75-14000)/N75*100,2)</f>
        <v>-0.56999999999999995</v>
      </c>
      <c r="T75" s="124">
        <f t="shared" ref="T75" si="128">ROUND((N75-14000)/N75*100,2)</f>
        <v>-0.56999999999999995</v>
      </c>
      <c r="U75" s="124">
        <f t="shared" si="110"/>
        <v>-0.55000000000000004</v>
      </c>
      <c r="V75" s="131">
        <f t="shared" si="111"/>
        <v>2.1120000000000001</v>
      </c>
      <c r="W75" s="145">
        <f t="shared" si="112"/>
        <v>0.56999999999999995</v>
      </c>
      <c r="Y75" s="45"/>
      <c r="Z75" s="22" t="s">
        <v>110</v>
      </c>
      <c r="AA75" s="22"/>
      <c r="AB75" s="22"/>
      <c r="AC75" s="22"/>
      <c r="AD75" s="22"/>
      <c r="AE75" s="22"/>
      <c r="AF75" s="46"/>
    </row>
    <row r="76" spans="1:46" ht="15.75" customHeight="1" thickBot="1">
      <c r="B76" s="24"/>
      <c r="C76" s="25"/>
      <c r="D76" s="25" t="s">
        <v>111</v>
      </c>
      <c r="E76" s="25">
        <v>3</v>
      </c>
      <c r="F76" s="25">
        <v>27493</v>
      </c>
      <c r="G76" s="25">
        <v>38277</v>
      </c>
      <c r="H76" s="25">
        <v>44840</v>
      </c>
      <c r="I76" s="25">
        <v>52257</v>
      </c>
      <c r="J76" s="25">
        <v>59410</v>
      </c>
      <c r="K76" s="25" t="s">
        <v>33</v>
      </c>
      <c r="L76" s="25">
        <v>52190</v>
      </c>
      <c r="M76" s="25">
        <v>775.04034243342323</v>
      </c>
      <c r="N76" s="25">
        <v>44797</v>
      </c>
      <c r="O76" s="25">
        <v>380</v>
      </c>
      <c r="P76" s="25">
        <v>776.5</v>
      </c>
      <c r="Q76" s="25">
        <v>45195</v>
      </c>
      <c r="R76" s="25">
        <v>387</v>
      </c>
      <c r="S76" s="129">
        <f t="shared" ref="S76" si="129">ROUND((N76-45000)/N76*100,2)</f>
        <v>-0.45</v>
      </c>
      <c r="T76" s="124">
        <f>ROUND((Q76-45000)/Q76*100,2)</f>
        <v>0.43</v>
      </c>
      <c r="U76" s="124">
        <f t="shared" si="110"/>
        <v>-0.13</v>
      </c>
      <c r="V76" s="131">
        <f t="shared" si="111"/>
        <v>0.84799999999999998</v>
      </c>
      <c r="W76" s="145">
        <f t="shared" si="112"/>
        <v>0.43</v>
      </c>
      <c r="Y76" s="47"/>
      <c r="Z76" s="48"/>
      <c r="AA76" s="48"/>
      <c r="AB76" s="48"/>
      <c r="AC76" s="48"/>
      <c r="AD76" s="48"/>
      <c r="AE76" s="48"/>
      <c r="AF76" s="49"/>
    </row>
    <row r="77" spans="1:46" ht="15.75" customHeight="1" thickBot="1">
      <c r="A77" s="9" t="s">
        <v>112</v>
      </c>
      <c r="B77" s="10" t="s">
        <v>113</v>
      </c>
      <c r="C77" s="11" t="s">
        <v>114</v>
      </c>
      <c r="D77" s="11"/>
      <c r="E77" s="11">
        <v>1</v>
      </c>
      <c r="F77" s="8">
        <v>1051</v>
      </c>
      <c r="G77" s="8">
        <v>1583</v>
      </c>
      <c r="H77" s="8">
        <v>1866</v>
      </c>
      <c r="I77" s="8">
        <v>2185</v>
      </c>
      <c r="J77" s="8">
        <v>2545</v>
      </c>
      <c r="K77" s="8">
        <v>2941</v>
      </c>
      <c r="L77" s="11"/>
      <c r="M77" s="8">
        <v>792.77191547684902</v>
      </c>
      <c r="N77" s="11">
        <v>2102</v>
      </c>
      <c r="O77" s="11">
        <v>327</v>
      </c>
      <c r="P77" s="11"/>
      <c r="Q77" s="11"/>
      <c r="R77" s="11"/>
      <c r="S77" s="129">
        <f t="shared" ref="S77" si="130">ROUND((N77-2100)/N77*100,2)</f>
        <v>0.1</v>
      </c>
      <c r="T77" s="124">
        <f t="shared" ref="T77" si="131">ROUND((N77-2100)/N77*100,2)</f>
        <v>0.1</v>
      </c>
      <c r="U77" s="124" t="e">
        <f t="shared" si="110"/>
        <v>#DIV/0!</v>
      </c>
      <c r="V77" s="131">
        <f t="shared" si="111"/>
        <v>15.557</v>
      </c>
      <c r="W77" s="145">
        <f t="shared" si="112"/>
        <v>0.1</v>
      </c>
      <c r="Y77" s="50" t="s">
        <v>22</v>
      </c>
      <c r="Z77" s="14" t="s">
        <v>115</v>
      </c>
      <c r="AA77" s="14"/>
      <c r="AB77" s="14"/>
      <c r="AC77" s="14"/>
      <c r="AD77" s="14"/>
      <c r="AE77" s="14"/>
      <c r="AF77" s="15"/>
    </row>
    <row r="78" spans="1:46" ht="15.75" customHeight="1">
      <c r="B78" s="16"/>
      <c r="E78" s="8">
        <v>2</v>
      </c>
      <c r="F78" s="8">
        <v>8333</v>
      </c>
      <c r="G78" s="8">
        <v>11436</v>
      </c>
      <c r="H78" s="8">
        <v>13260</v>
      </c>
      <c r="I78" s="8">
        <v>15297</v>
      </c>
      <c r="J78" s="8">
        <v>17526</v>
      </c>
      <c r="K78" s="8">
        <v>19982</v>
      </c>
      <c r="M78" s="8">
        <v>783.48089292588418</v>
      </c>
      <c r="N78" s="8">
        <v>13882</v>
      </c>
      <c r="O78" s="8">
        <v>369</v>
      </c>
      <c r="R78" s="124"/>
      <c r="S78" s="129">
        <f t="shared" ref="S78" si="132">ROUND((N78-14000)/N78*100,2)</f>
        <v>-0.85</v>
      </c>
      <c r="T78" s="124">
        <f t="shared" ref="T78" si="133">ROUND((N78-14000)/N78*100,2)</f>
        <v>-0.85</v>
      </c>
      <c r="U78" s="124" t="e">
        <f t="shared" si="110"/>
        <v>#DIV/0!</v>
      </c>
      <c r="V78" s="131">
        <f t="shared" si="111"/>
        <v>2.6579999999999999</v>
      </c>
      <c r="W78" s="145">
        <f t="shared" si="112"/>
        <v>0.85</v>
      </c>
      <c r="Y78" s="18" t="s">
        <v>22</v>
      </c>
      <c r="Z78" s="19" t="s">
        <v>116</v>
      </c>
      <c r="AA78" s="19"/>
      <c r="AB78" s="19"/>
      <c r="AC78" s="19"/>
      <c r="AD78" s="19"/>
      <c r="AE78" s="19"/>
      <c r="AF78" s="20"/>
    </row>
    <row r="79" spans="1:46" ht="15.75" customHeight="1">
      <c r="B79" s="16"/>
      <c r="D79" s="8" t="s">
        <v>117</v>
      </c>
      <c r="E79" s="8">
        <v>3</v>
      </c>
      <c r="F79" s="8">
        <v>24940</v>
      </c>
      <c r="G79" s="8">
        <v>33168</v>
      </c>
      <c r="H79" s="8">
        <v>37938</v>
      </c>
      <c r="I79" s="8">
        <v>43149</v>
      </c>
      <c r="J79" s="8">
        <v>48892</v>
      </c>
      <c r="K79" s="8">
        <v>55197</v>
      </c>
      <c r="M79" s="8">
        <v>807.14837617254841</v>
      </c>
      <c r="N79" s="8">
        <v>44620</v>
      </c>
      <c r="O79" s="8">
        <v>432</v>
      </c>
      <c r="R79" s="124"/>
      <c r="S79" s="129">
        <f t="shared" ref="S79" si="134">ROUND((N79-45000)/N79*100,2)</f>
        <v>-0.85</v>
      </c>
      <c r="T79" s="124">
        <f t="shared" ref="T79" si="135">ROUND((N79-45000)/N79*100,2)</f>
        <v>-0.85</v>
      </c>
      <c r="U79" s="124" t="e">
        <f t="shared" si="110"/>
        <v>#DIV/0!</v>
      </c>
      <c r="V79" s="131">
        <f t="shared" si="111"/>
        <v>0.96799999999999997</v>
      </c>
      <c r="W79" s="145">
        <f t="shared" si="112"/>
        <v>0.85</v>
      </c>
      <c r="Y79" s="18" t="s">
        <v>22</v>
      </c>
      <c r="Z79" s="19" t="s">
        <v>118</v>
      </c>
      <c r="AA79" s="19"/>
      <c r="AB79" s="19"/>
      <c r="AC79" s="19"/>
      <c r="AD79" s="19"/>
      <c r="AE79" s="19"/>
      <c r="AF79" s="20"/>
    </row>
    <row r="80" spans="1:46" ht="15.75" customHeight="1">
      <c r="B80" s="16" t="s">
        <v>119</v>
      </c>
      <c r="C80" s="8" t="s">
        <v>120</v>
      </c>
      <c r="E80" s="8">
        <v>1</v>
      </c>
      <c r="F80" s="8">
        <v>1092</v>
      </c>
      <c r="G80" s="8">
        <v>1673</v>
      </c>
      <c r="H80" s="8">
        <v>1995</v>
      </c>
      <c r="I80" s="8">
        <v>2359</v>
      </c>
      <c r="J80" s="8">
        <v>2774</v>
      </c>
      <c r="K80" s="8">
        <v>3233</v>
      </c>
      <c r="L80" s="8">
        <v>2488</v>
      </c>
      <c r="M80" s="8">
        <v>781.2772031642894</v>
      </c>
      <c r="N80" s="8">
        <v>2093</v>
      </c>
      <c r="O80" s="8">
        <v>245</v>
      </c>
      <c r="P80" s="8">
        <v>773.7</v>
      </c>
      <c r="Q80" s="8">
        <v>2087</v>
      </c>
      <c r="R80" s="124">
        <v>239</v>
      </c>
      <c r="S80" s="129">
        <f t="shared" ref="S80" si="136">ROUND((N80-2100)/N80*100,2)</f>
        <v>-0.33</v>
      </c>
      <c r="T80" s="124">
        <f>ROUND((Q80-2100)/Q80*100,2)</f>
        <v>-0.62</v>
      </c>
      <c r="U80" s="124">
        <f t="shared" si="110"/>
        <v>5.18</v>
      </c>
      <c r="V80" s="131">
        <f t="shared" si="111"/>
        <v>11.706</v>
      </c>
      <c r="W80" s="145">
        <f t="shared" si="112"/>
        <v>0.62</v>
      </c>
      <c r="Y80" s="18" t="s">
        <v>22</v>
      </c>
      <c r="Z80" s="19" t="s">
        <v>121</v>
      </c>
      <c r="AA80" s="19"/>
      <c r="AB80" s="19"/>
      <c r="AC80" s="19"/>
      <c r="AD80" s="19"/>
      <c r="AE80" s="19"/>
      <c r="AF80" s="20"/>
    </row>
    <row r="81" spans="1:32" ht="15.75" customHeight="1">
      <c r="B81" s="16"/>
      <c r="E81" s="8">
        <v>2</v>
      </c>
      <c r="F81" s="8">
        <v>8674</v>
      </c>
      <c r="G81" s="8">
        <v>11970</v>
      </c>
      <c r="H81" s="8">
        <v>13881</v>
      </c>
      <c r="I81" s="8">
        <v>16009</v>
      </c>
      <c r="J81" s="8">
        <v>18337</v>
      </c>
      <c r="K81" s="8">
        <v>20928</v>
      </c>
      <c r="L81" s="8">
        <v>16443</v>
      </c>
      <c r="M81" s="8">
        <v>775.72279283245291</v>
      </c>
      <c r="N81" s="8">
        <v>14336</v>
      </c>
      <c r="O81" s="8">
        <v>292</v>
      </c>
      <c r="P81" s="8">
        <v>773.7</v>
      </c>
      <c r="Q81" s="8">
        <v>14161</v>
      </c>
      <c r="R81" s="124">
        <v>293</v>
      </c>
      <c r="S81" s="129">
        <f t="shared" ref="S81" si="137">ROUND((N81-14000)/N81*100,2)</f>
        <v>2.34</v>
      </c>
      <c r="T81" s="124">
        <f>ROUND((Q81-14000)/Q81*100,2)</f>
        <v>1.1399999999999999</v>
      </c>
      <c r="U81" s="124">
        <f t="shared" si="110"/>
        <v>2.64</v>
      </c>
      <c r="V81" s="131">
        <f t="shared" si="111"/>
        <v>2.0369999999999999</v>
      </c>
      <c r="W81" s="145">
        <f t="shared" si="112"/>
        <v>1.1399999999999999</v>
      </c>
      <c r="Y81" s="18" t="s">
        <v>122</v>
      </c>
      <c r="Z81" s="19" t="s">
        <v>123</v>
      </c>
      <c r="AA81" s="19"/>
      <c r="AB81" s="19"/>
      <c r="AC81" s="19"/>
      <c r="AD81" s="19"/>
      <c r="AE81" s="19"/>
      <c r="AF81" s="20"/>
    </row>
    <row r="82" spans="1:32" ht="15.75" customHeight="1">
      <c r="B82" s="16"/>
      <c r="D82" s="51" t="s">
        <v>124</v>
      </c>
      <c r="E82" s="8">
        <v>3</v>
      </c>
      <c r="F82" s="8">
        <v>25778</v>
      </c>
      <c r="G82" s="8">
        <v>34213</v>
      </c>
      <c r="H82" s="8">
        <v>39070</v>
      </c>
      <c r="I82" s="8">
        <v>44380</v>
      </c>
      <c r="J82" s="8">
        <v>50157</v>
      </c>
      <c r="K82" s="8">
        <v>56020</v>
      </c>
      <c r="L82" s="8">
        <v>44939</v>
      </c>
      <c r="M82" s="8">
        <f>'LED3 Fitting v2'!AB12</f>
        <v>802.66558935518162</v>
      </c>
      <c r="N82" s="8">
        <v>44976</v>
      </c>
      <c r="O82" s="8">
        <v>361</v>
      </c>
      <c r="R82" s="124"/>
      <c r="S82" s="129">
        <f t="shared" ref="S82" si="138">ROUND((N82-45000)/N82*100,2)</f>
        <v>-0.05</v>
      </c>
      <c r="T82" s="124">
        <f t="shared" ref="T82" si="139">ROUND((N82-45000)/N82*100,2)</f>
        <v>-0.05</v>
      </c>
      <c r="U82" s="124">
        <f t="shared" si="110"/>
        <v>1.24</v>
      </c>
      <c r="V82" s="131">
        <f t="shared" si="111"/>
        <v>0.80300000000000005</v>
      </c>
      <c r="W82" s="145">
        <f t="shared" si="112"/>
        <v>0.05</v>
      </c>
      <c r="Y82" s="18" t="s">
        <v>22</v>
      </c>
      <c r="Z82" s="19" t="s">
        <v>125</v>
      </c>
      <c r="AA82" s="19"/>
      <c r="AB82" s="19"/>
      <c r="AC82" s="19"/>
      <c r="AD82" s="19"/>
      <c r="AE82" s="19"/>
      <c r="AF82" s="20"/>
    </row>
    <row r="83" spans="1:32" ht="15.75" customHeight="1">
      <c r="B83" s="177" t="s">
        <v>126</v>
      </c>
      <c r="C83" s="176" t="s">
        <v>127</v>
      </c>
      <c r="E83" s="8">
        <v>1</v>
      </c>
      <c r="F83" s="8" t="s">
        <v>64</v>
      </c>
      <c r="G83" s="8" t="s">
        <v>64</v>
      </c>
      <c r="H83" s="8">
        <v>1052</v>
      </c>
      <c r="I83" s="8">
        <v>1298</v>
      </c>
      <c r="J83" s="8">
        <v>1573</v>
      </c>
      <c r="K83" s="8">
        <v>1826</v>
      </c>
      <c r="L83" s="8">
        <v>1300</v>
      </c>
      <c r="M83" s="35">
        <v>871.38616238923896</v>
      </c>
      <c r="R83" s="124"/>
      <c r="S83" s="129" t="e">
        <f t="shared" ref="S83" si="140">ROUND((N83-2100)/N83*100,2)</f>
        <v>#DIV/0!</v>
      </c>
      <c r="T83" s="124"/>
      <c r="U83" s="124">
        <f t="shared" si="110"/>
        <v>0.15</v>
      </c>
      <c r="V83" s="131" t="e">
        <f t="shared" si="111"/>
        <v>#DIV/0!</v>
      </c>
      <c r="W83" s="145"/>
      <c r="Y83" s="18" t="s">
        <v>128</v>
      </c>
      <c r="Z83" s="19"/>
      <c r="AA83" s="19"/>
      <c r="AB83" s="19"/>
      <c r="AC83" s="19"/>
      <c r="AD83" s="19"/>
      <c r="AE83" s="19"/>
      <c r="AF83" s="20"/>
    </row>
    <row r="84" spans="1:32" ht="15.75" customHeight="1">
      <c r="B84" s="16"/>
      <c r="E84" s="8">
        <v>2</v>
      </c>
      <c r="F84" s="8">
        <v>5717</v>
      </c>
      <c r="G84" s="8">
        <v>8071</v>
      </c>
      <c r="H84" s="8">
        <v>9503</v>
      </c>
      <c r="I84" s="8">
        <v>11129</v>
      </c>
      <c r="J84" s="8">
        <v>12959</v>
      </c>
      <c r="K84" s="8">
        <v>15001</v>
      </c>
      <c r="L84" s="8">
        <v>11245</v>
      </c>
      <c r="M84" s="8">
        <v>837.7995398961549</v>
      </c>
      <c r="N84" s="8">
        <v>14168</v>
      </c>
      <c r="O84" s="8">
        <v>313</v>
      </c>
      <c r="R84" s="124"/>
      <c r="S84" s="129">
        <f t="shared" ref="S84" si="141">ROUND((N84-14000)/N84*100,2)</f>
        <v>1.19</v>
      </c>
      <c r="T84" s="124">
        <f t="shared" ref="T84" si="142">ROUND((N84-14000)/N84*100,2)</f>
        <v>1.19</v>
      </c>
      <c r="U84" s="124">
        <f t="shared" si="110"/>
        <v>1.03</v>
      </c>
      <c r="V84" s="131">
        <f t="shared" si="111"/>
        <v>2.2090000000000001</v>
      </c>
      <c r="W84" s="145">
        <f t="shared" si="112"/>
        <v>1.19</v>
      </c>
      <c r="Y84" s="18" t="s">
        <v>129</v>
      </c>
      <c r="Z84" s="19"/>
      <c r="AA84" s="19"/>
      <c r="AB84" s="19"/>
      <c r="AC84" s="19"/>
      <c r="AD84" s="19"/>
      <c r="AE84" s="19"/>
      <c r="AF84" s="20"/>
    </row>
    <row r="85" spans="1:32" ht="15.75" customHeight="1">
      <c r="B85" s="16"/>
      <c r="D85" s="8" t="s">
        <v>130</v>
      </c>
      <c r="E85" s="8">
        <v>3</v>
      </c>
      <c r="F85" s="8">
        <v>19544</v>
      </c>
      <c r="G85" s="8">
        <v>27312</v>
      </c>
      <c r="H85" s="8">
        <v>31899</v>
      </c>
      <c r="I85" s="8">
        <v>36981</v>
      </c>
      <c r="J85" s="8">
        <v>42552</v>
      </c>
      <c r="K85" s="8">
        <v>48582</v>
      </c>
      <c r="L85" s="8">
        <v>37171</v>
      </c>
      <c r="M85" s="8">
        <v>835.36742153655905</v>
      </c>
      <c r="N85" s="8">
        <v>45355</v>
      </c>
      <c r="O85" s="8">
        <v>404</v>
      </c>
      <c r="P85" s="8">
        <v>834.5</v>
      </c>
      <c r="Q85" s="8">
        <v>45016</v>
      </c>
      <c r="R85" s="124">
        <v>403</v>
      </c>
      <c r="S85" s="129">
        <f t="shared" ref="S85" si="143">ROUND((N85-45000)/N85*100,2)</f>
        <v>0.78</v>
      </c>
      <c r="T85" s="124">
        <f>ROUND((Q85-45000)/Q85*100,2)</f>
        <v>0.04</v>
      </c>
      <c r="U85" s="124">
        <f t="shared" si="110"/>
        <v>0.51</v>
      </c>
      <c r="V85" s="131">
        <f t="shared" si="111"/>
        <v>0.89100000000000001</v>
      </c>
      <c r="W85" s="145">
        <f t="shared" si="112"/>
        <v>0.04</v>
      </c>
      <c r="Y85" s="18"/>
      <c r="Z85" s="19"/>
      <c r="AA85" s="19"/>
      <c r="AB85" s="19"/>
      <c r="AC85" s="19"/>
      <c r="AD85" s="19"/>
      <c r="AE85" s="19"/>
      <c r="AF85" s="20"/>
    </row>
    <row r="86" spans="1:32" ht="15.75" customHeight="1">
      <c r="B86" s="16" t="s">
        <v>131</v>
      </c>
      <c r="C86" s="8" t="s">
        <v>132</v>
      </c>
      <c r="E86" s="8">
        <v>1</v>
      </c>
      <c r="F86" s="8">
        <v>1336</v>
      </c>
      <c r="G86" s="8">
        <v>2044</v>
      </c>
      <c r="H86" s="8">
        <v>2451</v>
      </c>
      <c r="I86" s="8">
        <v>2922</v>
      </c>
      <c r="J86" s="8">
        <v>3451</v>
      </c>
      <c r="K86" s="8">
        <v>4043</v>
      </c>
      <c r="L86" s="8">
        <v>2945</v>
      </c>
      <c r="M86" s="8">
        <v>753.03917836265612</v>
      </c>
      <c r="N86" s="8">
        <v>2092</v>
      </c>
      <c r="O86" s="8">
        <v>282</v>
      </c>
      <c r="R86" s="124"/>
      <c r="S86" s="129">
        <f t="shared" ref="S86" si="144">ROUND((N86-2100)/N86*100,2)</f>
        <v>-0.38</v>
      </c>
      <c r="T86" s="124">
        <f t="shared" ref="T86" si="145">ROUND((N86-2100)/N86*100,2)</f>
        <v>-0.38</v>
      </c>
      <c r="U86" s="124">
        <f t="shared" si="110"/>
        <v>0.78</v>
      </c>
      <c r="V86" s="131">
        <f t="shared" si="111"/>
        <v>13.48</v>
      </c>
      <c r="W86" s="145">
        <f t="shared" si="112"/>
        <v>0.38</v>
      </c>
      <c r="Y86" s="21"/>
      <c r="Z86" s="22"/>
      <c r="AA86" s="22"/>
      <c r="AB86" s="22"/>
      <c r="AC86" s="22"/>
      <c r="AD86" s="22"/>
      <c r="AE86" s="22"/>
      <c r="AF86" s="23"/>
    </row>
    <row r="87" spans="1:32" ht="15.75" customHeight="1">
      <c r="B87" s="16"/>
      <c r="E87" s="8">
        <v>2</v>
      </c>
      <c r="F87" s="8">
        <v>10056</v>
      </c>
      <c r="G87" s="8">
        <v>14459</v>
      </c>
      <c r="H87" s="8">
        <v>17188</v>
      </c>
      <c r="I87" s="8">
        <v>20330</v>
      </c>
      <c r="J87" s="8">
        <v>23942</v>
      </c>
      <c r="K87" s="8">
        <v>28120</v>
      </c>
      <c r="L87" s="8">
        <v>20432</v>
      </c>
      <c r="M87" s="8">
        <v>745.18487889544156</v>
      </c>
      <c r="N87" s="8">
        <v>14073</v>
      </c>
      <c r="O87" s="8">
        <v>337</v>
      </c>
      <c r="R87" s="124"/>
      <c r="S87" s="129">
        <f t="shared" ref="S87" si="146">ROUND((N87-14000)/N87*100,2)</f>
        <v>0.52</v>
      </c>
      <c r="T87" s="124">
        <f t="shared" ref="T87" si="147">ROUND((N87-14000)/N87*100,2)</f>
        <v>0.52</v>
      </c>
      <c r="U87" s="124">
        <f t="shared" si="110"/>
        <v>0.5</v>
      </c>
      <c r="V87" s="131">
        <f t="shared" si="111"/>
        <v>2.395</v>
      </c>
      <c r="W87" s="145">
        <f t="shared" si="112"/>
        <v>0.52</v>
      </c>
      <c r="Y87" s="21" t="s">
        <v>22</v>
      </c>
      <c r="Z87" s="22" t="s">
        <v>133</v>
      </c>
      <c r="AA87" s="22"/>
      <c r="AB87" s="22"/>
      <c r="AC87" s="22"/>
      <c r="AD87" s="22"/>
      <c r="AE87" s="22"/>
      <c r="AF87" s="23"/>
    </row>
    <row r="88" spans="1:32" ht="15.75" customHeight="1">
      <c r="B88" s="16"/>
      <c r="D88" s="8" t="s">
        <v>134</v>
      </c>
      <c r="E88" s="8">
        <v>3</v>
      </c>
      <c r="F88" s="8">
        <v>32454</v>
      </c>
      <c r="G88" s="8">
        <v>46597</v>
      </c>
      <c r="H88" s="8">
        <v>55313</v>
      </c>
      <c r="I88" s="8">
        <v>62851</v>
      </c>
      <c r="J88" s="8" t="s">
        <v>33</v>
      </c>
      <c r="K88" s="8" t="s">
        <v>33</v>
      </c>
      <c r="L88" s="8">
        <v>62932</v>
      </c>
      <c r="M88" s="52">
        <v>748.07586967788666</v>
      </c>
      <c r="N88" s="8">
        <v>46091</v>
      </c>
      <c r="O88" s="8">
        <v>436</v>
      </c>
      <c r="P88" s="8">
        <v>745</v>
      </c>
      <c r="Q88" s="8">
        <v>45102</v>
      </c>
      <c r="R88" s="124">
        <v>439</v>
      </c>
      <c r="S88" s="129">
        <f t="shared" ref="S88" si="148">ROUND((N88-45000)/N88*100,2)</f>
        <v>2.37</v>
      </c>
      <c r="T88" s="124">
        <f>ROUND((Q88-45000)/Q88*100,2)</f>
        <v>0.23</v>
      </c>
      <c r="U88" s="124">
        <f t="shared" si="110"/>
        <v>0.13</v>
      </c>
      <c r="V88" s="131">
        <f t="shared" si="111"/>
        <v>0.94599999999999995</v>
      </c>
      <c r="W88" s="145">
        <f t="shared" si="112"/>
        <v>0.23</v>
      </c>
      <c r="Y88" s="21" t="s">
        <v>122</v>
      </c>
      <c r="Z88" s="22" t="s">
        <v>135</v>
      </c>
      <c r="AA88" s="22"/>
      <c r="AB88" s="22"/>
      <c r="AC88" s="22"/>
      <c r="AD88" s="22"/>
      <c r="AE88" s="22"/>
      <c r="AF88" s="23"/>
    </row>
    <row r="89" spans="1:32" ht="15.75" customHeight="1">
      <c r="B89" s="16" t="s">
        <v>136</v>
      </c>
      <c r="C89" s="8" t="s">
        <v>137</v>
      </c>
      <c r="E89" s="8">
        <v>1</v>
      </c>
      <c r="F89" s="8">
        <v>1848</v>
      </c>
      <c r="G89" s="8">
        <v>2748</v>
      </c>
      <c r="H89" s="8">
        <v>3302</v>
      </c>
      <c r="I89" s="8">
        <v>3925</v>
      </c>
      <c r="J89" s="8">
        <v>4634</v>
      </c>
      <c r="K89" s="8">
        <v>5412</v>
      </c>
      <c r="L89" s="8">
        <v>4004</v>
      </c>
      <c r="M89" s="8">
        <v>715.32874434979044</v>
      </c>
      <c r="N89" s="8">
        <v>2150</v>
      </c>
      <c r="O89" s="8">
        <v>308</v>
      </c>
      <c r="R89" s="124"/>
      <c r="S89" s="129">
        <f t="shared" ref="S89" si="149">ROUND((N89-2100)/N89*100,2)</f>
        <v>2.33</v>
      </c>
      <c r="T89" s="124">
        <f t="shared" ref="T89" si="150">ROUND((N89-2100)/N89*100,2)</f>
        <v>2.33</v>
      </c>
      <c r="U89" s="124">
        <f t="shared" si="110"/>
        <v>1.97</v>
      </c>
      <c r="V89" s="131">
        <f t="shared" si="111"/>
        <v>14.326000000000001</v>
      </c>
      <c r="W89" s="145">
        <f t="shared" si="112"/>
        <v>2.33</v>
      </c>
      <c r="Y89" s="21"/>
      <c r="Z89" s="22"/>
      <c r="AA89" s="22"/>
      <c r="AB89" s="22"/>
      <c r="AC89" s="22"/>
      <c r="AD89" s="22"/>
      <c r="AE89" s="22"/>
      <c r="AF89" s="23"/>
    </row>
    <row r="90" spans="1:32" ht="15.75" customHeight="1">
      <c r="B90" s="16"/>
      <c r="E90" s="8">
        <v>2</v>
      </c>
      <c r="F90" s="8">
        <v>13261</v>
      </c>
      <c r="G90" s="8">
        <v>19139</v>
      </c>
      <c r="H90" s="8">
        <v>22770</v>
      </c>
      <c r="I90" s="8">
        <v>27965</v>
      </c>
      <c r="J90" s="8">
        <v>31707</v>
      </c>
      <c r="K90" s="8">
        <v>36887</v>
      </c>
      <c r="L90" s="8">
        <v>27280</v>
      </c>
      <c r="M90" s="8">
        <v>707.99412418020302</v>
      </c>
      <c r="N90" s="8">
        <v>14244</v>
      </c>
      <c r="O90" s="8">
        <v>356</v>
      </c>
      <c r="P90" s="8">
        <v>707</v>
      </c>
      <c r="Q90" s="8">
        <v>14151</v>
      </c>
      <c r="R90" s="124">
        <v>354</v>
      </c>
      <c r="S90" s="129">
        <f t="shared" ref="S90" si="151">ROUND((N90-14000)/N90*100,2)</f>
        <v>1.71</v>
      </c>
      <c r="T90" s="124">
        <f>ROUND((Q90-14000)/Q90*100,2)</f>
        <v>1.07</v>
      </c>
      <c r="U90" s="124">
        <f t="shared" si="110"/>
        <v>-2.5099999999999998</v>
      </c>
      <c r="V90" s="131">
        <f t="shared" si="111"/>
        <v>2.4990000000000001</v>
      </c>
      <c r="W90" s="145">
        <f t="shared" si="112"/>
        <v>1.07</v>
      </c>
      <c r="Y90" s="21"/>
      <c r="Z90" s="22"/>
      <c r="AA90" s="22"/>
      <c r="AB90" s="22"/>
      <c r="AC90" s="22"/>
      <c r="AD90" s="22"/>
      <c r="AE90" s="22"/>
      <c r="AF90" s="23"/>
    </row>
    <row r="91" spans="1:32" ht="15.75" customHeight="1" thickBot="1">
      <c r="B91" s="24"/>
      <c r="C91" s="25"/>
      <c r="D91" s="25" t="s">
        <v>138</v>
      </c>
      <c r="E91" s="25">
        <v>3</v>
      </c>
      <c r="F91" s="25">
        <v>41050</v>
      </c>
      <c r="G91" s="25">
        <v>57979</v>
      </c>
      <c r="H91" s="25">
        <v>65187</v>
      </c>
      <c r="I91" s="25" t="s">
        <v>33</v>
      </c>
      <c r="J91" s="25" t="s">
        <v>33</v>
      </c>
      <c r="K91" s="25" t="s">
        <v>33</v>
      </c>
      <c r="L91" s="25" t="s">
        <v>34</v>
      </c>
      <c r="M91" s="8">
        <v>713.3643234553391</v>
      </c>
      <c r="N91" s="25">
        <v>45694</v>
      </c>
      <c r="O91" s="25"/>
      <c r="P91" s="25">
        <v>712</v>
      </c>
      <c r="Q91" s="25">
        <v>45059</v>
      </c>
      <c r="R91" s="25">
        <v>442</v>
      </c>
      <c r="S91" s="129">
        <f t="shared" ref="S91" si="152">ROUND((N91-45000)/N91*100,2)</f>
        <v>1.52</v>
      </c>
      <c r="T91" s="124">
        <f>ROUND((Q91-45000)/Q91*100,2)</f>
        <v>0.13</v>
      </c>
      <c r="U91" s="124" t="e">
        <f t="shared" si="110"/>
        <v>#VALUE!</v>
      </c>
      <c r="V91" s="131">
        <f t="shared" si="111"/>
        <v>0</v>
      </c>
      <c r="W91" s="145">
        <f t="shared" si="112"/>
        <v>0.13</v>
      </c>
      <c r="Y91" s="36"/>
      <c r="Z91" s="37"/>
      <c r="AA91" s="37"/>
      <c r="AB91" s="37"/>
      <c r="AC91" s="37"/>
      <c r="AD91" s="37"/>
      <c r="AE91" s="37"/>
      <c r="AF91" s="38"/>
    </row>
    <row r="92" spans="1:32" ht="15.75" customHeight="1" thickBot="1">
      <c r="A92" s="39" t="s">
        <v>139</v>
      </c>
      <c r="B92" s="167" t="s">
        <v>140</v>
      </c>
      <c r="C92" s="165" t="s">
        <v>141</v>
      </c>
      <c r="D92" s="11"/>
      <c r="E92" s="11">
        <v>1</v>
      </c>
      <c r="F92" s="11">
        <v>1401</v>
      </c>
      <c r="G92" s="11">
        <v>2078</v>
      </c>
      <c r="H92" s="11">
        <v>2471</v>
      </c>
      <c r="I92" s="11">
        <v>2913</v>
      </c>
      <c r="J92" s="11">
        <v>3404</v>
      </c>
      <c r="K92" s="11">
        <v>3948</v>
      </c>
      <c r="L92" s="11">
        <v>2818</v>
      </c>
      <c r="M92" s="11">
        <v>751.55142560684578</v>
      </c>
      <c r="N92" s="11">
        <v>2024</v>
      </c>
      <c r="O92" s="11">
        <v>286</v>
      </c>
      <c r="P92" s="11">
        <v>753</v>
      </c>
      <c r="Q92" s="11">
        <v>2070</v>
      </c>
      <c r="R92" s="11">
        <v>286</v>
      </c>
      <c r="S92" s="129">
        <f t="shared" ref="S92" si="153">ROUND((N92-2100)/N92*100,2)</f>
        <v>-3.75</v>
      </c>
      <c r="T92" s="124">
        <f>ROUND((Q92-2100)/Q92*100,2)</f>
        <v>-1.45</v>
      </c>
      <c r="U92" s="124">
        <f t="shared" si="110"/>
        <v>-3.37</v>
      </c>
      <c r="V92" s="131">
        <f t="shared" si="111"/>
        <v>14.13</v>
      </c>
      <c r="W92" s="145">
        <f t="shared" si="112"/>
        <v>1.45</v>
      </c>
    </row>
    <row r="93" spans="1:32" ht="15.75" customHeight="1">
      <c r="B93" s="16"/>
      <c r="E93" s="8">
        <v>2</v>
      </c>
      <c r="F93" s="8">
        <v>9856</v>
      </c>
      <c r="G93" s="8">
        <v>13753</v>
      </c>
      <c r="H93" s="8">
        <v>16045</v>
      </c>
      <c r="I93" s="8">
        <v>19624</v>
      </c>
      <c r="J93" s="8">
        <v>21423</v>
      </c>
      <c r="K93" s="8">
        <v>24511</v>
      </c>
      <c r="L93" s="8">
        <v>18312</v>
      </c>
      <c r="M93" s="8">
        <v>749.59021453322896</v>
      </c>
      <c r="N93" s="8">
        <v>13469</v>
      </c>
      <c r="O93" s="8">
        <v>331</v>
      </c>
      <c r="P93" s="8">
        <v>752.5</v>
      </c>
      <c r="Q93" s="8">
        <v>13806</v>
      </c>
      <c r="R93" s="124">
        <v>332</v>
      </c>
      <c r="S93" s="129">
        <f t="shared" ref="S93" si="154">ROUND((N93-14000)/N93*100,2)</f>
        <v>-3.94</v>
      </c>
      <c r="T93" s="124">
        <f>ROUND((Q93-14000)/Q93*100,2)</f>
        <v>-1.41</v>
      </c>
      <c r="U93" s="124">
        <f t="shared" si="110"/>
        <v>-7.16</v>
      </c>
      <c r="V93" s="131">
        <f t="shared" si="111"/>
        <v>2.4569999999999999</v>
      </c>
      <c r="W93" s="145">
        <f t="shared" si="112"/>
        <v>1.41</v>
      </c>
    </row>
    <row r="94" spans="1:32" ht="15.75" customHeight="1">
      <c r="B94" s="16"/>
      <c r="D94" s="8" t="s">
        <v>142</v>
      </c>
      <c r="E94" s="8">
        <v>3</v>
      </c>
      <c r="F94" s="8">
        <v>29110</v>
      </c>
      <c r="G94" s="8">
        <v>39151</v>
      </c>
      <c r="H94" s="8">
        <v>45011</v>
      </c>
      <c r="I94" s="8">
        <v>51349</v>
      </c>
      <c r="J94" s="8">
        <v>57971</v>
      </c>
      <c r="K94" s="8">
        <v>63659</v>
      </c>
      <c r="L94" s="8">
        <v>51016</v>
      </c>
      <c r="M94" s="8">
        <v>774.02440804093885</v>
      </c>
      <c r="N94" s="8">
        <v>44467</v>
      </c>
      <c r="O94" s="8">
        <v>393</v>
      </c>
      <c r="P94" s="8">
        <v>776</v>
      </c>
      <c r="Q94" s="8">
        <v>44949</v>
      </c>
      <c r="R94" s="124">
        <v>402</v>
      </c>
      <c r="S94" s="129">
        <f t="shared" ref="S94" si="155">ROUND((N94-45000)/N94*100,2)</f>
        <v>-1.2</v>
      </c>
      <c r="T94" s="124">
        <f>ROUND((Q94-45000)/Q94*100,2)</f>
        <v>-0.11</v>
      </c>
      <c r="U94" s="124">
        <f t="shared" si="110"/>
        <v>-0.65</v>
      </c>
      <c r="V94" s="131">
        <f t="shared" si="111"/>
        <v>0.88400000000000001</v>
      </c>
      <c r="W94" s="145">
        <f t="shared" si="112"/>
        <v>0.11</v>
      </c>
      <c r="Z94" s="8" t="s">
        <v>122</v>
      </c>
      <c r="AA94" s="8" t="s">
        <v>143</v>
      </c>
    </row>
    <row r="95" spans="1:32" ht="15.75" customHeight="1">
      <c r="B95" s="16" t="s">
        <v>144</v>
      </c>
      <c r="C95" s="8" t="s">
        <v>145</v>
      </c>
      <c r="E95" s="8">
        <v>1</v>
      </c>
      <c r="F95" s="8">
        <v>1172</v>
      </c>
      <c r="G95" s="8">
        <v>1727</v>
      </c>
      <c r="H95" s="8">
        <v>2011</v>
      </c>
      <c r="I95" s="8">
        <v>2324</v>
      </c>
      <c r="J95" s="8">
        <v>2673</v>
      </c>
      <c r="K95" s="8">
        <v>3050</v>
      </c>
      <c r="L95" s="8">
        <v>2280</v>
      </c>
      <c r="M95" s="8">
        <v>781.6204795256233</v>
      </c>
      <c r="N95" s="8">
        <v>2046</v>
      </c>
      <c r="O95" s="8">
        <v>296</v>
      </c>
      <c r="P95" s="8">
        <v>784</v>
      </c>
      <c r="Q95" s="8">
        <v>2068</v>
      </c>
      <c r="R95" s="124">
        <v>294</v>
      </c>
      <c r="S95" s="129">
        <f t="shared" ref="S95" si="156">ROUND((N95-2100)/N95*100,2)</f>
        <v>-2.64</v>
      </c>
      <c r="T95" s="124">
        <f>ROUND((Q95-2100)/Q95*100,2)</f>
        <v>-1.55</v>
      </c>
      <c r="U95" s="124">
        <f t="shared" si="110"/>
        <v>-1.93</v>
      </c>
      <c r="V95" s="131">
        <f t="shared" si="111"/>
        <v>14.467000000000001</v>
      </c>
      <c r="W95" s="145">
        <f t="shared" si="112"/>
        <v>1.55</v>
      </c>
      <c r="Y95" s="8" t="s">
        <v>22</v>
      </c>
      <c r="Z95" s="8" t="s">
        <v>146</v>
      </c>
    </row>
    <row r="96" spans="1:32" ht="15.75" customHeight="1" thickBot="1">
      <c r="B96" s="16"/>
      <c r="E96" s="8">
        <v>2</v>
      </c>
      <c r="F96" s="8">
        <v>8943</v>
      </c>
      <c r="G96" s="8">
        <v>11973</v>
      </c>
      <c r="H96" s="8">
        <v>13705</v>
      </c>
      <c r="I96" s="8">
        <v>15594</v>
      </c>
      <c r="J96" s="8">
        <v>17615</v>
      </c>
      <c r="K96" s="8">
        <v>19795</v>
      </c>
      <c r="L96" s="8">
        <v>15387</v>
      </c>
      <c r="M96" s="8">
        <v>778.17667065548721</v>
      </c>
      <c r="N96" s="8">
        <v>13746</v>
      </c>
      <c r="O96" s="8">
        <v>344</v>
      </c>
      <c r="P96" s="8">
        <v>779.5</v>
      </c>
      <c r="Q96" s="8">
        <v>13846</v>
      </c>
      <c r="R96" s="124">
        <v>349</v>
      </c>
      <c r="S96" s="129">
        <f t="shared" ref="S96" si="157">ROUND((N96-14000)/N96*100,2)</f>
        <v>-1.85</v>
      </c>
      <c r="T96" s="124">
        <f>ROUND((Q96-14000)/Q96*100,2)</f>
        <v>-1.1100000000000001</v>
      </c>
      <c r="U96" s="124">
        <f t="shared" si="110"/>
        <v>-1.35</v>
      </c>
      <c r="V96" s="131">
        <f t="shared" si="111"/>
        <v>2.5030000000000001</v>
      </c>
      <c r="W96" s="145">
        <f t="shared" si="112"/>
        <v>1.1100000000000001</v>
      </c>
      <c r="Y96" s="8" t="s">
        <v>22</v>
      </c>
      <c r="Z96" s="8" t="s">
        <v>147</v>
      </c>
    </row>
    <row r="97" spans="1:28" ht="15.75" customHeight="1" thickBot="1">
      <c r="B97" s="16"/>
      <c r="D97" s="8" t="s">
        <v>148</v>
      </c>
      <c r="E97" s="8">
        <v>3</v>
      </c>
      <c r="F97" s="8">
        <v>26520</v>
      </c>
      <c r="G97" s="8">
        <v>34788</v>
      </c>
      <c r="H97" s="8">
        <v>39450</v>
      </c>
      <c r="I97" s="8">
        <v>44474</v>
      </c>
      <c r="J97" s="8">
        <v>49787</v>
      </c>
      <c r="K97" s="8">
        <v>54788</v>
      </c>
      <c r="L97" s="8">
        <v>44057</v>
      </c>
      <c r="M97" s="8">
        <v>802.11786990806615</v>
      </c>
      <c r="N97" s="8">
        <v>44517</v>
      </c>
      <c r="O97" s="8">
        <v>420</v>
      </c>
      <c r="P97" s="8">
        <v>804</v>
      </c>
      <c r="Q97" s="8">
        <v>44917</v>
      </c>
      <c r="R97" s="124">
        <v>418</v>
      </c>
      <c r="S97" s="129">
        <f t="shared" ref="S97" si="158">ROUND((N97-45000)/N97*100,2)</f>
        <v>-1.08</v>
      </c>
      <c r="T97" s="124">
        <f>ROUND((Q97-45000)/Q97*100,2)</f>
        <v>-0.18</v>
      </c>
      <c r="U97" s="124">
        <f t="shared" si="110"/>
        <v>-0.95</v>
      </c>
      <c r="V97" s="131">
        <f t="shared" si="111"/>
        <v>0.94299999999999995</v>
      </c>
      <c r="W97" s="145">
        <f t="shared" si="112"/>
        <v>0.18</v>
      </c>
      <c r="Y97" s="53"/>
      <c r="Z97" s="8" t="s">
        <v>149</v>
      </c>
      <c r="AB97" s="8" t="s">
        <v>150</v>
      </c>
    </row>
    <row r="98" spans="1:28" ht="15.75" customHeight="1">
      <c r="B98" s="16" t="s">
        <v>151</v>
      </c>
      <c r="C98" s="8" t="s">
        <v>152</v>
      </c>
      <c r="E98" s="8">
        <v>1</v>
      </c>
      <c r="F98" s="8">
        <v>966</v>
      </c>
      <c r="G98" s="8">
        <v>1445</v>
      </c>
      <c r="H98" s="8">
        <v>1762</v>
      </c>
      <c r="I98" s="8">
        <v>2100</v>
      </c>
      <c r="J98" s="8">
        <v>2480</v>
      </c>
      <c r="K98" s="8">
        <v>2913</v>
      </c>
      <c r="L98" s="8">
        <v>2139</v>
      </c>
      <c r="M98" s="8">
        <v>799.64253252696517</v>
      </c>
      <c r="N98" s="8">
        <v>2076</v>
      </c>
      <c r="O98" s="8">
        <v>286</v>
      </c>
      <c r="R98" s="124"/>
      <c r="S98" s="129">
        <f t="shared" ref="S98" si="159">ROUND((N98-2100)/N98*100,2)</f>
        <v>-1.1599999999999999</v>
      </c>
      <c r="T98" s="124">
        <f t="shared" ref="T98" si="160">ROUND((N98-2100)/N98*100,2)</f>
        <v>-1.1599999999999999</v>
      </c>
      <c r="U98" s="124">
        <f t="shared" si="110"/>
        <v>1.82</v>
      </c>
      <c r="V98" s="131">
        <f t="shared" si="111"/>
        <v>13.776</v>
      </c>
      <c r="W98" s="145">
        <f t="shared" si="112"/>
        <v>1.1599999999999999</v>
      </c>
    </row>
    <row r="99" spans="1:28" ht="15.75" customHeight="1">
      <c r="B99" s="16"/>
      <c r="E99" s="8">
        <v>2</v>
      </c>
      <c r="F99" s="8">
        <v>7805</v>
      </c>
      <c r="G99" s="8">
        <v>10964</v>
      </c>
      <c r="H99" s="8">
        <v>12835</v>
      </c>
      <c r="I99" s="8">
        <v>14955</v>
      </c>
      <c r="J99" s="8">
        <v>17311</v>
      </c>
      <c r="K99" s="8">
        <v>19938</v>
      </c>
      <c r="L99" s="8">
        <v>15053</v>
      </c>
      <c r="M99" s="8">
        <v>788.7905285563802</v>
      </c>
      <c r="N99" s="8">
        <v>13927</v>
      </c>
      <c r="O99" s="8">
        <v>342</v>
      </c>
      <c r="R99" s="124"/>
      <c r="S99" s="129">
        <f t="shared" ref="S99" si="161">ROUND((N99-14000)/N99*100,2)</f>
        <v>-0.52</v>
      </c>
      <c r="T99" s="124">
        <f t="shared" ref="T99" si="162">ROUND((N99-14000)/N99*100,2)</f>
        <v>-0.52</v>
      </c>
      <c r="U99" s="124">
        <f t="shared" si="110"/>
        <v>0.65</v>
      </c>
      <c r="V99" s="131">
        <f t="shared" si="111"/>
        <v>2.456</v>
      </c>
      <c r="W99" s="145">
        <f t="shared" si="112"/>
        <v>0.52</v>
      </c>
    </row>
    <row r="100" spans="1:28" ht="15.75" customHeight="1">
      <c r="B100" s="16"/>
      <c r="D100" s="8" t="s">
        <v>153</v>
      </c>
      <c r="E100" s="8">
        <v>3</v>
      </c>
      <c r="F100" s="8">
        <v>24206</v>
      </c>
      <c r="G100" s="8">
        <v>32987</v>
      </c>
      <c r="H100" s="35">
        <v>38039</v>
      </c>
      <c r="I100" s="35">
        <v>43553</v>
      </c>
      <c r="J100" s="52">
        <v>49707</v>
      </c>
      <c r="K100" s="52">
        <v>55769</v>
      </c>
      <c r="L100" s="8">
        <v>43514</v>
      </c>
      <c r="M100" s="8">
        <v>805.83481780647753</v>
      </c>
      <c r="N100" s="8">
        <v>44812</v>
      </c>
      <c r="O100" s="8">
        <v>455</v>
      </c>
      <c r="R100" s="124"/>
      <c r="S100" s="129">
        <f t="shared" ref="S100" si="163">ROUND((N100-45000)/N100*100,2)</f>
        <v>-0.42</v>
      </c>
      <c r="T100" s="124">
        <f t="shared" ref="T100" si="164">ROUND((N100-45000)/N100*100,2)</f>
        <v>-0.42</v>
      </c>
      <c r="U100" s="124">
        <f t="shared" si="110"/>
        <v>-0.09</v>
      </c>
      <c r="V100" s="131">
        <f t="shared" si="111"/>
        <v>1.0149999999999999</v>
      </c>
      <c r="W100" s="145">
        <f t="shared" si="112"/>
        <v>0.42</v>
      </c>
      <c r="Z100" s="8" t="s">
        <v>22</v>
      </c>
      <c r="AA100" s="8" t="s">
        <v>154</v>
      </c>
    </row>
    <row r="101" spans="1:28" ht="15.75" customHeight="1">
      <c r="B101" s="16" t="s">
        <v>155</v>
      </c>
      <c r="C101" s="8" t="s">
        <v>156</v>
      </c>
      <c r="E101" s="8">
        <v>1</v>
      </c>
      <c r="F101" s="8">
        <v>988</v>
      </c>
      <c r="G101" s="8">
        <v>1518</v>
      </c>
      <c r="H101" s="8">
        <v>1828</v>
      </c>
      <c r="I101" s="8">
        <v>2172</v>
      </c>
      <c r="J101" s="8">
        <v>2551</v>
      </c>
      <c r="K101" s="8">
        <v>2963</v>
      </c>
      <c r="L101" s="8">
        <v>2190</v>
      </c>
      <c r="M101" s="8">
        <v>795.10182816481233</v>
      </c>
      <c r="N101" s="8">
        <v>2122</v>
      </c>
      <c r="O101" s="8">
        <v>304</v>
      </c>
      <c r="R101" s="124"/>
      <c r="S101" s="129">
        <f t="shared" ref="S101" si="165">ROUND((N101-2100)/N101*100,2)</f>
        <v>1.04</v>
      </c>
      <c r="T101" s="124">
        <f t="shared" ref="T101" si="166">ROUND((N101-2100)/N101*100,2)</f>
        <v>1.04</v>
      </c>
      <c r="U101" s="124">
        <f t="shared" si="110"/>
        <v>0.82</v>
      </c>
      <c r="V101" s="131">
        <f t="shared" si="111"/>
        <v>14.326000000000001</v>
      </c>
      <c r="W101" s="145">
        <f t="shared" si="112"/>
        <v>1.04</v>
      </c>
    </row>
    <row r="102" spans="1:28" ht="15.75" customHeight="1">
      <c r="B102" s="16"/>
      <c r="E102" s="8">
        <v>2</v>
      </c>
      <c r="F102" s="8">
        <v>7525</v>
      </c>
      <c r="G102" s="8">
        <v>10626</v>
      </c>
      <c r="H102" s="8">
        <v>12477</v>
      </c>
      <c r="I102" s="8">
        <v>14564</v>
      </c>
      <c r="J102" s="8">
        <v>16914</v>
      </c>
      <c r="K102" s="8">
        <v>19580</v>
      </c>
      <c r="L102" s="8">
        <v>14675</v>
      </c>
      <c r="M102" s="8">
        <v>793.27780912009189</v>
      </c>
      <c r="N102" s="8">
        <v>14066</v>
      </c>
      <c r="O102" s="8">
        <v>360</v>
      </c>
      <c r="R102" s="124"/>
      <c r="S102" s="129">
        <f t="shared" ref="S102" si="167">ROUND((N102-14000)/N102*100,2)</f>
        <v>0.47</v>
      </c>
      <c r="T102" s="124">
        <f t="shared" ref="T102" si="168">ROUND((N102-14000)/N102*100,2)</f>
        <v>0.47</v>
      </c>
      <c r="U102" s="124">
        <f t="shared" si="110"/>
        <v>0.76</v>
      </c>
      <c r="V102" s="131">
        <f t="shared" si="111"/>
        <v>2.5590000000000002</v>
      </c>
      <c r="W102" s="145">
        <f t="shared" si="112"/>
        <v>0.47</v>
      </c>
    </row>
    <row r="103" spans="1:28" ht="15.75" customHeight="1">
      <c r="B103" s="16"/>
      <c r="D103" s="8" t="s">
        <v>157</v>
      </c>
      <c r="E103" s="8">
        <v>3</v>
      </c>
      <c r="F103" s="8">
        <v>23656</v>
      </c>
      <c r="G103" s="8">
        <v>33181</v>
      </c>
      <c r="H103" s="8">
        <v>38716</v>
      </c>
      <c r="I103" s="8">
        <v>45403</v>
      </c>
      <c r="J103" s="8">
        <v>52966</v>
      </c>
      <c r="K103" s="8">
        <v>60208</v>
      </c>
      <c r="L103" s="8">
        <v>45528</v>
      </c>
      <c r="M103" s="8">
        <v>797.67409666512526</v>
      </c>
      <c r="N103" s="8">
        <v>44877</v>
      </c>
      <c r="O103" s="8">
        <v>444</v>
      </c>
      <c r="R103" s="124"/>
      <c r="S103" s="129">
        <f t="shared" ref="S103" si="169">ROUND((N103-45000)/N103*100,2)</f>
        <v>-0.27</v>
      </c>
      <c r="T103" s="124">
        <f t="shared" ref="T103" si="170">ROUND((N103-45000)/N103*100,2)</f>
        <v>-0.27</v>
      </c>
      <c r="U103" s="124">
        <f t="shared" si="110"/>
        <v>0.27</v>
      </c>
      <c r="V103" s="131">
        <f t="shared" si="111"/>
        <v>0.98899999999999999</v>
      </c>
      <c r="W103" s="145">
        <f t="shared" si="112"/>
        <v>0.27</v>
      </c>
    </row>
    <row r="104" spans="1:28" ht="15.75" customHeight="1">
      <c r="B104" s="16" t="s">
        <v>158</v>
      </c>
      <c r="C104" s="8" t="s">
        <v>159</v>
      </c>
      <c r="E104" s="8">
        <v>1</v>
      </c>
      <c r="F104" s="8">
        <v>975</v>
      </c>
      <c r="G104" s="8">
        <v>1455</v>
      </c>
      <c r="H104" s="8">
        <v>1760</v>
      </c>
      <c r="I104" s="8">
        <v>2086</v>
      </c>
      <c r="J104" s="8">
        <v>2457</v>
      </c>
      <c r="K104" s="8">
        <v>2867</v>
      </c>
      <c r="L104" s="8">
        <v>2141</v>
      </c>
      <c r="M104" s="8">
        <v>801.11328065142891</v>
      </c>
      <c r="N104" s="8">
        <v>2160</v>
      </c>
      <c r="R104" s="124"/>
      <c r="S104" s="129">
        <f t="shared" ref="S104" si="171">ROUND((N104-2100)/N104*100,2)</f>
        <v>2.78</v>
      </c>
      <c r="T104" s="124">
        <f t="shared" ref="T104" si="172">ROUND((N104-2100)/N104*100,2)</f>
        <v>2.78</v>
      </c>
      <c r="U104" s="124">
        <f t="shared" si="110"/>
        <v>2.57</v>
      </c>
      <c r="V104" s="131">
        <f t="shared" si="111"/>
        <v>0</v>
      </c>
      <c r="W104" s="145">
        <f t="shared" si="112"/>
        <v>2.78</v>
      </c>
    </row>
    <row r="105" spans="1:28" ht="15.75" customHeight="1">
      <c r="B105" s="16"/>
      <c r="E105" s="8">
        <v>2</v>
      </c>
      <c r="F105" s="8">
        <v>7487</v>
      </c>
      <c r="G105" s="8">
        <v>10501</v>
      </c>
      <c r="H105" s="8">
        <v>12290</v>
      </c>
      <c r="I105" s="8">
        <v>14320</v>
      </c>
      <c r="J105" s="8">
        <v>16616</v>
      </c>
      <c r="K105" s="8">
        <v>19159</v>
      </c>
      <c r="L105" s="8">
        <v>14560</v>
      </c>
      <c r="M105" s="8">
        <v>796.49969628435383</v>
      </c>
      <c r="N105" s="8">
        <v>14260</v>
      </c>
      <c r="O105" s="8">
        <v>345</v>
      </c>
      <c r="R105" s="124"/>
      <c r="S105" s="129">
        <f t="shared" ref="S105" si="173">ROUND((N105-14000)/N105*100,2)</f>
        <v>1.82</v>
      </c>
      <c r="T105" s="124">
        <f t="shared" ref="T105" si="174">ROUND((N105-14000)/N105*100,2)</f>
        <v>1.82</v>
      </c>
      <c r="U105" s="124">
        <f t="shared" si="110"/>
        <v>1.65</v>
      </c>
      <c r="V105" s="131">
        <f t="shared" si="111"/>
        <v>2.419</v>
      </c>
      <c r="W105" s="145">
        <f t="shared" si="112"/>
        <v>1.82</v>
      </c>
    </row>
    <row r="106" spans="1:28" ht="15.75" customHeight="1" thickBot="1">
      <c r="B106" s="24"/>
      <c r="C106" s="25"/>
      <c r="D106" s="25" t="s">
        <v>160</v>
      </c>
      <c r="E106" s="25">
        <v>3</v>
      </c>
      <c r="F106" s="25">
        <v>23074</v>
      </c>
      <c r="G106" s="25">
        <v>31390</v>
      </c>
      <c r="H106" s="25">
        <v>36230</v>
      </c>
      <c r="I106" s="25">
        <v>41863</v>
      </c>
      <c r="J106" s="25">
        <v>48207</v>
      </c>
      <c r="K106" s="25">
        <v>55033</v>
      </c>
      <c r="L106" s="25">
        <v>42260</v>
      </c>
      <c r="M106" s="25">
        <v>813.84738013547553</v>
      </c>
      <c r="N106" s="25">
        <v>45728</v>
      </c>
      <c r="O106" s="25">
        <v>422</v>
      </c>
      <c r="P106" s="25">
        <v>810</v>
      </c>
      <c r="Q106" s="25">
        <v>44785</v>
      </c>
      <c r="R106" s="25">
        <v>418</v>
      </c>
      <c r="S106" s="129">
        <f t="shared" ref="S106" si="175">ROUND((N106-45000)/N106*100,2)</f>
        <v>1.59</v>
      </c>
      <c r="T106" s="124">
        <f>ROUND((Q106-45000)/Q106*100,2)</f>
        <v>-0.48</v>
      </c>
      <c r="U106" s="124">
        <f t="shared" si="110"/>
        <v>0.94</v>
      </c>
      <c r="V106" s="131">
        <f t="shared" si="111"/>
        <v>0.92300000000000004</v>
      </c>
      <c r="W106" s="145">
        <f t="shared" si="112"/>
        <v>0.48</v>
      </c>
    </row>
    <row r="107" spans="1:28" ht="15.75" customHeight="1" thickBot="1">
      <c r="A107" s="9" t="s">
        <v>161</v>
      </c>
      <c r="B107" s="10" t="s">
        <v>162</v>
      </c>
      <c r="C107" s="11" t="s">
        <v>163</v>
      </c>
      <c r="D107" s="11"/>
      <c r="E107" s="11">
        <v>1</v>
      </c>
      <c r="F107" s="11">
        <v>1036</v>
      </c>
      <c r="G107" s="11">
        <v>1632</v>
      </c>
      <c r="H107" s="11">
        <v>1959</v>
      </c>
      <c r="I107" s="11">
        <v>2338</v>
      </c>
      <c r="J107" s="11">
        <v>2762</v>
      </c>
      <c r="K107" s="11">
        <v>3237</v>
      </c>
      <c r="L107" s="11">
        <v>2381</v>
      </c>
      <c r="M107" s="11">
        <v>790.1</v>
      </c>
      <c r="N107" s="11">
        <v>2225</v>
      </c>
      <c r="O107" s="11">
        <v>254</v>
      </c>
      <c r="P107" s="11">
        <v>787.5</v>
      </c>
      <c r="Q107" s="11">
        <v>2180</v>
      </c>
      <c r="R107" s="11">
        <v>253</v>
      </c>
      <c r="S107" s="129">
        <f t="shared" ref="S107" si="176">ROUND((N107-2100)/N107*100,2)</f>
        <v>5.62</v>
      </c>
      <c r="T107" s="124">
        <f>ROUND((Q107-2100)/Q107*100,2)</f>
        <v>3.67</v>
      </c>
      <c r="U107" s="124">
        <f t="shared" si="110"/>
        <v>1.81</v>
      </c>
      <c r="V107" s="131">
        <f t="shared" si="111"/>
        <v>11.416</v>
      </c>
      <c r="W107" s="145">
        <f t="shared" si="112"/>
        <v>3.67</v>
      </c>
    </row>
    <row r="108" spans="1:28" ht="15.75" customHeight="1">
      <c r="B108" s="16"/>
      <c r="E108" s="8">
        <v>2</v>
      </c>
      <c r="F108" s="8">
        <v>8166</v>
      </c>
      <c r="G108" s="8">
        <v>11611</v>
      </c>
      <c r="H108" s="8">
        <v>13695</v>
      </c>
      <c r="I108" s="8">
        <v>16043</v>
      </c>
      <c r="J108" s="8">
        <v>18686</v>
      </c>
      <c r="K108" s="8">
        <v>21677</v>
      </c>
      <c r="L108" s="8">
        <v>16107</v>
      </c>
      <c r="M108" s="8">
        <v>777.6</v>
      </c>
      <c r="N108" s="8">
        <v>13980</v>
      </c>
      <c r="O108" s="8">
        <v>312</v>
      </c>
      <c r="R108" s="124"/>
      <c r="S108" s="129">
        <f t="shared" ref="S108" si="177">ROUND((N108-14000)/N108*100,2)</f>
        <v>-0.14000000000000001</v>
      </c>
      <c r="T108" s="124">
        <f t="shared" ref="T108" si="178">ROUND((N108-14000)/N108*100,2)</f>
        <v>-0.14000000000000001</v>
      </c>
      <c r="U108" s="124">
        <f t="shared" si="110"/>
        <v>0.4</v>
      </c>
      <c r="V108" s="131">
        <f t="shared" si="111"/>
        <v>2.2320000000000002</v>
      </c>
      <c r="W108" s="145">
        <f t="shared" si="112"/>
        <v>0.14000000000000001</v>
      </c>
    </row>
    <row r="109" spans="1:28" ht="15.75" customHeight="1">
      <c r="B109" s="16"/>
      <c r="D109" s="8" t="s">
        <v>164</v>
      </c>
      <c r="E109" s="8">
        <v>3</v>
      </c>
      <c r="F109" s="8">
        <v>24863</v>
      </c>
      <c r="G109" s="8">
        <v>34764</v>
      </c>
      <c r="H109" s="8">
        <v>40760</v>
      </c>
      <c r="I109" s="8">
        <v>47614</v>
      </c>
      <c r="J109" s="8">
        <v>55251</v>
      </c>
      <c r="K109" s="8">
        <v>62113</v>
      </c>
      <c r="L109" s="8">
        <v>47452</v>
      </c>
      <c r="M109" s="8">
        <v>783.7</v>
      </c>
      <c r="N109" s="8">
        <v>42982</v>
      </c>
      <c r="O109" s="8">
        <v>392</v>
      </c>
      <c r="P109" s="8">
        <v>790.5</v>
      </c>
      <c r="Q109" s="8">
        <v>44917</v>
      </c>
      <c r="R109" s="124">
        <v>403</v>
      </c>
      <c r="S109" s="129">
        <f t="shared" ref="S109" si="179">ROUND((N109-45000)/N109*100,2)</f>
        <v>-4.6900000000000004</v>
      </c>
      <c r="T109" s="124">
        <f>ROUND((Q109-45000)/Q109*100,2)</f>
        <v>-0.18</v>
      </c>
      <c r="U109" s="124">
        <f t="shared" si="110"/>
        <v>-0.34</v>
      </c>
      <c r="V109" s="131">
        <f t="shared" si="111"/>
        <v>0.91200000000000003</v>
      </c>
      <c r="W109" s="145">
        <f t="shared" si="112"/>
        <v>0.18</v>
      </c>
    </row>
    <row r="110" spans="1:28" ht="15.75" customHeight="1">
      <c r="B110" s="16" t="s">
        <v>165</v>
      </c>
      <c r="C110" s="8" t="s">
        <v>166</v>
      </c>
      <c r="E110" s="8">
        <v>1</v>
      </c>
      <c r="F110" s="8">
        <v>1311</v>
      </c>
      <c r="G110" s="8">
        <v>1983</v>
      </c>
      <c r="H110" s="8">
        <v>2374</v>
      </c>
      <c r="I110" s="8">
        <v>2810</v>
      </c>
      <c r="J110" s="8">
        <v>3306</v>
      </c>
      <c r="K110" s="8">
        <v>3861</v>
      </c>
      <c r="L110" s="8">
        <v>2821</v>
      </c>
      <c r="M110" s="8">
        <v>757.92054040131711</v>
      </c>
      <c r="N110" s="8">
        <v>2106</v>
      </c>
      <c r="O110" s="8">
        <v>260</v>
      </c>
      <c r="R110" s="124"/>
      <c r="S110" s="129">
        <f t="shared" ref="S110" si="180">ROUND((N110-2100)/N110*100,2)</f>
        <v>0.28000000000000003</v>
      </c>
      <c r="T110" s="124">
        <f t="shared" ref="T110" si="181">ROUND((N110-2100)/N110*100,2)</f>
        <v>0.28000000000000003</v>
      </c>
      <c r="U110" s="124">
        <f t="shared" si="110"/>
        <v>0.39</v>
      </c>
      <c r="V110" s="131">
        <f t="shared" si="111"/>
        <v>12.346</v>
      </c>
      <c r="W110" s="145">
        <f t="shared" si="112"/>
        <v>0.28000000000000003</v>
      </c>
    </row>
    <row r="111" spans="1:28" ht="15.75" customHeight="1">
      <c r="B111" s="16"/>
      <c r="E111" s="8">
        <v>2</v>
      </c>
      <c r="F111" s="8">
        <v>9641</v>
      </c>
      <c r="G111" s="8">
        <v>13735</v>
      </c>
      <c r="H111" s="8">
        <v>16230</v>
      </c>
      <c r="I111" s="8">
        <v>19080</v>
      </c>
      <c r="J111" s="8">
        <v>22308</v>
      </c>
      <c r="K111" s="8">
        <v>25914</v>
      </c>
      <c r="L111" s="8">
        <v>19094</v>
      </c>
      <c r="M111" s="8">
        <v>752.51976414898377</v>
      </c>
      <c r="N111" s="8">
        <v>13986</v>
      </c>
      <c r="O111" s="8">
        <v>313</v>
      </c>
      <c r="R111" s="124"/>
      <c r="S111" s="129">
        <f t="shared" ref="S111" si="182">ROUND((N111-14000)/N111*100,2)</f>
        <v>-0.1</v>
      </c>
      <c r="T111" s="124">
        <f t="shared" ref="T111" si="183">ROUND((N111-14000)/N111*100,2)</f>
        <v>-0.1</v>
      </c>
      <c r="U111" s="124">
        <f t="shared" si="110"/>
        <v>7.0000000000000007E-2</v>
      </c>
      <c r="V111" s="131">
        <f t="shared" si="111"/>
        <v>2.238</v>
      </c>
      <c r="W111" s="145">
        <f t="shared" si="112"/>
        <v>0.1</v>
      </c>
    </row>
    <row r="112" spans="1:28" ht="15.75" customHeight="1">
      <c r="B112" s="16"/>
      <c r="D112" s="8" t="s">
        <v>167</v>
      </c>
      <c r="E112" s="8">
        <v>3</v>
      </c>
      <c r="F112" s="8">
        <v>30193</v>
      </c>
      <c r="G112" s="8">
        <v>42667</v>
      </c>
      <c r="H112" s="8">
        <v>50268</v>
      </c>
      <c r="I112" s="8">
        <v>58237</v>
      </c>
      <c r="J112" s="8">
        <v>64817</v>
      </c>
      <c r="K112" s="8" t="s">
        <v>34</v>
      </c>
      <c r="L112" s="8">
        <v>58244</v>
      </c>
      <c r="M112" s="8">
        <v>756.28857853906788</v>
      </c>
      <c r="N112" s="8">
        <v>44501</v>
      </c>
      <c r="O112" s="8">
        <v>395</v>
      </c>
      <c r="R112" s="124"/>
      <c r="S112" s="129">
        <f t="shared" ref="S112" si="184">ROUND((N112-45000)/N112*100,2)</f>
        <v>-1.1200000000000001</v>
      </c>
      <c r="T112" s="124">
        <f t="shared" ref="T112" si="185">ROUND((N112-45000)/N112*100,2)</f>
        <v>-1.1200000000000001</v>
      </c>
      <c r="U112" s="124">
        <f t="shared" si="110"/>
        <v>0.01</v>
      </c>
      <c r="V112" s="131">
        <f t="shared" si="111"/>
        <v>0.88800000000000001</v>
      </c>
      <c r="W112" s="145">
        <f t="shared" si="112"/>
        <v>1.1200000000000001</v>
      </c>
    </row>
    <row r="113" spans="2:26" ht="15.75" customHeight="1">
      <c r="B113" s="16" t="s">
        <v>168</v>
      </c>
      <c r="C113" s="8" t="s">
        <v>169</v>
      </c>
      <c r="E113" s="8">
        <v>1</v>
      </c>
      <c r="F113" s="8">
        <v>1264</v>
      </c>
      <c r="G113" s="8">
        <v>1926</v>
      </c>
      <c r="H113" s="8">
        <v>2313</v>
      </c>
      <c r="I113" s="8">
        <v>2754</v>
      </c>
      <c r="J113" s="8">
        <v>3245</v>
      </c>
      <c r="K113" s="8">
        <v>3799</v>
      </c>
      <c r="L113" s="8">
        <v>2760</v>
      </c>
      <c r="M113" s="8">
        <v>761.59325605639708</v>
      </c>
      <c r="N113" s="8">
        <v>2105</v>
      </c>
      <c r="O113" s="8">
        <v>252</v>
      </c>
      <c r="R113" s="124"/>
      <c r="S113" s="129">
        <f t="shared" ref="S113" si="186">ROUND((N113-2100)/N113*100,2)</f>
        <v>0.24</v>
      </c>
      <c r="T113" s="124">
        <f t="shared" ref="T113" si="187">ROUND((N113-2100)/N113*100,2)</f>
        <v>0.24</v>
      </c>
      <c r="U113" s="124">
        <f t="shared" si="110"/>
        <v>0.22</v>
      </c>
      <c r="V113" s="131">
        <f t="shared" si="111"/>
        <v>11.971</v>
      </c>
      <c r="W113" s="145">
        <f t="shared" si="112"/>
        <v>0.24</v>
      </c>
    </row>
    <row r="114" spans="2:26" ht="15.75" customHeight="1">
      <c r="B114" s="16"/>
      <c r="E114" s="8">
        <v>2</v>
      </c>
      <c r="F114" s="8">
        <v>9838</v>
      </c>
      <c r="G114" s="8">
        <v>14102</v>
      </c>
      <c r="H114" s="8">
        <v>16739</v>
      </c>
      <c r="I114" s="8">
        <v>19716</v>
      </c>
      <c r="J114" s="8">
        <v>23115</v>
      </c>
      <c r="K114" s="8">
        <v>26961</v>
      </c>
      <c r="L114" s="8">
        <v>19728</v>
      </c>
      <c r="M114" s="8">
        <v>748.60593663887732</v>
      </c>
      <c r="N114" s="8">
        <v>13955</v>
      </c>
      <c r="O114" s="8">
        <v>312</v>
      </c>
      <c r="R114" s="124"/>
      <c r="S114" s="129">
        <f t="shared" ref="S114" si="188">ROUND((N114-14000)/N114*100,2)</f>
        <v>-0.32</v>
      </c>
      <c r="T114" s="124">
        <f t="shared" ref="T114" si="189">ROUND((N114-14000)/N114*100,2)</f>
        <v>-0.32</v>
      </c>
      <c r="U114" s="124">
        <f t="shared" si="110"/>
        <v>0.06</v>
      </c>
      <c r="V114" s="131">
        <f t="shared" si="111"/>
        <v>2.2360000000000002</v>
      </c>
      <c r="W114" s="145">
        <f t="shared" si="112"/>
        <v>0.32</v>
      </c>
    </row>
    <row r="115" spans="2:26" ht="15.75" customHeight="1">
      <c r="B115" s="16"/>
      <c r="D115" s="8" t="s">
        <v>170</v>
      </c>
      <c r="E115" s="8">
        <v>3</v>
      </c>
      <c r="F115" s="8">
        <v>31270</v>
      </c>
      <c r="G115" s="8">
        <v>44169</v>
      </c>
      <c r="H115" s="8">
        <v>51867</v>
      </c>
      <c r="I115" s="8">
        <v>59222</v>
      </c>
      <c r="J115" s="8" t="s">
        <v>34</v>
      </c>
      <c r="K115" s="8" t="s">
        <v>34</v>
      </c>
      <c r="L115" s="8">
        <v>59217</v>
      </c>
      <c r="M115" s="8">
        <v>755.0014760565316</v>
      </c>
      <c r="N115" s="8">
        <v>45605</v>
      </c>
      <c r="O115" s="8">
        <v>406</v>
      </c>
      <c r="R115" s="124"/>
      <c r="S115" s="129">
        <f t="shared" ref="S115" si="190">ROUND((N115-45000)/N115*100,2)</f>
        <v>1.33</v>
      </c>
      <c r="T115" s="124">
        <f t="shared" ref="T115" si="191">ROUND((N115-45000)/N115*100,2)</f>
        <v>1.33</v>
      </c>
      <c r="U115" s="124">
        <f t="shared" si="110"/>
        <v>-0.01</v>
      </c>
      <c r="V115" s="131">
        <f t="shared" si="111"/>
        <v>0.89</v>
      </c>
      <c r="W115" s="145">
        <f t="shared" si="112"/>
        <v>1.33</v>
      </c>
    </row>
    <row r="116" spans="2:26" ht="15.75" customHeight="1">
      <c r="B116" s="16" t="s">
        <v>171</v>
      </c>
      <c r="C116" s="8" t="s">
        <v>172</v>
      </c>
      <c r="E116" s="8">
        <v>1</v>
      </c>
      <c r="F116" s="8">
        <v>1659</v>
      </c>
      <c r="G116" s="8">
        <v>2341</v>
      </c>
      <c r="H116" s="8">
        <v>2753</v>
      </c>
      <c r="I116" s="8">
        <v>3211</v>
      </c>
      <c r="J116" s="8">
        <v>3726</v>
      </c>
      <c r="K116" s="8">
        <v>4283</v>
      </c>
      <c r="L116" s="8">
        <v>3190</v>
      </c>
      <c r="M116" s="8">
        <v>733.47909222608621</v>
      </c>
      <c r="N116" s="8">
        <v>2073</v>
      </c>
      <c r="O116" s="8">
        <v>323</v>
      </c>
      <c r="R116" s="124"/>
      <c r="S116" s="129">
        <f t="shared" ref="S116" si="192">ROUND((N116-2100)/N116*100,2)</f>
        <v>-1.3</v>
      </c>
      <c r="T116" s="124">
        <f t="shared" ref="T116" si="193">ROUND((N116-2100)/N116*100,2)</f>
        <v>-1.3</v>
      </c>
      <c r="U116" s="124">
        <f t="shared" si="110"/>
        <v>-0.66</v>
      </c>
      <c r="V116" s="131">
        <f t="shared" si="111"/>
        <v>15.581</v>
      </c>
      <c r="W116" s="145">
        <f t="shared" si="112"/>
        <v>1.3</v>
      </c>
    </row>
    <row r="117" spans="2:26" ht="15.75" customHeight="1">
      <c r="B117" s="16"/>
      <c r="E117" s="8">
        <v>2</v>
      </c>
      <c r="F117" s="8">
        <v>11560</v>
      </c>
      <c r="G117" s="8">
        <v>15661</v>
      </c>
      <c r="H117" s="8">
        <v>18025</v>
      </c>
      <c r="I117" s="8">
        <v>20596</v>
      </c>
      <c r="J117" s="8">
        <v>23343</v>
      </c>
      <c r="K117" s="8">
        <v>26353</v>
      </c>
      <c r="L117" s="8">
        <v>20497</v>
      </c>
      <c r="M117" s="8">
        <v>730.41359587561101</v>
      </c>
      <c r="N117" s="8">
        <v>13891</v>
      </c>
      <c r="O117" s="8">
        <v>362</v>
      </c>
      <c r="R117" s="124"/>
      <c r="S117" s="129">
        <f t="shared" ref="S117" si="194">ROUND((N117-14000)/N117*100,2)</f>
        <v>-0.78</v>
      </c>
      <c r="T117" s="124">
        <f t="shared" ref="T117" si="195">ROUND((N117-14000)/N117*100,2)</f>
        <v>-0.78</v>
      </c>
      <c r="U117" s="124">
        <f t="shared" si="110"/>
        <v>-0.48</v>
      </c>
      <c r="V117" s="131">
        <f t="shared" si="111"/>
        <v>2.6059999999999999</v>
      </c>
      <c r="W117" s="145">
        <f t="shared" si="112"/>
        <v>0.78</v>
      </c>
    </row>
    <row r="118" spans="2:26" ht="15.75" customHeight="1">
      <c r="B118" s="16"/>
      <c r="D118" s="8" t="s">
        <v>173</v>
      </c>
      <c r="E118" s="8">
        <v>3</v>
      </c>
      <c r="F118" s="8">
        <v>33660</v>
      </c>
      <c r="G118" s="8">
        <v>44472</v>
      </c>
      <c r="H118" s="8">
        <v>50577</v>
      </c>
      <c r="I118" s="8">
        <v>56993</v>
      </c>
      <c r="J118" s="8">
        <v>62331</v>
      </c>
      <c r="K118" s="8" t="s">
        <v>34</v>
      </c>
      <c r="L118" s="8">
        <v>56849</v>
      </c>
      <c r="M118" s="8">
        <v>750.1730702222593</v>
      </c>
      <c r="N118" s="8">
        <v>44382</v>
      </c>
      <c r="O118" s="8">
        <v>430</v>
      </c>
      <c r="P118" s="8">
        <v>751</v>
      </c>
      <c r="Q118" s="8">
        <v>44560</v>
      </c>
      <c r="R118" s="124">
        <v>435</v>
      </c>
      <c r="S118" s="129">
        <f t="shared" ref="S118" si="196">ROUND((N118-45000)/N118*100,2)</f>
        <v>-1.39</v>
      </c>
      <c r="T118" s="124">
        <f>ROUND((Q118-45000)/Q118*100,2)</f>
        <v>-0.99</v>
      </c>
      <c r="U118" s="124">
        <f t="shared" si="110"/>
        <v>-0.25</v>
      </c>
      <c r="V118" s="131">
        <f t="shared" si="111"/>
        <v>0.96899999999999997</v>
      </c>
      <c r="W118" s="145">
        <f t="shared" si="112"/>
        <v>0.99</v>
      </c>
    </row>
    <row r="119" spans="2:26" ht="15.75" customHeight="1">
      <c r="B119" s="16" t="s">
        <v>174</v>
      </c>
      <c r="C119" s="8" t="s">
        <v>175</v>
      </c>
      <c r="E119" s="8">
        <v>1</v>
      </c>
      <c r="F119" s="52">
        <v>1148</v>
      </c>
      <c r="G119" s="8">
        <v>1782</v>
      </c>
      <c r="H119" s="8">
        <v>2141</v>
      </c>
      <c r="I119" s="8">
        <v>2551</v>
      </c>
      <c r="J119" s="8">
        <v>3030</v>
      </c>
      <c r="K119" s="8">
        <v>3552</v>
      </c>
      <c r="L119" s="8">
        <v>2536</v>
      </c>
      <c r="M119" s="8">
        <v>772.22884228421435</v>
      </c>
      <c r="N119" s="8">
        <v>2080</v>
      </c>
      <c r="O119" s="8">
        <v>321</v>
      </c>
      <c r="R119" s="124"/>
      <c r="S119" s="129">
        <f t="shared" ref="S119" si="197">ROUND((N119-2100)/N119*100,2)</f>
        <v>-0.96</v>
      </c>
      <c r="T119" s="124">
        <f t="shared" ref="T119" si="198">ROUND((N119-2100)/N119*100,2)</f>
        <v>-0.96</v>
      </c>
      <c r="U119" s="124">
        <f t="shared" si="110"/>
        <v>-0.59</v>
      </c>
      <c r="V119" s="131">
        <f t="shared" si="111"/>
        <v>15.433</v>
      </c>
      <c r="W119" s="145">
        <f t="shared" si="112"/>
        <v>0.96</v>
      </c>
      <c r="Z119" s="8" t="s">
        <v>176</v>
      </c>
    </row>
    <row r="120" spans="2:26" ht="15.75" customHeight="1">
      <c r="B120" s="16"/>
      <c r="E120" s="8">
        <v>2</v>
      </c>
      <c r="F120" s="8">
        <v>8824</v>
      </c>
      <c r="G120" s="8">
        <v>12589</v>
      </c>
      <c r="H120" s="8">
        <v>14875</v>
      </c>
      <c r="I120" s="8">
        <v>17463</v>
      </c>
      <c r="J120" s="8">
        <v>20389</v>
      </c>
      <c r="K120" s="8">
        <v>23696</v>
      </c>
      <c r="L120" s="8">
        <v>17465</v>
      </c>
      <c r="M120" s="8">
        <v>765.43710203475814</v>
      </c>
      <c r="N120" s="8">
        <v>13945</v>
      </c>
      <c r="O120" s="8">
        <v>372</v>
      </c>
      <c r="R120" s="124"/>
      <c r="S120" s="129">
        <f t="shared" ref="S120" si="199">ROUND((N120-14000)/N120*100,2)</f>
        <v>-0.39</v>
      </c>
      <c r="T120" s="124">
        <f t="shared" ref="T120" si="200">ROUND((N120-14000)/N120*100,2)</f>
        <v>-0.39</v>
      </c>
      <c r="U120" s="124">
        <f t="shared" si="110"/>
        <v>0.01</v>
      </c>
      <c r="V120" s="131">
        <f t="shared" si="111"/>
        <v>2.6680000000000001</v>
      </c>
      <c r="W120" s="145">
        <f t="shared" si="112"/>
        <v>0.39</v>
      </c>
    </row>
    <row r="121" spans="2:26" ht="15.75" customHeight="1" thickBot="1">
      <c r="B121" s="24"/>
      <c r="C121" s="25"/>
      <c r="D121" s="25" t="s">
        <v>177</v>
      </c>
      <c r="E121" s="25">
        <v>3</v>
      </c>
      <c r="F121" s="25">
        <v>27288</v>
      </c>
      <c r="G121" s="25">
        <v>37952</v>
      </c>
      <c r="H121" s="25">
        <v>44417</v>
      </c>
      <c r="I121" s="25">
        <v>51905</v>
      </c>
      <c r="J121" s="25">
        <v>58921</v>
      </c>
      <c r="K121" s="25">
        <v>64992</v>
      </c>
      <c r="L121" s="25">
        <v>51967</v>
      </c>
      <c r="M121" s="25">
        <v>775.43095369988623</v>
      </c>
      <c r="N121" s="25">
        <v>44586</v>
      </c>
      <c r="O121" s="25">
        <v>447</v>
      </c>
      <c r="P121" s="25"/>
      <c r="Q121" s="25"/>
      <c r="R121" s="25"/>
      <c r="S121" s="132">
        <f t="shared" ref="S121" si="201">ROUND((N121-45000)/N121*100,2)</f>
        <v>-0.93</v>
      </c>
      <c r="T121" s="133">
        <f t="shared" ref="T121" si="202">ROUND((N121-45000)/N121*100,2)</f>
        <v>-0.93</v>
      </c>
      <c r="U121" s="133">
        <f t="shared" si="110"/>
        <v>0.12</v>
      </c>
      <c r="V121" s="134">
        <f t="shared" si="111"/>
        <v>1.0029999999999999</v>
      </c>
      <c r="W121" s="145">
        <f t="shared" si="112"/>
        <v>0.93</v>
      </c>
    </row>
    <row r="122" spans="2:26" ht="15.75" customHeight="1">
      <c r="S122" s="144" t="s">
        <v>506</v>
      </c>
      <c r="T122" s="142">
        <f>ROUND(_xlfn.STDEV.P(T2:T121),4)</f>
        <v>0.96540000000000004</v>
      </c>
      <c r="U122" s="142" t="s">
        <v>485</v>
      </c>
      <c r="V122" s="142" t="s">
        <v>505</v>
      </c>
      <c r="W122" s="143">
        <f>ROUND(AVERAGE(W2:W121),4)</f>
        <v>0.71109999999999995</v>
      </c>
      <c r="X122" s="142" t="s">
        <v>485</v>
      </c>
    </row>
    <row r="123" spans="2:26" ht="15.75" customHeight="1"/>
    <row r="124" spans="2:26" ht="15.75" customHeight="1"/>
    <row r="125" spans="2:26" ht="15.75" customHeight="1"/>
    <row r="126" spans="2:26" ht="15.75" customHeight="1"/>
    <row r="127" spans="2:26" ht="15.75" customHeight="1"/>
    <row r="128" spans="2:26"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T2:T121">
    <cfRule type="cellIs" dxfId="5" priority="5" operator="between">
      <formula>-1</formula>
      <formula>1</formula>
    </cfRule>
  </conditionalFormatting>
  <conditionalFormatting sqref="T2:U121">
    <cfRule type="cellIs" dxfId="4" priority="1" operator="lessThan">
      <formula>-3</formula>
    </cfRule>
    <cfRule type="cellIs" dxfId="3" priority="2" operator="greaterThan">
      <formula>3</formula>
    </cfRule>
  </conditionalFormatting>
  <pageMargins left="0.7" right="0.7" top="0.75" bottom="0.75" header="0" footer="0"/>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X361"/>
  <sheetViews>
    <sheetView topLeftCell="J1" workbookViewId="0">
      <selection activeCell="V32" sqref="V32"/>
    </sheetView>
  </sheetViews>
  <sheetFormatPr defaultColWidth="14.42578125" defaultRowHeight="15" customHeight="1"/>
  <cols>
    <col min="22" max="22" width="24.5703125" bestFit="1" customWidth="1"/>
  </cols>
  <sheetData>
    <row r="1" spans="1:24" ht="48" thickBot="1">
      <c r="A1" s="118" t="s">
        <v>464</v>
      </c>
      <c r="B1" s="8" t="s">
        <v>490</v>
      </c>
      <c r="C1" s="8" t="s">
        <v>491</v>
      </c>
      <c r="D1" s="8" t="s">
        <v>492</v>
      </c>
      <c r="E1" s="8" t="s">
        <v>493</v>
      </c>
      <c r="F1" s="8" t="s">
        <v>494</v>
      </c>
      <c r="G1" s="8" t="s">
        <v>495</v>
      </c>
      <c r="H1" s="8" t="s">
        <v>496</v>
      </c>
      <c r="I1" s="8" t="s">
        <v>497</v>
      </c>
      <c r="J1" s="8" t="s">
        <v>498</v>
      </c>
      <c r="L1" s="8" t="s">
        <v>499</v>
      </c>
      <c r="Q1" s="139" t="s">
        <v>503</v>
      </c>
      <c r="R1" s="140" t="s">
        <v>502</v>
      </c>
      <c r="S1" s="140" t="s">
        <v>501</v>
      </c>
      <c r="T1" s="141" t="s">
        <v>500</v>
      </c>
      <c r="U1" s="111" t="s">
        <v>504</v>
      </c>
      <c r="V1" s="111" t="s">
        <v>576</v>
      </c>
      <c r="W1" s="111" t="s">
        <v>577</v>
      </c>
      <c r="X1" s="111" t="s">
        <v>578</v>
      </c>
    </row>
    <row r="2" spans="1:24">
      <c r="A2" s="118" t="str">
        <f>Main!$B2</f>
        <v>LV2143</v>
      </c>
      <c r="B2" s="118">
        <f>Main!$N2</f>
        <v>2057</v>
      </c>
      <c r="C2" s="118">
        <f>Main!$M2</f>
        <v>758.15657802061924</v>
      </c>
      <c r="D2" s="118">
        <f>Main!$N3</f>
        <v>13883</v>
      </c>
      <c r="E2" s="118">
        <f>Main!$M3</f>
        <v>759.62597477851307</v>
      </c>
      <c r="F2" s="118">
        <f>Main!$N4</f>
        <v>44719</v>
      </c>
      <c r="G2" s="118">
        <f>Main!$M4</f>
        <v>778.43818653436188</v>
      </c>
      <c r="H2" s="118">
        <f>Main!$N2</f>
        <v>2057</v>
      </c>
      <c r="I2" s="118">
        <f>Main!$P2</f>
        <v>0</v>
      </c>
      <c r="J2" s="118">
        <f>Main!$Q3</f>
        <v>13982</v>
      </c>
      <c r="K2" s="118">
        <f>Main!$P3</f>
        <v>760.8</v>
      </c>
      <c r="L2" s="118">
        <f>Main!$Q4</f>
        <v>45059</v>
      </c>
      <c r="M2" s="118">
        <f>Main!$L2</f>
        <v>2739</v>
      </c>
      <c r="N2" s="118">
        <f>Main!$L3</f>
        <v>17846</v>
      </c>
      <c r="O2" s="118">
        <f>Main!$L4</f>
        <v>50816</v>
      </c>
      <c r="Q2">
        <v>-2.09</v>
      </c>
      <c r="R2">
        <v>-2.09</v>
      </c>
      <c r="S2">
        <v>-1.9</v>
      </c>
      <c r="T2">
        <v>13.757999999999999</v>
      </c>
      <c r="U2">
        <v>2.09</v>
      </c>
      <c r="V2" s="168" t="s">
        <v>505</v>
      </c>
      <c r="W2">
        <f>ROUND(AVERAGE(U:U),3)</f>
        <v>0.55800000000000005</v>
      </c>
      <c r="X2" t="s">
        <v>485</v>
      </c>
    </row>
    <row r="3" spans="1:24">
      <c r="A3" s="118" t="str">
        <f t="shared" ref="A3:A42" ca="1" si="0">INDIRECT("Main!B" &amp; 3*(ROW()-2)+2)</f>
        <v>LV2177</v>
      </c>
      <c r="B3" s="118">
        <f t="shared" ref="B3:B41" ca="1" si="1">INDIRECT("Main!N" &amp; 3*(ROW()-2)+2)</f>
        <v>2073</v>
      </c>
      <c r="C3" s="118">
        <f t="shared" ref="C3:C41" ca="1" si="2">INDIRECT("Main!M" &amp; 3*(ROW()-2)+2)</f>
        <v>711.09383984346277</v>
      </c>
      <c r="D3" s="118">
        <f t="shared" ref="D3:D41" ca="1" si="3">INDIRECT("Main!N" &amp; 3*(ROW()-2)+3)</f>
        <v>14028</v>
      </c>
      <c r="E3" s="118">
        <f t="shared" ref="E3:E41" ca="1" si="4">INDIRECT("Main!M" &amp; 3*(ROW()-2)+3)</f>
        <v>708.55693860343388</v>
      </c>
      <c r="F3" s="118">
        <f t="shared" ref="F3:F41" ca="1" si="5">INDIRECT("Main!N" &amp; 3*(ROW()-2)+4)</f>
        <v>44904</v>
      </c>
      <c r="G3" s="118">
        <f t="shared" ref="G3:G41" ca="1" si="6">INDIRECT("Main!M" &amp; 3*(ROW()-2)+4)</f>
        <v>754.23796167340288</v>
      </c>
      <c r="H3" s="118">
        <f t="shared" ref="H3:H15" ca="1" si="7">INDIRECT("Main!N" &amp; 3*(ROW()-2)+2)</f>
        <v>2073</v>
      </c>
      <c r="I3" s="118">
        <f t="shared" ref="I3:I41" ca="1" si="8">INDIRECT("Main!P" &amp; 3*(ROW()-2)+2)</f>
        <v>712</v>
      </c>
      <c r="J3" s="118">
        <f t="shared" ref="J3:J15" ca="1" si="9">INDIRECT("Main!N" &amp; 3*(ROW()-2)+3)</f>
        <v>14028</v>
      </c>
      <c r="K3" s="118">
        <f t="shared" ref="K3:K41" ca="1" si="10">INDIRECT("Main!P" &amp; 3*(ROW()-2)+3)</f>
        <v>0</v>
      </c>
      <c r="L3" s="118">
        <f ca="1">INDIRECT("Main!N" &amp; 3*(ROW()-2)+4)</f>
        <v>44904</v>
      </c>
      <c r="M3" s="118">
        <f t="shared" ref="M3:M41" ca="1" si="11">INDIRECT("Main!L" &amp; 3*(ROW()-2)+2)</f>
        <v>0</v>
      </c>
      <c r="N3" s="118">
        <f t="shared" ref="N3:N41" ca="1" si="12">INDIRECT("Main!L" &amp; 3*(ROW()-2)+3)</f>
        <v>0</v>
      </c>
      <c r="O3" s="118">
        <f t="shared" ref="O3:O41" ca="1" si="13">INDIRECT("Main!L" &amp; 3*(ROW()-2)+4)</f>
        <v>0</v>
      </c>
      <c r="Q3">
        <v>-0.84</v>
      </c>
      <c r="R3">
        <v>-0.13</v>
      </c>
      <c r="S3">
        <v>-0.89</v>
      </c>
      <c r="T3">
        <v>2.298</v>
      </c>
      <c r="U3">
        <v>0.13</v>
      </c>
      <c r="V3" s="168" t="s">
        <v>580</v>
      </c>
      <c r="W3">
        <f>ROUND(_xlfn.STDEV.P(R:R),3)</f>
        <v>0.80100000000000005</v>
      </c>
      <c r="X3" t="s">
        <v>485</v>
      </c>
    </row>
    <row r="4" spans="1:24">
      <c r="A4" s="118" t="str">
        <f t="shared" ca="1" si="0"/>
        <v>LV1762</v>
      </c>
      <c r="B4" s="118">
        <f t="shared" ca="1" si="1"/>
        <v>2097</v>
      </c>
      <c r="C4" s="118">
        <f t="shared" ca="1" si="2"/>
        <v>761.10070137000298</v>
      </c>
      <c r="D4" s="118">
        <f t="shared" ca="1" si="3"/>
        <v>13923</v>
      </c>
      <c r="E4" s="118">
        <f t="shared" ca="1" si="4"/>
        <v>753.36100510373137</v>
      </c>
      <c r="F4" s="118">
        <f t="shared" ca="1" si="5"/>
        <v>44696</v>
      </c>
      <c r="G4" s="118">
        <f t="shared" ca="1" si="6"/>
        <v>773.07772205918195</v>
      </c>
      <c r="H4" s="118">
        <f t="shared" ca="1" si="7"/>
        <v>2097</v>
      </c>
      <c r="I4" s="118">
        <f t="shared" ca="1" si="8"/>
        <v>0</v>
      </c>
      <c r="J4" s="118">
        <f t="shared" ca="1" si="9"/>
        <v>13923</v>
      </c>
      <c r="K4" s="118">
        <f t="shared" ca="1" si="10"/>
        <v>0</v>
      </c>
      <c r="L4" s="118">
        <f t="shared" ref="L4:L5" ca="1" si="14">INDIRECT("Main!Q" &amp; 3*(ROW()-2)+4)</f>
        <v>44986</v>
      </c>
      <c r="M4" s="118">
        <f t="shared" ca="1" si="11"/>
        <v>2734</v>
      </c>
      <c r="N4" s="118">
        <f t="shared" ca="1" si="12"/>
        <v>18509</v>
      </c>
      <c r="O4" s="118">
        <f t="shared" ca="1" si="13"/>
        <v>51660</v>
      </c>
      <c r="Q4">
        <v>-0.63</v>
      </c>
      <c r="R4">
        <v>0.13</v>
      </c>
      <c r="S4">
        <v>0.15</v>
      </c>
      <c r="T4">
        <v>0.88600000000000001</v>
      </c>
      <c r="U4">
        <v>0.13</v>
      </c>
      <c r="V4" s="168" t="s">
        <v>581</v>
      </c>
      <c r="W4">
        <f>COUNTIF(U:U,"&lt;=1")</f>
        <v>297</v>
      </c>
      <c r="X4" t="s">
        <v>582</v>
      </c>
    </row>
    <row r="5" spans="1:24">
      <c r="A5" s="118" t="str">
        <f t="shared" ca="1" si="0"/>
        <v>LV2085</v>
      </c>
      <c r="B5" s="118">
        <f t="shared" ca="1" si="1"/>
        <v>2117</v>
      </c>
      <c r="C5" s="118">
        <f t="shared" ca="1" si="2"/>
        <v>781.18398595319786</v>
      </c>
      <c r="D5" s="118">
        <f t="shared" ca="1" si="3"/>
        <v>14108</v>
      </c>
      <c r="E5" s="118">
        <f t="shared" ca="1" si="4"/>
        <v>776.51964985396467</v>
      </c>
      <c r="F5" s="118">
        <f t="shared" ca="1" si="5"/>
        <v>45348</v>
      </c>
      <c r="G5" s="118">
        <f t="shared" ca="1" si="6"/>
        <v>779.75649890988154</v>
      </c>
      <c r="H5" s="118">
        <f t="shared" ca="1" si="7"/>
        <v>2117</v>
      </c>
      <c r="I5" s="118">
        <f t="shared" ca="1" si="8"/>
        <v>0</v>
      </c>
      <c r="J5" s="118">
        <f t="shared" ca="1" si="9"/>
        <v>14108</v>
      </c>
      <c r="K5" s="118">
        <f t="shared" ca="1" si="10"/>
        <v>0</v>
      </c>
      <c r="L5" s="118">
        <f t="shared" ca="1" si="14"/>
        <v>44881</v>
      </c>
      <c r="M5" s="118">
        <f t="shared" ca="1" si="11"/>
        <v>2407</v>
      </c>
      <c r="N5" s="118">
        <f t="shared" ca="1" si="12"/>
        <v>16408</v>
      </c>
      <c r="O5" s="118">
        <f t="shared" ca="1" si="13"/>
        <v>51765</v>
      </c>
      <c r="Q5" t="e">
        <v>#DIV/0!</v>
      </c>
      <c r="S5" t="e">
        <v>#DIV/0!</v>
      </c>
      <c r="T5" t="e">
        <v>#DIV/0!</v>
      </c>
      <c r="U5" t="s">
        <v>586</v>
      </c>
      <c r="V5" s="168" t="s">
        <v>583</v>
      </c>
      <c r="W5">
        <f>ROUND(W4/(3*120)*100,2)</f>
        <v>82.5</v>
      </c>
      <c r="X5" t="s">
        <v>485</v>
      </c>
    </row>
    <row r="6" spans="1:24">
      <c r="A6" s="118" t="str">
        <f t="shared" ca="1" si="0"/>
        <v>LV2138</v>
      </c>
      <c r="B6" s="118">
        <f t="shared" ca="1" si="1"/>
        <v>2094</v>
      </c>
      <c r="C6" s="118">
        <f t="shared" ca="1" si="2"/>
        <v>737.42507101766705</v>
      </c>
      <c r="D6" s="118">
        <f t="shared" ca="1" si="3"/>
        <v>14083</v>
      </c>
      <c r="E6" s="118">
        <f t="shared" ca="1" si="4"/>
        <v>735.14531083745271</v>
      </c>
      <c r="F6" s="118">
        <f t="shared" ca="1" si="5"/>
        <v>45101</v>
      </c>
      <c r="G6" s="118">
        <f t="shared" ca="1" si="6"/>
        <v>749.35445486630044</v>
      </c>
      <c r="H6" s="118">
        <f t="shared" ca="1" si="7"/>
        <v>2094</v>
      </c>
      <c r="I6" s="118">
        <f t="shared" ca="1" si="8"/>
        <v>0</v>
      </c>
      <c r="J6" s="118">
        <f t="shared" ca="1" si="9"/>
        <v>14083</v>
      </c>
      <c r="K6" s="118">
        <f t="shared" ca="1" si="10"/>
        <v>0</v>
      </c>
      <c r="L6" s="118">
        <f t="shared" ref="L6:L14" ca="1" si="15">INDIRECT("Main!N" &amp; 3*(ROW()-2)+4)</f>
        <v>45101</v>
      </c>
      <c r="M6" s="118">
        <f t="shared" ca="1" si="11"/>
        <v>3284</v>
      </c>
      <c r="N6" s="118">
        <f t="shared" ca="1" si="12"/>
        <v>21439</v>
      </c>
      <c r="O6" s="118">
        <f t="shared" ca="1" si="13"/>
        <v>61105</v>
      </c>
      <c r="Q6" t="e">
        <v>#DIV/0!</v>
      </c>
      <c r="S6" t="e">
        <v>#DIV/0!</v>
      </c>
      <c r="T6" t="e">
        <v>#DIV/0!</v>
      </c>
      <c r="U6" t="s">
        <v>586</v>
      </c>
      <c r="V6" s="168" t="s">
        <v>584</v>
      </c>
    </row>
    <row r="7" spans="1:24">
      <c r="A7" s="118" t="str">
        <f t="shared" ca="1" si="0"/>
        <v>LV2125</v>
      </c>
      <c r="B7" s="118">
        <f t="shared" ca="1" si="1"/>
        <v>2088</v>
      </c>
      <c r="C7" s="118">
        <f t="shared" ca="1" si="2"/>
        <v>758.15892593506896</v>
      </c>
      <c r="D7" s="118">
        <f t="shared" ca="1" si="3"/>
        <v>13962</v>
      </c>
      <c r="E7" s="118">
        <f t="shared" ca="1" si="4"/>
        <v>758.34239864526592</v>
      </c>
      <c r="F7" s="118">
        <f t="shared" ca="1" si="5"/>
        <v>45013</v>
      </c>
      <c r="G7" s="118">
        <f t="shared" ca="1" si="6"/>
        <v>788.01844681528644</v>
      </c>
      <c r="H7" s="118">
        <f t="shared" ca="1" si="7"/>
        <v>2088</v>
      </c>
      <c r="I7" s="118">
        <f t="shared" ca="1" si="8"/>
        <v>0</v>
      </c>
      <c r="J7" s="118">
        <f t="shared" ca="1" si="9"/>
        <v>13962</v>
      </c>
      <c r="K7" s="118">
        <f t="shared" ca="1" si="10"/>
        <v>0</v>
      </c>
      <c r="L7" s="118">
        <f t="shared" ca="1" si="15"/>
        <v>45013</v>
      </c>
      <c r="M7" s="118">
        <f t="shared" ca="1" si="11"/>
        <v>2924</v>
      </c>
      <c r="N7" s="118">
        <f t="shared" ca="1" si="12"/>
        <v>18409</v>
      </c>
      <c r="O7" s="118">
        <f t="shared" ca="1" si="13"/>
        <v>48519</v>
      </c>
      <c r="Q7" t="e">
        <v>#DIV/0!</v>
      </c>
      <c r="S7" t="e">
        <v>#DIV/0!</v>
      </c>
      <c r="T7" t="e">
        <v>#DIV/0!</v>
      </c>
      <c r="U7" t="s">
        <v>586</v>
      </c>
      <c r="V7" s="169" t="s">
        <v>585</v>
      </c>
    </row>
    <row r="8" spans="1:24">
      <c r="A8" s="118" t="str">
        <f t="shared" ca="1" si="0"/>
        <v>LV2148</v>
      </c>
      <c r="B8" s="118">
        <f t="shared" ca="1" si="1"/>
        <v>2090</v>
      </c>
      <c r="C8" s="118">
        <f t="shared" ca="1" si="2"/>
        <v>799.77631831426652</v>
      </c>
      <c r="D8" s="118">
        <f t="shared" ca="1" si="3"/>
        <v>14022</v>
      </c>
      <c r="E8" s="118">
        <f t="shared" ca="1" si="4"/>
        <v>803.52955993361547</v>
      </c>
      <c r="F8" s="118">
        <f t="shared" ca="1" si="5"/>
        <v>44862</v>
      </c>
      <c r="G8" s="118">
        <f t="shared" ca="1" si="6"/>
        <v>834.14233805858169</v>
      </c>
      <c r="H8" s="118">
        <f t="shared" ca="1" si="7"/>
        <v>2090</v>
      </c>
      <c r="I8" s="118">
        <f t="shared" ca="1" si="8"/>
        <v>0</v>
      </c>
      <c r="J8" s="118">
        <f t="shared" ca="1" si="9"/>
        <v>14022</v>
      </c>
      <c r="K8" s="118">
        <f t="shared" ca="1" si="10"/>
        <v>0</v>
      </c>
      <c r="L8" s="118">
        <f t="shared" ca="1" si="15"/>
        <v>44862</v>
      </c>
      <c r="M8" s="118">
        <f t="shared" ca="1" si="11"/>
        <v>2076</v>
      </c>
      <c r="N8" s="118">
        <f t="shared" ca="1" si="12"/>
        <v>13722</v>
      </c>
      <c r="O8" s="118">
        <f t="shared" ca="1" si="13"/>
        <v>37279</v>
      </c>
      <c r="Q8">
        <v>-0.14000000000000001</v>
      </c>
      <c r="R8">
        <v>-0.14000000000000001</v>
      </c>
      <c r="S8">
        <v>-0.11</v>
      </c>
      <c r="T8">
        <v>13.638999999999999</v>
      </c>
      <c r="U8">
        <v>0.14000000000000001</v>
      </c>
      <c r="V8" s="168"/>
    </row>
    <row r="9" spans="1:24">
      <c r="A9" s="118" t="str">
        <f t="shared" ca="1" si="0"/>
        <v>LV2060</v>
      </c>
      <c r="B9" s="118">
        <f t="shared" ca="1" si="1"/>
        <v>2097</v>
      </c>
      <c r="C9" s="118">
        <f t="shared" ca="1" si="2"/>
        <v>774.78043700550188</v>
      </c>
      <c r="D9" s="118">
        <f t="shared" ca="1" si="3"/>
        <v>13933</v>
      </c>
      <c r="E9" s="118">
        <f t="shared" ca="1" si="4"/>
        <v>776.3275917769414</v>
      </c>
      <c r="F9" s="118">
        <f t="shared" ca="1" si="5"/>
        <v>44807</v>
      </c>
      <c r="G9" s="118">
        <f t="shared" ca="1" si="6"/>
        <v>798.44553054806397</v>
      </c>
      <c r="H9" s="118">
        <f t="shared" ca="1" si="7"/>
        <v>2097</v>
      </c>
      <c r="I9" s="118">
        <f t="shared" ca="1" si="8"/>
        <v>0</v>
      </c>
      <c r="J9" s="118">
        <f t="shared" ca="1" si="9"/>
        <v>13933</v>
      </c>
      <c r="K9" s="118">
        <f t="shared" ca="1" si="10"/>
        <v>0</v>
      </c>
      <c r="L9" s="118">
        <f t="shared" ca="1" si="15"/>
        <v>44807</v>
      </c>
      <c r="M9" s="118">
        <f t="shared" ca="1" si="11"/>
        <v>2465</v>
      </c>
      <c r="N9" s="118">
        <f t="shared" ca="1" si="12"/>
        <v>16147</v>
      </c>
      <c r="O9" s="118">
        <f t="shared" ca="1" si="13"/>
        <v>45420</v>
      </c>
      <c r="Q9">
        <v>-0.55000000000000004</v>
      </c>
      <c r="R9">
        <v>-0.55000000000000004</v>
      </c>
      <c r="S9">
        <v>-0.15</v>
      </c>
      <c r="T9">
        <v>2.3559999999999999</v>
      </c>
      <c r="U9">
        <v>0.55000000000000004</v>
      </c>
    </row>
    <row r="10" spans="1:24">
      <c r="A10" s="118" t="str">
        <f t="shared" ca="1" si="0"/>
        <v>LV2029</v>
      </c>
      <c r="B10" s="118">
        <f t="shared" ca="1" si="1"/>
        <v>2084</v>
      </c>
      <c r="C10" s="118">
        <f t="shared" ca="1" si="2"/>
        <v>715.99154526489485</v>
      </c>
      <c r="D10" s="118">
        <f t="shared" ca="1" si="3"/>
        <v>13888</v>
      </c>
      <c r="E10" s="118">
        <f t="shared" ca="1" si="4"/>
        <v>712.3240864008477</v>
      </c>
      <c r="F10" s="118">
        <f t="shared" ca="1" si="5"/>
        <v>45439</v>
      </c>
      <c r="G10" s="118">
        <f t="shared" ca="1" si="6"/>
        <v>751.59194795032261</v>
      </c>
      <c r="H10" s="118">
        <f t="shared" ca="1" si="7"/>
        <v>2084</v>
      </c>
      <c r="I10" s="118">
        <f t="shared" ca="1" si="8"/>
        <v>0</v>
      </c>
      <c r="J10" s="118">
        <f t="shared" ca="1" si="9"/>
        <v>13888</v>
      </c>
      <c r="K10" s="118">
        <f t="shared" ca="1" si="10"/>
        <v>0</v>
      </c>
      <c r="L10" s="118">
        <f t="shared" ca="1" si="15"/>
        <v>45439</v>
      </c>
      <c r="M10" s="118">
        <f t="shared" ca="1" si="11"/>
        <v>3882</v>
      </c>
      <c r="N10" s="118">
        <f t="shared" ca="1" si="12"/>
        <v>24004</v>
      </c>
      <c r="O10" s="118">
        <f t="shared" ca="1" si="13"/>
        <v>57642</v>
      </c>
      <c r="Q10">
        <v>-0.68</v>
      </c>
      <c r="R10">
        <v>-0.03</v>
      </c>
      <c r="S10">
        <v>0</v>
      </c>
      <c r="T10">
        <v>0.85</v>
      </c>
      <c r="U10">
        <v>0.03</v>
      </c>
    </row>
    <row r="11" spans="1:24">
      <c r="A11" s="118" t="str">
        <f t="shared" ca="1" si="0"/>
        <v>LV2050</v>
      </c>
      <c r="B11" s="118">
        <f t="shared" ca="1" si="1"/>
        <v>2161</v>
      </c>
      <c r="C11" s="118">
        <f t="shared" ca="1" si="2"/>
        <v>767.47946492496226</v>
      </c>
      <c r="D11" s="118">
        <f t="shared" ca="1" si="3"/>
        <v>13928</v>
      </c>
      <c r="E11" s="118">
        <f t="shared" ca="1" si="4"/>
        <v>767.83939028343616</v>
      </c>
      <c r="F11" s="118">
        <f t="shared" ca="1" si="5"/>
        <v>44726</v>
      </c>
      <c r="G11" s="118">
        <f t="shared" ca="1" si="6"/>
        <v>783.56011418732487</v>
      </c>
      <c r="H11" s="118">
        <f t="shared" ca="1" si="7"/>
        <v>2161</v>
      </c>
      <c r="I11" s="118">
        <f t="shared" ca="1" si="8"/>
        <v>762.5</v>
      </c>
      <c r="J11" s="118">
        <f t="shared" ca="1" si="9"/>
        <v>13928</v>
      </c>
      <c r="K11" s="118">
        <f t="shared" ca="1" si="10"/>
        <v>0</v>
      </c>
      <c r="L11" s="118">
        <f t="shared" ca="1" si="15"/>
        <v>44726</v>
      </c>
      <c r="M11" s="118">
        <f t="shared" ca="1" si="11"/>
        <v>2611</v>
      </c>
      <c r="N11" s="118">
        <f t="shared" ca="1" si="12"/>
        <v>17272</v>
      </c>
      <c r="O11" s="118">
        <f t="shared" ca="1" si="13"/>
        <v>50127</v>
      </c>
      <c r="Q11">
        <v>0.8</v>
      </c>
      <c r="R11">
        <v>0.8</v>
      </c>
      <c r="S11">
        <v>0.66</v>
      </c>
      <c r="T11">
        <v>10.439</v>
      </c>
      <c r="U11">
        <v>0.8</v>
      </c>
    </row>
    <row r="12" spans="1:24">
      <c r="A12" s="118" t="str">
        <f t="shared" ca="1" si="0"/>
        <v>LV2119</v>
      </c>
      <c r="B12" s="118">
        <f t="shared" ca="1" si="1"/>
        <v>2060</v>
      </c>
      <c r="C12" s="118">
        <f t="shared" ca="1" si="2"/>
        <v>692.51968363816479</v>
      </c>
      <c r="D12" s="118">
        <f t="shared" ca="1" si="3"/>
        <v>13747</v>
      </c>
      <c r="E12" s="118">
        <f t="shared" ca="1" si="4"/>
        <v>688.24318974625271</v>
      </c>
      <c r="F12" s="118">
        <f t="shared" ca="1" si="5"/>
        <v>44395</v>
      </c>
      <c r="G12" s="118">
        <f t="shared" ca="1" si="6"/>
        <v>714.95284832406105</v>
      </c>
      <c r="H12" s="118">
        <f t="shared" ca="1" si="7"/>
        <v>2060</v>
      </c>
      <c r="I12" s="118">
        <f t="shared" ca="1" si="8"/>
        <v>0</v>
      </c>
      <c r="J12" s="118">
        <f t="shared" ca="1" si="9"/>
        <v>13747</v>
      </c>
      <c r="K12" s="118">
        <f t="shared" ca="1" si="10"/>
        <v>0</v>
      </c>
      <c r="L12" s="118">
        <f t="shared" ca="1" si="15"/>
        <v>44395</v>
      </c>
      <c r="M12" s="118">
        <f t="shared" ca="1" si="11"/>
        <v>0</v>
      </c>
      <c r="N12" s="118">
        <f t="shared" ca="1" si="12"/>
        <v>0</v>
      </c>
      <c r="O12" s="118">
        <f t="shared" ca="1" si="13"/>
        <v>0</v>
      </c>
      <c r="Q12">
        <v>0.77</v>
      </c>
      <c r="R12">
        <v>0.77</v>
      </c>
      <c r="S12">
        <v>0.8</v>
      </c>
      <c r="T12">
        <v>1.992</v>
      </c>
      <c r="U12">
        <v>0.77</v>
      </c>
    </row>
    <row r="13" spans="1:24">
      <c r="A13" s="118" t="str">
        <f t="shared" ca="1" si="0"/>
        <v>LV2086</v>
      </c>
      <c r="B13" s="118">
        <f t="shared" ca="1" si="1"/>
        <v>2094</v>
      </c>
      <c r="C13" s="118">
        <f t="shared" ca="1" si="2"/>
        <v>787.20026116948122</v>
      </c>
      <c r="D13" s="118">
        <f t="shared" ca="1" si="3"/>
        <v>13715</v>
      </c>
      <c r="E13" s="118">
        <f t="shared" ca="1" si="4"/>
        <v>780.94745413568148</v>
      </c>
      <c r="F13" s="118">
        <f t="shared" ca="1" si="5"/>
        <v>44384</v>
      </c>
      <c r="G13" s="118">
        <f t="shared" ca="1" si="6"/>
        <v>785.32678950689456</v>
      </c>
      <c r="H13" s="118">
        <f t="shared" ca="1" si="7"/>
        <v>2094</v>
      </c>
      <c r="I13" s="118">
        <f t="shared" ca="1" si="8"/>
        <v>0</v>
      </c>
      <c r="J13" s="118">
        <f t="shared" ca="1" si="9"/>
        <v>13715</v>
      </c>
      <c r="K13" s="118">
        <f t="shared" ca="1" si="10"/>
        <v>0</v>
      </c>
      <c r="L13" s="118">
        <f t="shared" ca="1" si="15"/>
        <v>44384</v>
      </c>
      <c r="M13" s="118">
        <f t="shared" ca="1" si="11"/>
        <v>0</v>
      </c>
      <c r="N13" s="118">
        <f t="shared" ca="1" si="12"/>
        <v>0</v>
      </c>
      <c r="O13" s="118">
        <f t="shared" ca="1" si="13"/>
        <v>0</v>
      </c>
      <c r="Q13">
        <v>0.77</v>
      </c>
      <c r="R13">
        <v>-0.27</v>
      </c>
      <c r="S13">
        <v>0.5</v>
      </c>
      <c r="T13">
        <v>0.86699999999999999</v>
      </c>
      <c r="U13">
        <v>0.27</v>
      </c>
    </row>
    <row r="14" spans="1:24">
      <c r="A14" s="118" t="str">
        <f t="shared" ca="1" si="0"/>
        <v>LV2193</v>
      </c>
      <c r="B14" s="118">
        <f t="shared" ca="1" si="1"/>
        <v>2137</v>
      </c>
      <c r="C14" s="118">
        <f t="shared" ca="1" si="2"/>
        <v>849</v>
      </c>
      <c r="D14" s="118">
        <f t="shared" ca="1" si="3"/>
        <v>13961</v>
      </c>
      <c r="E14" s="118">
        <f t="shared" ca="1" si="4"/>
        <v>823</v>
      </c>
      <c r="F14" s="118">
        <f t="shared" ca="1" si="5"/>
        <v>44880</v>
      </c>
      <c r="G14" s="118">
        <f t="shared" ca="1" si="6"/>
        <v>844.1</v>
      </c>
      <c r="H14" s="118">
        <f t="shared" ca="1" si="7"/>
        <v>2137</v>
      </c>
      <c r="I14" s="118">
        <f t="shared" ca="1" si="8"/>
        <v>0</v>
      </c>
      <c r="J14" s="118">
        <f t="shared" ca="1" si="9"/>
        <v>13961</v>
      </c>
      <c r="K14" s="118">
        <f t="shared" ca="1" si="10"/>
        <v>0</v>
      </c>
      <c r="L14" s="118">
        <f t="shared" ca="1" si="15"/>
        <v>44880</v>
      </c>
      <c r="M14" s="118">
        <f t="shared" ca="1" si="11"/>
        <v>1623</v>
      </c>
      <c r="N14" s="118">
        <f t="shared" ca="1" si="12"/>
        <v>12355</v>
      </c>
      <c r="O14" s="118">
        <f t="shared" ca="1" si="13"/>
        <v>36593</v>
      </c>
      <c r="Q14">
        <v>-0.28999999999999998</v>
      </c>
      <c r="R14">
        <v>-0.28999999999999998</v>
      </c>
      <c r="S14">
        <v>0.46</v>
      </c>
      <c r="T14">
        <v>11.032</v>
      </c>
      <c r="U14">
        <v>0.28999999999999998</v>
      </c>
    </row>
    <row r="15" spans="1:24">
      <c r="A15" s="118" t="str">
        <f t="shared" ca="1" si="0"/>
        <v>LV2182</v>
      </c>
      <c r="B15" s="118">
        <f t="shared" ca="1" si="1"/>
        <v>2034</v>
      </c>
      <c r="C15" s="118">
        <f t="shared" ca="1" si="2"/>
        <v>772.89295776928361</v>
      </c>
      <c r="D15" s="118">
        <f t="shared" ca="1" si="3"/>
        <v>13886</v>
      </c>
      <c r="E15" s="118">
        <f t="shared" ca="1" si="4"/>
        <v>770.63080755980479</v>
      </c>
      <c r="F15" s="118">
        <f t="shared" ca="1" si="5"/>
        <v>44762</v>
      </c>
      <c r="G15" s="118">
        <f t="shared" ca="1" si="6"/>
        <v>783.10203132041443</v>
      </c>
      <c r="H15" s="118">
        <f t="shared" ca="1" si="7"/>
        <v>2034</v>
      </c>
      <c r="I15" s="118">
        <f t="shared" ca="1" si="8"/>
        <v>0</v>
      </c>
      <c r="J15" s="118">
        <f t="shared" ca="1" si="9"/>
        <v>13886</v>
      </c>
      <c r="K15" s="118">
        <f t="shared" ca="1" si="10"/>
        <v>0</v>
      </c>
      <c r="L15" s="118">
        <f t="shared" ref="L15:L16" ca="1" si="16">INDIRECT("Main!Q" &amp; 3*(ROW()-2)+4)</f>
        <v>45150</v>
      </c>
      <c r="M15" s="118">
        <f t="shared" ca="1" si="11"/>
        <v>2450</v>
      </c>
      <c r="N15" s="118">
        <f t="shared" ca="1" si="12"/>
        <v>16675</v>
      </c>
      <c r="O15" s="118">
        <f t="shared" ca="1" si="13"/>
        <v>49551</v>
      </c>
      <c r="Q15">
        <v>0.59</v>
      </c>
      <c r="R15">
        <v>0.59</v>
      </c>
      <c r="S15">
        <v>0.62</v>
      </c>
      <c r="T15">
        <v>2.0379999999999998</v>
      </c>
      <c r="U15">
        <v>0.59</v>
      </c>
    </row>
    <row r="16" spans="1:24">
      <c r="A16" s="118" t="str">
        <f t="shared" ca="1" si="0"/>
        <v>LV2134</v>
      </c>
      <c r="B16" s="118">
        <f t="shared" ca="1" si="1"/>
        <v>2023</v>
      </c>
      <c r="C16" s="118">
        <f t="shared" ca="1" si="2"/>
        <v>768.7726246203348</v>
      </c>
      <c r="D16" s="118">
        <f t="shared" ca="1" si="3"/>
        <v>13751</v>
      </c>
      <c r="E16" s="118">
        <f t="shared" ca="1" si="4"/>
        <v>745.3385065706841</v>
      </c>
      <c r="F16" s="118">
        <f t="shared" ca="1" si="5"/>
        <v>44575</v>
      </c>
      <c r="G16" s="118">
        <f t="shared" ca="1" si="6"/>
        <v>760.14678967626651</v>
      </c>
      <c r="H16" s="118">
        <f ca="1">INDIRECT("Main!Q" &amp; 3*(ROW()-2)+2)</f>
        <v>2040</v>
      </c>
      <c r="I16" s="118">
        <f t="shared" ca="1" si="8"/>
        <v>770.5</v>
      </c>
      <c r="J16" s="118">
        <f ca="1">INDIRECT("Main!Q" &amp; 3*(ROW()-2)+3)</f>
        <v>13850</v>
      </c>
      <c r="K16" s="118">
        <f t="shared" ca="1" si="10"/>
        <v>746.5</v>
      </c>
      <c r="L16" s="118">
        <f t="shared" ca="1" si="16"/>
        <v>44973</v>
      </c>
      <c r="M16" s="118">
        <f t="shared" ca="1" si="11"/>
        <v>2388</v>
      </c>
      <c r="N16" s="118">
        <f t="shared" ca="1" si="12"/>
        <v>18169</v>
      </c>
      <c r="O16" s="118">
        <f t="shared" ca="1" si="13"/>
        <v>52583</v>
      </c>
      <c r="Q16">
        <v>0.22</v>
      </c>
      <c r="R16">
        <v>0.22</v>
      </c>
      <c r="S16">
        <v>0.42</v>
      </c>
      <c r="T16">
        <v>0.81599999999999995</v>
      </c>
      <c r="U16">
        <v>0.22</v>
      </c>
    </row>
    <row r="17" spans="1:22">
      <c r="A17" s="118" t="str">
        <f t="shared" ca="1" si="0"/>
        <v>LV2201</v>
      </c>
      <c r="B17" s="118">
        <f t="shared" ca="1" si="1"/>
        <v>2114</v>
      </c>
      <c r="C17" s="118">
        <f t="shared" ca="1" si="2"/>
        <v>776.7</v>
      </c>
      <c r="D17" s="118">
        <f t="shared" ca="1" si="3"/>
        <v>14036</v>
      </c>
      <c r="E17" s="118">
        <f t="shared" ca="1" si="4"/>
        <v>774</v>
      </c>
      <c r="F17" s="118">
        <f t="shared" ca="1" si="5"/>
        <v>45094</v>
      </c>
      <c r="G17" s="118">
        <f t="shared" ca="1" si="6"/>
        <v>789.9</v>
      </c>
      <c r="H17" s="118">
        <f t="shared" ref="H17:H19" ca="1" si="17">INDIRECT("Main!N" &amp; 3*(ROW()-2)+2)</f>
        <v>2114</v>
      </c>
      <c r="I17" s="118">
        <f t="shared" ca="1" si="8"/>
        <v>0</v>
      </c>
      <c r="J17" s="118">
        <f t="shared" ref="J17:J19" ca="1" si="18">INDIRECT("Main!N" &amp; 3*(ROW()-2)+3)</f>
        <v>14036</v>
      </c>
      <c r="K17" s="118">
        <f t="shared" ca="1" si="10"/>
        <v>0</v>
      </c>
      <c r="L17" s="118">
        <f t="shared" ref="L17:L19" ca="1" si="19">INDIRECT("Main!N" &amp; 3*(ROW()-2)+4)</f>
        <v>45094</v>
      </c>
      <c r="M17" s="118">
        <f t="shared" ca="1" si="11"/>
        <v>2499</v>
      </c>
      <c r="N17" s="118">
        <f t="shared" ca="1" si="12"/>
        <v>16526</v>
      </c>
      <c r="O17" s="118">
        <f t="shared" ca="1" si="13"/>
        <v>47911</v>
      </c>
      <c r="Q17">
        <v>-0.56999999999999995</v>
      </c>
      <c r="R17">
        <v>-0.56999999999999995</v>
      </c>
      <c r="S17">
        <v>3.08</v>
      </c>
      <c r="T17">
        <v>14.943</v>
      </c>
      <c r="U17">
        <v>0.56999999999999995</v>
      </c>
      <c r="V17" s="168" t="s">
        <v>579</v>
      </c>
    </row>
    <row r="18" spans="1:22">
      <c r="A18" s="118" t="str">
        <f t="shared" ca="1" si="0"/>
        <v>LV2032</v>
      </c>
      <c r="B18" s="118">
        <f t="shared" ca="1" si="1"/>
        <v>2097</v>
      </c>
      <c r="C18" s="118">
        <f t="shared" ca="1" si="2"/>
        <v>772.7</v>
      </c>
      <c r="D18" s="118">
        <f t="shared" ca="1" si="3"/>
        <v>13995</v>
      </c>
      <c r="E18" s="118">
        <f t="shared" ca="1" si="4"/>
        <v>766.9</v>
      </c>
      <c r="F18" s="118">
        <f t="shared" ca="1" si="5"/>
        <v>45059</v>
      </c>
      <c r="G18" s="118">
        <f t="shared" ca="1" si="6"/>
        <v>791.8</v>
      </c>
      <c r="H18" s="118">
        <f t="shared" ca="1" si="17"/>
        <v>2097</v>
      </c>
      <c r="I18" s="118">
        <f t="shared" ca="1" si="8"/>
        <v>0</v>
      </c>
      <c r="J18" s="118">
        <f t="shared" ca="1" si="18"/>
        <v>13995</v>
      </c>
      <c r="K18" s="118">
        <f t="shared" ca="1" si="10"/>
        <v>0</v>
      </c>
      <c r="L18" s="118">
        <f t="shared" ca="1" si="19"/>
        <v>45059</v>
      </c>
      <c r="M18" s="118">
        <f t="shared" ca="1" si="11"/>
        <v>2472</v>
      </c>
      <c r="N18" s="118">
        <f t="shared" ca="1" si="12"/>
        <v>16671</v>
      </c>
      <c r="O18" s="118">
        <f t="shared" ca="1" si="13"/>
        <v>46781</v>
      </c>
      <c r="Q18">
        <v>-0.27</v>
      </c>
      <c r="R18">
        <v>-0.27</v>
      </c>
      <c r="S18">
        <v>1.01</v>
      </c>
      <c r="T18">
        <v>2.399</v>
      </c>
      <c r="U18">
        <v>0.27</v>
      </c>
    </row>
    <row r="19" spans="1:22">
      <c r="A19" s="118" t="str">
        <f t="shared" ca="1" si="0"/>
        <v>LV2070</v>
      </c>
      <c r="B19" s="118">
        <f t="shared" ca="1" si="1"/>
        <v>2097</v>
      </c>
      <c r="C19" s="118">
        <f t="shared" ca="1" si="2"/>
        <v>817.5265124369638</v>
      </c>
      <c r="D19" s="118">
        <f t="shared" ca="1" si="3"/>
        <v>13975</v>
      </c>
      <c r="E19" s="118">
        <f t="shared" ca="1" si="4"/>
        <v>806.82638758993119</v>
      </c>
      <c r="F19" s="118">
        <f t="shared" ca="1" si="5"/>
        <v>44913</v>
      </c>
      <c r="G19" s="118">
        <f t="shared" ca="1" si="6"/>
        <v>831.37618901593339</v>
      </c>
      <c r="H19" s="118">
        <f t="shared" ca="1" si="17"/>
        <v>2097</v>
      </c>
      <c r="I19" s="118">
        <f t="shared" ca="1" si="8"/>
        <v>0</v>
      </c>
      <c r="J19" s="118">
        <f t="shared" ca="1" si="18"/>
        <v>13975</v>
      </c>
      <c r="K19" s="118">
        <f t="shared" ca="1" si="10"/>
        <v>0</v>
      </c>
      <c r="L19" s="118">
        <f t="shared" ca="1" si="19"/>
        <v>44913</v>
      </c>
      <c r="M19" s="118">
        <f t="shared" ca="1" si="11"/>
        <v>1889</v>
      </c>
      <c r="N19" s="118">
        <f t="shared" ca="1" si="12"/>
        <v>13489</v>
      </c>
      <c r="O19" s="118">
        <f t="shared" ca="1" si="13"/>
        <v>38899</v>
      </c>
      <c r="Q19">
        <v>0.03</v>
      </c>
      <c r="R19">
        <v>0.03</v>
      </c>
      <c r="S19">
        <v>0.39</v>
      </c>
      <c r="T19">
        <v>0.92200000000000004</v>
      </c>
      <c r="U19">
        <v>0.03</v>
      </c>
    </row>
    <row r="20" spans="1:22">
      <c r="A20" s="118" t="str">
        <f t="shared" ca="1" si="0"/>
        <v>LV1788</v>
      </c>
      <c r="B20" s="118">
        <f t="shared" ca="1" si="1"/>
        <v>2051</v>
      </c>
      <c r="C20" s="118">
        <f t="shared" ca="1" si="2"/>
        <v>794.07175861353358</v>
      </c>
      <c r="D20" s="118">
        <f t="shared" ca="1" si="3"/>
        <v>13863</v>
      </c>
      <c r="E20" s="118">
        <f t="shared" ca="1" si="4"/>
        <v>795.76237229613162</v>
      </c>
      <c r="F20" s="118">
        <f t="shared" ca="1" si="5"/>
        <v>44801</v>
      </c>
      <c r="G20" s="118">
        <f t="shared" ca="1" si="6"/>
        <v>834.92389694091617</v>
      </c>
      <c r="H20" s="118">
        <f ca="1">INDIRECT("Main!Q" &amp; 3*(ROW()-2)+2)</f>
        <v>2079</v>
      </c>
      <c r="I20" s="118">
        <f t="shared" ca="1" si="8"/>
        <v>796</v>
      </c>
      <c r="J20" s="118">
        <f ca="1">INDIRECT("Main!Q" &amp; 3*(ROW()-2)+3)</f>
        <v>14015</v>
      </c>
      <c r="K20" s="118">
        <f t="shared" ca="1" si="10"/>
        <v>797.5</v>
      </c>
      <c r="L20" s="118">
        <f t="shared" ref="L20:L22" ca="1" si="20">INDIRECT("Main!Q" &amp; 3*(ROW()-2)+4)</f>
        <v>44989</v>
      </c>
      <c r="M20" s="118">
        <f t="shared" ca="1" si="11"/>
        <v>2137</v>
      </c>
      <c r="N20" s="118">
        <f t="shared" ca="1" si="12"/>
        <v>14186</v>
      </c>
      <c r="O20" s="118">
        <f t="shared" ca="1" si="13"/>
        <v>38214</v>
      </c>
      <c r="Q20">
        <v>-0.48</v>
      </c>
      <c r="R20">
        <v>-0.48</v>
      </c>
      <c r="S20">
        <v>-2.12</v>
      </c>
      <c r="T20">
        <v>13.349</v>
      </c>
      <c r="U20">
        <v>0.48</v>
      </c>
    </row>
    <row r="21" spans="1:22">
      <c r="A21" s="118" t="str">
        <f t="shared" ca="1" si="0"/>
        <v>LV2121</v>
      </c>
      <c r="B21" s="118">
        <f t="shared" ca="1" si="1"/>
        <v>2055</v>
      </c>
      <c r="C21" s="118">
        <f t="shared" ca="1" si="2"/>
        <v>764.21123507872358</v>
      </c>
      <c r="D21" s="118">
        <f t="shared" ca="1" si="3"/>
        <v>13821</v>
      </c>
      <c r="E21" s="118">
        <f t="shared" ca="1" si="4"/>
        <v>759.75444489669951</v>
      </c>
      <c r="F21" s="118">
        <f t="shared" ca="1" si="5"/>
        <v>44533</v>
      </c>
      <c r="G21" s="118">
        <f t="shared" ca="1" si="6"/>
        <v>773.67967015234535</v>
      </c>
      <c r="H21" s="118">
        <f t="shared" ref="H21:H24" ca="1" si="21">INDIRECT("Main!N" &amp; 3*(ROW()-2)+2)</f>
        <v>2055</v>
      </c>
      <c r="I21" s="118">
        <f t="shared" ca="1" si="8"/>
        <v>0</v>
      </c>
      <c r="J21" s="118">
        <f t="shared" ref="J21:J27" ca="1" si="22">INDIRECT("Main!N" &amp; 3*(ROW()-2)+3)</f>
        <v>13821</v>
      </c>
      <c r="K21" s="118">
        <f t="shared" ca="1" si="10"/>
        <v>0</v>
      </c>
      <c r="L21" s="118">
        <f t="shared" ca="1" si="20"/>
        <v>44998</v>
      </c>
      <c r="M21" s="118">
        <f t="shared" ca="1" si="11"/>
        <v>2530</v>
      </c>
      <c r="N21" s="118">
        <f t="shared" ca="1" si="12"/>
        <v>17129</v>
      </c>
      <c r="O21" s="118">
        <f t="shared" ca="1" si="13"/>
        <v>50985</v>
      </c>
      <c r="Q21">
        <v>0.16</v>
      </c>
      <c r="R21">
        <v>0.16</v>
      </c>
      <c r="S21">
        <v>7.0000000000000007E-2</v>
      </c>
      <c r="T21">
        <v>2.254</v>
      </c>
      <c r="U21">
        <v>0.16</v>
      </c>
    </row>
    <row r="22" spans="1:22">
      <c r="A22" s="118" t="str">
        <f t="shared" ca="1" si="0"/>
        <v>LV2122</v>
      </c>
      <c r="B22" s="118">
        <f t="shared" ca="1" si="1"/>
        <v>2109</v>
      </c>
      <c r="C22" s="118">
        <f t="shared" ca="1" si="2"/>
        <v>790.61532884479334</v>
      </c>
      <c r="D22" s="118">
        <f t="shared" ca="1" si="3"/>
        <v>14093</v>
      </c>
      <c r="E22" s="118">
        <f t="shared" ca="1" si="4"/>
        <v>789.82277669116581</v>
      </c>
      <c r="F22" s="118">
        <f t="shared" ca="1" si="5"/>
        <v>45308</v>
      </c>
      <c r="G22" s="118">
        <f t="shared" ca="1" si="6"/>
        <v>817.19543003485137</v>
      </c>
      <c r="H22" s="118">
        <f t="shared" ca="1" si="21"/>
        <v>2109</v>
      </c>
      <c r="I22" s="118">
        <f t="shared" ca="1" si="8"/>
        <v>0</v>
      </c>
      <c r="J22" s="118">
        <f t="shared" ca="1" si="22"/>
        <v>14093</v>
      </c>
      <c r="K22" s="118">
        <f t="shared" ca="1" si="10"/>
        <v>0</v>
      </c>
      <c r="L22" s="118">
        <f t="shared" ca="1" si="20"/>
        <v>44807</v>
      </c>
      <c r="M22" s="118">
        <f t="shared" ca="1" si="11"/>
        <v>2238</v>
      </c>
      <c r="N22" s="118">
        <f t="shared" ca="1" si="12"/>
        <v>14921</v>
      </c>
      <c r="O22" s="118">
        <f t="shared" ca="1" si="13"/>
        <v>41588</v>
      </c>
      <c r="Q22">
        <v>-0.31</v>
      </c>
      <c r="R22">
        <v>-0.31</v>
      </c>
      <c r="S22">
        <v>0.38</v>
      </c>
      <c r="T22">
        <v>0.88900000000000001</v>
      </c>
      <c r="U22">
        <v>0.31</v>
      </c>
    </row>
    <row r="23" spans="1:22">
      <c r="A23" s="118" t="str">
        <f t="shared" ca="1" si="0"/>
        <v>LV2090</v>
      </c>
      <c r="B23" s="118">
        <f t="shared" ca="1" si="1"/>
        <v>2094</v>
      </c>
      <c r="C23" s="118">
        <f t="shared" ca="1" si="2"/>
        <v>792.0631264002227</v>
      </c>
      <c r="D23" s="118">
        <f t="shared" ca="1" si="3"/>
        <v>14013</v>
      </c>
      <c r="E23" s="118">
        <f t="shared" ca="1" si="4"/>
        <v>783.76878551235995</v>
      </c>
      <c r="F23" s="118">
        <f t="shared" ca="1" si="5"/>
        <v>44889</v>
      </c>
      <c r="G23" s="118">
        <f t="shared" ca="1" si="6"/>
        <v>787.14263089012468</v>
      </c>
      <c r="H23" s="118">
        <f t="shared" ca="1" si="21"/>
        <v>2094</v>
      </c>
      <c r="I23" s="118">
        <f t="shared" ca="1" si="8"/>
        <v>0</v>
      </c>
      <c r="J23" s="118">
        <f t="shared" ca="1" si="22"/>
        <v>14013</v>
      </c>
      <c r="K23" s="118">
        <f t="shared" ca="1" si="10"/>
        <v>0</v>
      </c>
      <c r="L23" s="118">
        <f ca="1">INDIRECT("Main!N" &amp; 3*(ROW()-2)+4)</f>
        <v>44889</v>
      </c>
      <c r="M23" s="118">
        <f t="shared" ca="1" si="11"/>
        <v>2221</v>
      </c>
      <c r="N23" s="118">
        <f t="shared" ca="1" si="12"/>
        <v>15582</v>
      </c>
      <c r="O23" s="118">
        <f t="shared" ca="1" si="13"/>
        <v>48860</v>
      </c>
      <c r="Q23">
        <v>-0.14000000000000001</v>
      </c>
      <c r="R23">
        <v>-0.14000000000000001</v>
      </c>
      <c r="S23">
        <v>-0.85</v>
      </c>
      <c r="T23">
        <v>12.827999999999999</v>
      </c>
      <c r="U23">
        <v>0.14000000000000001</v>
      </c>
    </row>
    <row r="24" spans="1:22">
      <c r="A24" s="118" t="str">
        <f t="shared" ca="1" si="0"/>
        <v>LV2062</v>
      </c>
      <c r="B24" s="118">
        <f t="shared" ca="1" si="1"/>
        <v>2104</v>
      </c>
      <c r="C24" s="118">
        <f t="shared" ca="1" si="2"/>
        <v>757.27695480183775</v>
      </c>
      <c r="D24" s="118">
        <f t="shared" ca="1" si="3"/>
        <v>14009</v>
      </c>
      <c r="E24" s="118">
        <f t="shared" ca="1" si="4"/>
        <v>748.74433788898352</v>
      </c>
      <c r="F24" s="118">
        <f t="shared" ca="1" si="5"/>
        <v>45609</v>
      </c>
      <c r="G24" s="118">
        <f t="shared" ca="1" si="6"/>
        <v>754.54371375900519</v>
      </c>
      <c r="H24" s="118">
        <f t="shared" ca="1" si="21"/>
        <v>2104</v>
      </c>
      <c r="I24" s="118">
        <f t="shared" ca="1" si="8"/>
        <v>0</v>
      </c>
      <c r="J24" s="118">
        <f t="shared" ca="1" si="22"/>
        <v>14009</v>
      </c>
      <c r="K24" s="118">
        <f t="shared" ca="1" si="10"/>
        <v>0</v>
      </c>
      <c r="L24" s="118">
        <f ca="1">INDIRECT("Main!Q" &amp; 3*(ROW()-2)+4)</f>
        <v>44912</v>
      </c>
      <c r="M24" s="118">
        <f t="shared" ca="1" si="11"/>
        <v>2837</v>
      </c>
      <c r="N24" s="118">
        <f t="shared" ca="1" si="12"/>
        <v>19710</v>
      </c>
      <c r="O24" s="118">
        <f t="shared" ca="1" si="13"/>
        <v>60000</v>
      </c>
      <c r="Q24">
        <v>-0.48</v>
      </c>
      <c r="R24">
        <v>-0.48</v>
      </c>
      <c r="S24">
        <v>-0.77</v>
      </c>
      <c r="T24">
        <v>2.1960000000000002</v>
      </c>
      <c r="U24">
        <v>0.48</v>
      </c>
    </row>
    <row r="25" spans="1:22">
      <c r="A25" s="118" t="str">
        <f t="shared" ca="1" si="0"/>
        <v>LV2063</v>
      </c>
      <c r="B25" s="118">
        <f t="shared" ca="1" si="1"/>
        <v>2083</v>
      </c>
      <c r="C25" s="118">
        <f t="shared" ca="1" si="2"/>
        <v>729.88398229040706</v>
      </c>
      <c r="D25" s="118">
        <f t="shared" ca="1" si="3"/>
        <v>13908</v>
      </c>
      <c r="E25" s="118">
        <f t="shared" ca="1" si="4"/>
        <v>723.28430915664069</v>
      </c>
      <c r="F25" s="118">
        <f t="shared" ca="1" si="5"/>
        <v>46767</v>
      </c>
      <c r="G25" s="118">
        <f t="shared" ca="1" si="6"/>
        <v>753.51082883261893</v>
      </c>
      <c r="H25" s="118">
        <f ca="1">INDIRECT("Main!Q" &amp; 3*(ROW()-2)+2)</f>
        <v>0</v>
      </c>
      <c r="I25" s="118">
        <f t="shared" ca="1" si="8"/>
        <v>0</v>
      </c>
      <c r="J25" s="118">
        <f t="shared" ca="1" si="22"/>
        <v>13908</v>
      </c>
      <c r="K25" s="118">
        <f t="shared" ca="1" si="10"/>
        <v>0</v>
      </c>
      <c r="L25" s="118">
        <f ca="1">INDIRECT("Main!N" &amp; 3*(ROW()-2)+4)</f>
        <v>46767</v>
      </c>
      <c r="M25" s="118">
        <f t="shared" ca="1" si="11"/>
        <v>0</v>
      </c>
      <c r="N25" s="118">
        <f t="shared" ca="1" si="12"/>
        <v>0</v>
      </c>
      <c r="O25" s="118">
        <f t="shared" ca="1" si="13"/>
        <v>0</v>
      </c>
      <c r="Q25">
        <v>-0.43</v>
      </c>
      <c r="R25">
        <v>-0.43</v>
      </c>
      <c r="S25">
        <v>-0.01</v>
      </c>
      <c r="T25">
        <v>0.877</v>
      </c>
      <c r="U25">
        <v>0.43</v>
      </c>
    </row>
    <row r="26" spans="1:22">
      <c r="A26" s="118" t="str">
        <f t="shared" ca="1" si="0"/>
        <v>LV2126</v>
      </c>
      <c r="B26" s="118">
        <f t="shared" ca="1" si="1"/>
        <v>2078</v>
      </c>
      <c r="C26" s="118">
        <f t="shared" ca="1" si="2"/>
        <v>766.9500350700481</v>
      </c>
      <c r="D26" s="118">
        <f t="shared" ca="1" si="3"/>
        <v>13920</v>
      </c>
      <c r="E26" s="118">
        <f t="shared" ca="1" si="4"/>
        <v>763.01887211624398</v>
      </c>
      <c r="F26" s="118">
        <f t="shared" ca="1" si="5"/>
        <v>44797</v>
      </c>
      <c r="G26" s="118">
        <f t="shared" ca="1" si="6"/>
        <v>775.04034243342323</v>
      </c>
      <c r="H26" s="118">
        <f t="shared" ref="H26:H27" ca="1" si="23">INDIRECT("Main!N" &amp; 3*(ROW()-2)+2)</f>
        <v>2078</v>
      </c>
      <c r="I26" s="118">
        <f t="shared" ca="1" si="8"/>
        <v>0</v>
      </c>
      <c r="J26" s="118">
        <f t="shared" ca="1" si="22"/>
        <v>13920</v>
      </c>
      <c r="K26" s="118">
        <f t="shared" ca="1" si="10"/>
        <v>0</v>
      </c>
      <c r="L26" s="118">
        <f ca="1">INDIRECT("Main!Q" &amp; 3*(ROW()-2)+4)</f>
        <v>45195</v>
      </c>
      <c r="M26" s="118">
        <f t="shared" ca="1" si="11"/>
        <v>2616</v>
      </c>
      <c r="N26" s="118">
        <f t="shared" ca="1" si="12"/>
        <v>17546</v>
      </c>
      <c r="O26" s="118">
        <f t="shared" ca="1" si="13"/>
        <v>52190</v>
      </c>
      <c r="Q26">
        <v>-0.77</v>
      </c>
      <c r="R26">
        <v>-0.77</v>
      </c>
      <c r="S26">
        <v>0.82</v>
      </c>
      <c r="T26">
        <v>14.587</v>
      </c>
      <c r="U26">
        <v>0.77</v>
      </c>
    </row>
    <row r="27" spans="1:22">
      <c r="A27" s="118" t="str">
        <f t="shared" ca="1" si="0"/>
        <v>LV2136</v>
      </c>
      <c r="B27" s="118">
        <f t="shared" ca="1" si="1"/>
        <v>2102</v>
      </c>
      <c r="C27" s="118">
        <f t="shared" ca="1" si="2"/>
        <v>792.77191547684902</v>
      </c>
      <c r="D27" s="118">
        <f t="shared" ca="1" si="3"/>
        <v>13882</v>
      </c>
      <c r="E27" s="118">
        <f t="shared" ca="1" si="4"/>
        <v>783.48089292588418</v>
      </c>
      <c r="F27" s="118">
        <f t="shared" ca="1" si="5"/>
        <v>44620</v>
      </c>
      <c r="G27" s="118">
        <f t="shared" ca="1" si="6"/>
        <v>807.14837617254841</v>
      </c>
      <c r="H27" s="118">
        <f t="shared" ca="1" si="23"/>
        <v>2102</v>
      </c>
      <c r="I27" s="118">
        <f t="shared" ca="1" si="8"/>
        <v>0</v>
      </c>
      <c r="J27" s="118">
        <f t="shared" ca="1" si="22"/>
        <v>13882</v>
      </c>
      <c r="K27" s="118">
        <f t="shared" ca="1" si="10"/>
        <v>0</v>
      </c>
      <c r="L27" s="118">
        <f t="shared" ref="L27:L28" ca="1" si="24">INDIRECT("Main!N" &amp; 3*(ROW()-2)+4)</f>
        <v>44620</v>
      </c>
      <c r="M27" s="118">
        <f t="shared" ca="1" si="11"/>
        <v>0</v>
      </c>
      <c r="N27" s="118">
        <f t="shared" ca="1" si="12"/>
        <v>0</v>
      </c>
      <c r="O27" s="118">
        <f t="shared" ca="1" si="13"/>
        <v>0</v>
      </c>
      <c r="Q27">
        <v>-0.81</v>
      </c>
      <c r="R27">
        <v>-0.81</v>
      </c>
      <c r="S27">
        <v>-0.31</v>
      </c>
      <c r="T27">
        <v>2.3980000000000001</v>
      </c>
      <c r="U27">
        <v>0.81</v>
      </c>
    </row>
    <row r="28" spans="1:22">
      <c r="A28" s="118" t="str">
        <f t="shared" ca="1" si="0"/>
        <v>LV2176</v>
      </c>
      <c r="B28" s="118">
        <f t="shared" ca="1" si="1"/>
        <v>2093</v>
      </c>
      <c r="C28" s="118">
        <f t="shared" ca="1" si="2"/>
        <v>781.2772031642894</v>
      </c>
      <c r="D28" s="118">
        <f t="shared" ca="1" si="3"/>
        <v>14336</v>
      </c>
      <c r="E28" s="118">
        <f t="shared" ca="1" si="4"/>
        <v>775.72279283245291</v>
      </c>
      <c r="F28" s="118">
        <f t="shared" ca="1" si="5"/>
        <v>44976</v>
      </c>
      <c r="G28" s="118">
        <f t="shared" ca="1" si="6"/>
        <v>802.66558935518162</v>
      </c>
      <c r="H28" s="118">
        <f ca="1">INDIRECT("Main!Q" &amp; 3*(ROW()-2)+2)</f>
        <v>2087</v>
      </c>
      <c r="I28" s="118">
        <f t="shared" ca="1" si="8"/>
        <v>773.7</v>
      </c>
      <c r="J28" s="118">
        <f ca="1">INDIRECT("Main!Q" &amp; 3*(ROW()-2)+3)</f>
        <v>14161</v>
      </c>
      <c r="K28" s="118">
        <f t="shared" ca="1" si="10"/>
        <v>773.7</v>
      </c>
      <c r="L28" s="118">
        <f t="shared" ca="1" si="24"/>
        <v>44976</v>
      </c>
      <c r="M28" s="118">
        <f t="shared" ca="1" si="11"/>
        <v>2488</v>
      </c>
      <c r="N28" s="118">
        <f t="shared" ca="1" si="12"/>
        <v>16443</v>
      </c>
      <c r="O28" s="118">
        <f t="shared" ca="1" si="13"/>
        <v>44939</v>
      </c>
      <c r="Q28">
        <v>0.97</v>
      </c>
      <c r="R28">
        <v>0.52</v>
      </c>
      <c r="S28">
        <v>0.21</v>
      </c>
      <c r="T28">
        <v>0.81899999999999995</v>
      </c>
      <c r="U28">
        <v>0.52</v>
      </c>
    </row>
    <row r="29" spans="1:22">
      <c r="A29" s="118" t="str">
        <f t="shared" ca="1" si="0"/>
        <v>LV2079</v>
      </c>
      <c r="B29" s="118">
        <f t="shared" ca="1" si="1"/>
        <v>0</v>
      </c>
      <c r="C29" s="118">
        <f t="shared" ca="1" si="2"/>
        <v>871.38616238923896</v>
      </c>
      <c r="D29" s="118">
        <f t="shared" ca="1" si="3"/>
        <v>14168</v>
      </c>
      <c r="E29" s="118">
        <f t="shared" ca="1" si="4"/>
        <v>837.7995398961549</v>
      </c>
      <c r="F29" s="118">
        <f t="shared" ca="1" si="5"/>
        <v>45355</v>
      </c>
      <c r="G29" s="118">
        <f t="shared" ca="1" si="6"/>
        <v>835.36742153655905</v>
      </c>
      <c r="H29" s="118">
        <f t="shared" ref="H29:H31" ca="1" si="25">INDIRECT("Main!N" &amp; 3*(ROW()-2)+2)</f>
        <v>0</v>
      </c>
      <c r="I29" s="118">
        <f t="shared" ca="1" si="8"/>
        <v>0</v>
      </c>
      <c r="J29" s="118">
        <f t="shared" ref="J29:J30" ca="1" si="26">INDIRECT("Main!N" &amp; 3*(ROW()-2)+3)</f>
        <v>14168</v>
      </c>
      <c r="K29" s="118">
        <f t="shared" ca="1" si="10"/>
        <v>0</v>
      </c>
      <c r="L29" s="118">
        <f t="shared" ref="L29:L33" ca="1" si="27">INDIRECT("Main!Q" &amp; 3*(ROW()-2)+4)</f>
        <v>45016</v>
      </c>
      <c r="M29" s="118">
        <f t="shared" ca="1" si="11"/>
        <v>1300</v>
      </c>
      <c r="N29" s="118">
        <f t="shared" ca="1" si="12"/>
        <v>11245</v>
      </c>
      <c r="O29" s="118">
        <f t="shared" ca="1" si="13"/>
        <v>37171</v>
      </c>
      <c r="Q29">
        <v>2.82</v>
      </c>
      <c r="R29">
        <v>-0.28999999999999998</v>
      </c>
      <c r="S29">
        <v>-0.11</v>
      </c>
      <c r="T29">
        <v>11.522</v>
      </c>
      <c r="U29">
        <v>0.28999999999999998</v>
      </c>
    </row>
    <row r="30" spans="1:22">
      <c r="A30" s="118" t="str">
        <f t="shared" ca="1" si="0"/>
        <v>LV2083</v>
      </c>
      <c r="B30" s="118">
        <f t="shared" ca="1" si="1"/>
        <v>2092</v>
      </c>
      <c r="C30" s="118">
        <f t="shared" ca="1" si="2"/>
        <v>753.03917836265612</v>
      </c>
      <c r="D30" s="118">
        <f t="shared" ca="1" si="3"/>
        <v>14073</v>
      </c>
      <c r="E30" s="118">
        <f t="shared" ca="1" si="4"/>
        <v>745.18487889544156</v>
      </c>
      <c r="F30" s="118">
        <f t="shared" ca="1" si="5"/>
        <v>46091</v>
      </c>
      <c r="G30" s="118">
        <f t="shared" ca="1" si="6"/>
        <v>748.07586967788666</v>
      </c>
      <c r="H30" s="118">
        <f t="shared" ca="1" si="25"/>
        <v>2092</v>
      </c>
      <c r="I30" s="118">
        <f t="shared" ca="1" si="8"/>
        <v>0</v>
      </c>
      <c r="J30" s="118">
        <f t="shared" ca="1" si="26"/>
        <v>14073</v>
      </c>
      <c r="K30" s="118">
        <f t="shared" ca="1" si="10"/>
        <v>0</v>
      </c>
      <c r="L30" s="118">
        <f t="shared" ca="1" si="27"/>
        <v>45102</v>
      </c>
      <c r="M30" s="118">
        <f t="shared" ca="1" si="11"/>
        <v>2945</v>
      </c>
      <c r="N30" s="118">
        <f t="shared" ca="1" si="12"/>
        <v>20432</v>
      </c>
      <c r="O30" s="118">
        <f t="shared" ca="1" si="13"/>
        <v>62932</v>
      </c>
      <c r="Q30">
        <v>-0.52</v>
      </c>
      <c r="R30">
        <v>-0.52</v>
      </c>
      <c r="S30">
        <v>-0.19</v>
      </c>
      <c r="T30">
        <v>2.3620000000000001</v>
      </c>
      <c r="U30">
        <v>0.52</v>
      </c>
    </row>
    <row r="31" spans="1:22">
      <c r="A31" s="118" t="str">
        <f t="shared" ca="1" si="0"/>
        <v>LV2200</v>
      </c>
      <c r="B31" s="118">
        <f t="shared" ca="1" si="1"/>
        <v>2150</v>
      </c>
      <c r="C31" s="118">
        <f t="shared" ca="1" si="2"/>
        <v>715.32874434979044</v>
      </c>
      <c r="D31" s="118">
        <f t="shared" ca="1" si="3"/>
        <v>14244</v>
      </c>
      <c r="E31" s="118">
        <f t="shared" ca="1" si="4"/>
        <v>707.99412418020302</v>
      </c>
      <c r="F31" s="118">
        <f t="shared" ca="1" si="5"/>
        <v>45694</v>
      </c>
      <c r="G31" s="118">
        <f t="shared" ca="1" si="6"/>
        <v>713.3643234553391</v>
      </c>
      <c r="H31" s="118">
        <f t="shared" ca="1" si="25"/>
        <v>2150</v>
      </c>
      <c r="I31" s="118">
        <f t="shared" ca="1" si="8"/>
        <v>0</v>
      </c>
      <c r="J31" s="118">
        <f t="shared" ref="J31:J33" ca="1" si="28">INDIRECT("Main!Q" &amp; 3*(ROW()-2)+3)</f>
        <v>14151</v>
      </c>
      <c r="K31" s="118">
        <f t="shared" ca="1" si="10"/>
        <v>707</v>
      </c>
      <c r="L31" s="118">
        <f t="shared" ca="1" si="27"/>
        <v>45059</v>
      </c>
      <c r="M31" s="118">
        <f t="shared" ca="1" si="11"/>
        <v>4004</v>
      </c>
      <c r="N31" s="118">
        <f t="shared" ca="1" si="12"/>
        <v>27280</v>
      </c>
      <c r="O31" s="118" t="str">
        <f t="shared" ca="1" si="13"/>
        <v>saturates</v>
      </c>
      <c r="Q31">
        <v>-0.61</v>
      </c>
      <c r="R31">
        <v>-0.61</v>
      </c>
      <c r="S31">
        <v>-7.0000000000000007E-2</v>
      </c>
      <c r="T31">
        <v>0.91700000000000004</v>
      </c>
      <c r="U31">
        <v>0.61</v>
      </c>
    </row>
    <row r="32" spans="1:22">
      <c r="A32" s="118" t="str">
        <f t="shared" ca="1" si="0"/>
        <v>LV2146</v>
      </c>
      <c r="B32" s="118">
        <f t="shared" ca="1" si="1"/>
        <v>2024</v>
      </c>
      <c r="C32" s="118">
        <f t="shared" ca="1" si="2"/>
        <v>751.55142560684578</v>
      </c>
      <c r="D32" s="118">
        <f t="shared" ca="1" si="3"/>
        <v>13469</v>
      </c>
      <c r="E32" s="118">
        <f t="shared" ca="1" si="4"/>
        <v>749.59021453322896</v>
      </c>
      <c r="F32" s="118">
        <f t="shared" ca="1" si="5"/>
        <v>44467</v>
      </c>
      <c r="G32" s="118">
        <f t="shared" ca="1" si="6"/>
        <v>774.02440804093885</v>
      </c>
      <c r="H32" s="118">
        <f t="shared" ref="H32:H33" ca="1" si="29">INDIRECT("Main!Q" &amp; 3*(ROW()-2)+2)</f>
        <v>2070</v>
      </c>
      <c r="I32" s="118">
        <f t="shared" ca="1" si="8"/>
        <v>753</v>
      </c>
      <c r="J32" s="118">
        <f t="shared" ca="1" si="28"/>
        <v>13806</v>
      </c>
      <c r="K32" s="118">
        <f t="shared" ca="1" si="10"/>
        <v>752.5</v>
      </c>
      <c r="L32" s="118">
        <f t="shared" ca="1" si="27"/>
        <v>44949</v>
      </c>
      <c r="M32" s="118">
        <f t="shared" ca="1" si="11"/>
        <v>2818</v>
      </c>
      <c r="N32" s="118">
        <f t="shared" ca="1" si="12"/>
        <v>18312</v>
      </c>
      <c r="O32" s="118">
        <f t="shared" ca="1" si="13"/>
        <v>51016</v>
      </c>
      <c r="Q32">
        <v>-1.94</v>
      </c>
      <c r="R32">
        <v>-1.94</v>
      </c>
      <c r="S32" t="e">
        <v>#DIV/0!</v>
      </c>
      <c r="T32">
        <v>14.369</v>
      </c>
      <c r="U32">
        <v>1.94</v>
      </c>
    </row>
    <row r="33" spans="1:21">
      <c r="A33" s="118" t="str">
        <f t="shared" ca="1" si="0"/>
        <v>LV2155</v>
      </c>
      <c r="B33" s="118">
        <f t="shared" ca="1" si="1"/>
        <v>2046</v>
      </c>
      <c r="C33" s="118">
        <f t="shared" ca="1" si="2"/>
        <v>781.6204795256233</v>
      </c>
      <c r="D33" s="118">
        <f t="shared" ca="1" si="3"/>
        <v>13746</v>
      </c>
      <c r="E33" s="118">
        <f t="shared" ca="1" si="4"/>
        <v>778.17667065548721</v>
      </c>
      <c r="F33" s="118">
        <f t="shared" ca="1" si="5"/>
        <v>44517</v>
      </c>
      <c r="G33" s="118">
        <f t="shared" ca="1" si="6"/>
        <v>802.11786990806615</v>
      </c>
      <c r="H33" s="118">
        <f t="shared" ca="1" si="29"/>
        <v>2068</v>
      </c>
      <c r="I33" s="118">
        <f t="shared" ca="1" si="8"/>
        <v>784</v>
      </c>
      <c r="J33" s="118">
        <f t="shared" ca="1" si="28"/>
        <v>13846</v>
      </c>
      <c r="K33" s="118">
        <f t="shared" ca="1" si="10"/>
        <v>779.5</v>
      </c>
      <c r="L33" s="118">
        <f t="shared" ca="1" si="27"/>
        <v>44917</v>
      </c>
      <c r="M33" s="118">
        <f t="shared" ca="1" si="11"/>
        <v>2280</v>
      </c>
      <c r="N33" s="118">
        <f t="shared" ca="1" si="12"/>
        <v>15387</v>
      </c>
      <c r="O33" s="118">
        <f t="shared" ca="1" si="13"/>
        <v>44057</v>
      </c>
      <c r="Q33">
        <v>-1.84</v>
      </c>
      <c r="R33">
        <v>-1.84</v>
      </c>
      <c r="S33" t="e">
        <v>#DIV/0!</v>
      </c>
      <c r="T33">
        <v>2.5459999999999998</v>
      </c>
      <c r="U33">
        <v>1.84</v>
      </c>
    </row>
    <row r="34" spans="1:21">
      <c r="A34" s="118" t="str">
        <f t="shared" ca="1" si="0"/>
        <v>LV2169</v>
      </c>
      <c r="B34" s="118">
        <f t="shared" ca="1" si="1"/>
        <v>2076</v>
      </c>
      <c r="C34" s="118">
        <f t="shared" ca="1" si="2"/>
        <v>799.64253252696517</v>
      </c>
      <c r="D34" s="118">
        <f t="shared" ca="1" si="3"/>
        <v>13927</v>
      </c>
      <c r="E34" s="118">
        <f t="shared" ca="1" si="4"/>
        <v>788.7905285563802</v>
      </c>
      <c r="F34" s="118">
        <f t="shared" ca="1" si="5"/>
        <v>44812</v>
      </c>
      <c r="G34" s="118">
        <f t="shared" ca="1" si="6"/>
        <v>805.83481780647753</v>
      </c>
      <c r="H34" s="118">
        <f t="shared" ref="H34:H36" ca="1" si="30">INDIRECT("Main!N" &amp; 3*(ROW()-2)+2)</f>
        <v>2076</v>
      </c>
      <c r="I34" s="118">
        <f t="shared" ca="1" si="8"/>
        <v>0</v>
      </c>
      <c r="J34" s="118">
        <f t="shared" ref="J34:J41" ca="1" si="31">INDIRECT("Main!N" &amp; 3*(ROW()-2)+3)</f>
        <v>13927</v>
      </c>
      <c r="K34" s="118">
        <f t="shared" ca="1" si="10"/>
        <v>0</v>
      </c>
      <c r="L34" s="118">
        <f t="shared" ref="L34:L35" ca="1" si="32">INDIRECT("Main!N" &amp; 3*(ROW()-2)+4)</f>
        <v>44812</v>
      </c>
      <c r="M34" s="118">
        <f t="shared" ca="1" si="11"/>
        <v>2139</v>
      </c>
      <c r="N34" s="118">
        <f t="shared" ca="1" si="12"/>
        <v>15053</v>
      </c>
      <c r="O34" s="118">
        <f t="shared" ca="1" si="13"/>
        <v>43514</v>
      </c>
      <c r="Q34">
        <v>-1.36</v>
      </c>
      <c r="R34">
        <v>-1.36</v>
      </c>
      <c r="S34" t="e">
        <v>#VALUE!</v>
      </c>
      <c r="T34">
        <v>0.89600000000000002</v>
      </c>
      <c r="U34">
        <v>1.36</v>
      </c>
    </row>
    <row r="35" spans="1:21">
      <c r="A35" s="118" t="str">
        <f t="shared" ca="1" si="0"/>
        <v>LV2084</v>
      </c>
      <c r="B35" s="118">
        <f t="shared" ca="1" si="1"/>
        <v>2122</v>
      </c>
      <c r="C35" s="118">
        <f t="shared" ca="1" si="2"/>
        <v>795.10182816481233</v>
      </c>
      <c r="D35" s="118">
        <f t="shared" ca="1" si="3"/>
        <v>14066</v>
      </c>
      <c r="E35" s="118">
        <f t="shared" ca="1" si="4"/>
        <v>793.27780912009189</v>
      </c>
      <c r="F35" s="118">
        <f t="shared" ca="1" si="5"/>
        <v>44877</v>
      </c>
      <c r="G35" s="118">
        <f t="shared" ca="1" si="6"/>
        <v>797.67409666512526</v>
      </c>
      <c r="H35" s="118">
        <f t="shared" ca="1" si="30"/>
        <v>2122</v>
      </c>
      <c r="I35" s="118">
        <f t="shared" ca="1" si="8"/>
        <v>0</v>
      </c>
      <c r="J35" s="118">
        <f t="shared" ca="1" si="31"/>
        <v>14066</v>
      </c>
      <c r="K35" s="118">
        <f t="shared" ca="1" si="10"/>
        <v>0</v>
      </c>
      <c r="L35" s="118">
        <f t="shared" ca="1" si="32"/>
        <v>44877</v>
      </c>
      <c r="M35" s="118">
        <f t="shared" ca="1" si="11"/>
        <v>2190</v>
      </c>
      <c r="N35" s="118">
        <f t="shared" ca="1" si="12"/>
        <v>14675</v>
      </c>
      <c r="O35" s="118">
        <f t="shared" ca="1" si="13"/>
        <v>45528</v>
      </c>
      <c r="Q35">
        <v>-0.28999999999999998</v>
      </c>
      <c r="R35">
        <v>-0.28999999999999998</v>
      </c>
      <c r="S35" t="e">
        <v>#DIV/0!</v>
      </c>
      <c r="T35">
        <v>14.804</v>
      </c>
      <c r="U35">
        <v>0.28999999999999998</v>
      </c>
    </row>
    <row r="36" spans="1:21">
      <c r="A36" s="118" t="str">
        <f t="shared" ca="1" si="0"/>
        <v>LV2199</v>
      </c>
      <c r="B36" s="118">
        <f t="shared" ca="1" si="1"/>
        <v>2160</v>
      </c>
      <c r="C36" s="118">
        <f t="shared" ca="1" si="2"/>
        <v>801.11328065142891</v>
      </c>
      <c r="D36" s="118">
        <f t="shared" ca="1" si="3"/>
        <v>14260</v>
      </c>
      <c r="E36" s="118">
        <f t="shared" ca="1" si="4"/>
        <v>796.49969628435383</v>
      </c>
      <c r="F36" s="118">
        <f t="shared" ca="1" si="5"/>
        <v>45728</v>
      </c>
      <c r="G36" s="118">
        <f t="shared" ca="1" si="6"/>
        <v>813.84738013547553</v>
      </c>
      <c r="H36" s="118">
        <f t="shared" ca="1" si="30"/>
        <v>2160</v>
      </c>
      <c r="I36" s="118">
        <f t="shared" ca="1" si="8"/>
        <v>0</v>
      </c>
      <c r="J36" s="118">
        <f t="shared" ca="1" si="31"/>
        <v>14260</v>
      </c>
      <c r="K36" s="118">
        <f t="shared" ca="1" si="10"/>
        <v>0</v>
      </c>
      <c r="L36" s="118">
        <f t="shared" ref="L36:L37" ca="1" si="33">INDIRECT("Main!Q" &amp; 3*(ROW()-2)+4)</f>
        <v>44785</v>
      </c>
      <c r="M36" s="118">
        <f t="shared" ca="1" si="11"/>
        <v>2141</v>
      </c>
      <c r="N36" s="118">
        <f t="shared" ca="1" si="12"/>
        <v>14560</v>
      </c>
      <c r="O36" s="118">
        <f t="shared" ca="1" si="13"/>
        <v>42260</v>
      </c>
      <c r="Q36">
        <v>-2.08</v>
      </c>
      <c r="R36">
        <v>-2.08</v>
      </c>
      <c r="S36" t="e">
        <v>#DIV/0!</v>
      </c>
      <c r="T36">
        <v>2.5960000000000001</v>
      </c>
      <c r="U36">
        <v>2.08</v>
      </c>
    </row>
    <row r="37" spans="1:21">
      <c r="A37" s="118" t="str">
        <f t="shared" ca="1" si="0"/>
        <v>LV2144</v>
      </c>
      <c r="B37" s="118">
        <f t="shared" ca="1" si="1"/>
        <v>2225</v>
      </c>
      <c r="C37" s="118">
        <f t="shared" ca="1" si="2"/>
        <v>790.1</v>
      </c>
      <c r="D37" s="118">
        <f t="shared" ca="1" si="3"/>
        <v>13980</v>
      </c>
      <c r="E37" s="118">
        <f t="shared" ca="1" si="4"/>
        <v>777.6</v>
      </c>
      <c r="F37" s="118">
        <f t="shared" ca="1" si="5"/>
        <v>42982</v>
      </c>
      <c r="G37" s="118">
        <f t="shared" ca="1" si="6"/>
        <v>783.7</v>
      </c>
      <c r="H37" s="118">
        <f ca="1">INDIRECT("Main!Q" &amp; 3*(ROW()-2)+2)</f>
        <v>2180</v>
      </c>
      <c r="I37" s="118">
        <f t="shared" ca="1" si="8"/>
        <v>787.5</v>
      </c>
      <c r="J37" s="118">
        <f t="shared" ca="1" si="31"/>
        <v>13980</v>
      </c>
      <c r="K37" s="118">
        <f t="shared" ca="1" si="10"/>
        <v>0</v>
      </c>
      <c r="L37" s="118">
        <f t="shared" ca="1" si="33"/>
        <v>44917</v>
      </c>
      <c r="M37" s="118">
        <f t="shared" ca="1" si="11"/>
        <v>2381</v>
      </c>
      <c r="N37" s="118">
        <f t="shared" ca="1" si="12"/>
        <v>16107</v>
      </c>
      <c r="O37" s="118">
        <f t="shared" ca="1" si="13"/>
        <v>47452</v>
      </c>
      <c r="Q37">
        <v>-1.39</v>
      </c>
      <c r="R37">
        <v>-1.39</v>
      </c>
      <c r="S37" t="e">
        <v>#DIV/0!</v>
      </c>
      <c r="T37">
        <v>0.98899999999999999</v>
      </c>
      <c r="U37">
        <v>1.39</v>
      </c>
    </row>
    <row r="38" spans="1:21">
      <c r="A38" s="118" t="str">
        <f t="shared" ca="1" si="0"/>
        <v>LV2065</v>
      </c>
      <c r="B38" s="118">
        <f t="shared" ca="1" si="1"/>
        <v>2106</v>
      </c>
      <c r="C38" s="118">
        <f t="shared" ca="1" si="2"/>
        <v>757.92054040131711</v>
      </c>
      <c r="D38" s="118">
        <f t="shared" ca="1" si="3"/>
        <v>13986</v>
      </c>
      <c r="E38" s="118">
        <f t="shared" ca="1" si="4"/>
        <v>752.51976414898377</v>
      </c>
      <c r="F38" s="118">
        <f t="shared" ca="1" si="5"/>
        <v>44501</v>
      </c>
      <c r="G38" s="118">
        <f t="shared" ca="1" si="6"/>
        <v>756.28857853906788</v>
      </c>
      <c r="H38" s="118">
        <f t="shared" ref="H38:H41" ca="1" si="34">INDIRECT("Main!N" &amp; 3*(ROW()-2)+2)</f>
        <v>2106</v>
      </c>
      <c r="I38" s="118">
        <f t="shared" ca="1" si="8"/>
        <v>0</v>
      </c>
      <c r="J38" s="118">
        <f t="shared" ca="1" si="31"/>
        <v>13986</v>
      </c>
      <c r="K38" s="118">
        <f t="shared" ca="1" si="10"/>
        <v>0</v>
      </c>
      <c r="L38" s="118">
        <f t="shared" ref="L38:L39" ca="1" si="35">INDIRECT("Main!N" &amp; 3*(ROW()-2)+4)</f>
        <v>44501</v>
      </c>
      <c r="M38" s="118">
        <f t="shared" ca="1" si="11"/>
        <v>2821</v>
      </c>
      <c r="N38" s="118">
        <f t="shared" ca="1" si="12"/>
        <v>19094</v>
      </c>
      <c r="O38" s="118">
        <f t="shared" ca="1" si="13"/>
        <v>58244</v>
      </c>
      <c r="Q38">
        <v>1.73</v>
      </c>
      <c r="R38">
        <v>1.73</v>
      </c>
      <c r="S38">
        <v>0.55000000000000004</v>
      </c>
      <c r="T38">
        <v>13.804</v>
      </c>
      <c r="U38">
        <v>1.73</v>
      </c>
    </row>
    <row r="39" spans="1:21">
      <c r="A39" s="118" t="str">
        <f t="shared" ca="1" si="0"/>
        <v>LV2031</v>
      </c>
      <c r="B39" s="118">
        <f t="shared" ca="1" si="1"/>
        <v>2105</v>
      </c>
      <c r="C39" s="118">
        <f t="shared" ca="1" si="2"/>
        <v>761.59325605639708</v>
      </c>
      <c r="D39" s="118">
        <f t="shared" ca="1" si="3"/>
        <v>13955</v>
      </c>
      <c r="E39" s="118">
        <f t="shared" ca="1" si="4"/>
        <v>748.60593663887732</v>
      </c>
      <c r="F39" s="118">
        <f t="shared" ca="1" si="5"/>
        <v>45605</v>
      </c>
      <c r="G39" s="118">
        <f t="shared" ca="1" si="6"/>
        <v>755.0014760565316</v>
      </c>
      <c r="H39" s="118">
        <f t="shared" ca="1" si="34"/>
        <v>2105</v>
      </c>
      <c r="I39" s="118">
        <f t="shared" ca="1" si="8"/>
        <v>0</v>
      </c>
      <c r="J39" s="118">
        <f t="shared" ca="1" si="31"/>
        <v>13955</v>
      </c>
      <c r="K39" s="118">
        <f t="shared" ca="1" si="10"/>
        <v>0</v>
      </c>
      <c r="L39" s="118">
        <f t="shared" ca="1" si="35"/>
        <v>45605</v>
      </c>
      <c r="M39" s="118">
        <f t="shared" ca="1" si="11"/>
        <v>2760</v>
      </c>
      <c r="N39" s="118">
        <f t="shared" ca="1" si="12"/>
        <v>19728</v>
      </c>
      <c r="O39" s="118">
        <f t="shared" ca="1" si="13"/>
        <v>59217</v>
      </c>
      <c r="Q39">
        <v>-0.28000000000000003</v>
      </c>
      <c r="R39">
        <v>-0.28000000000000003</v>
      </c>
      <c r="S39">
        <v>0.62</v>
      </c>
      <c r="T39">
        <v>2.536</v>
      </c>
      <c r="U39">
        <v>0.28000000000000003</v>
      </c>
    </row>
    <row r="40" spans="1:21">
      <c r="A40" s="118" t="str">
        <f t="shared" ca="1" si="0"/>
        <v>LV2167</v>
      </c>
      <c r="B40" s="118">
        <f t="shared" ca="1" si="1"/>
        <v>2073</v>
      </c>
      <c r="C40" s="118">
        <f t="shared" ca="1" si="2"/>
        <v>733.47909222608621</v>
      </c>
      <c r="D40" s="118">
        <f t="shared" ca="1" si="3"/>
        <v>13891</v>
      </c>
      <c r="E40" s="118">
        <f t="shared" ca="1" si="4"/>
        <v>730.41359587561101</v>
      </c>
      <c r="F40" s="118">
        <f t="shared" ca="1" si="5"/>
        <v>44382</v>
      </c>
      <c r="G40" s="118">
        <f t="shared" ca="1" si="6"/>
        <v>750.1730702222593</v>
      </c>
      <c r="H40" s="118">
        <f t="shared" ca="1" si="34"/>
        <v>2073</v>
      </c>
      <c r="I40" s="118">
        <f t="shared" ca="1" si="8"/>
        <v>0</v>
      </c>
      <c r="J40" s="118">
        <f t="shared" ca="1" si="31"/>
        <v>13891</v>
      </c>
      <c r="K40" s="118">
        <f t="shared" ca="1" si="10"/>
        <v>0</v>
      </c>
      <c r="L40" s="118">
        <f ca="1">INDIRECT("Main!Q" &amp; 3*(ROW()-2)+4)</f>
        <v>44560</v>
      </c>
      <c r="M40" s="118">
        <f t="shared" ca="1" si="11"/>
        <v>3190</v>
      </c>
      <c r="N40" s="118">
        <f t="shared" ca="1" si="12"/>
        <v>20497</v>
      </c>
      <c r="O40" s="118">
        <f t="shared" ca="1" si="13"/>
        <v>56849</v>
      </c>
      <c r="Q40">
        <v>-0.27</v>
      </c>
      <c r="R40">
        <v>-0.27</v>
      </c>
      <c r="S40">
        <v>0.18</v>
      </c>
      <c r="T40">
        <v>0.89800000000000002</v>
      </c>
      <c r="U40">
        <v>0.27</v>
      </c>
    </row>
    <row r="41" spans="1:21">
      <c r="A41" s="118" t="str">
        <f t="shared" ca="1" si="0"/>
        <v>LV2128</v>
      </c>
      <c r="B41" s="118">
        <f t="shared" ca="1" si="1"/>
        <v>2080</v>
      </c>
      <c r="C41" s="118">
        <f t="shared" ca="1" si="2"/>
        <v>772.22884228421435</v>
      </c>
      <c r="D41" s="118">
        <f t="shared" ca="1" si="3"/>
        <v>13945</v>
      </c>
      <c r="E41" s="118">
        <f t="shared" ca="1" si="4"/>
        <v>765.43710203475814</v>
      </c>
      <c r="F41" s="118">
        <f t="shared" ca="1" si="5"/>
        <v>44586</v>
      </c>
      <c r="G41" s="118">
        <f t="shared" ca="1" si="6"/>
        <v>775.43095369988623</v>
      </c>
      <c r="H41" s="118">
        <f t="shared" ca="1" si="34"/>
        <v>2080</v>
      </c>
      <c r="I41" s="118">
        <f t="shared" ca="1" si="8"/>
        <v>0</v>
      </c>
      <c r="J41" s="118">
        <f t="shared" ca="1" si="31"/>
        <v>13945</v>
      </c>
      <c r="K41" s="118">
        <f t="shared" ca="1" si="10"/>
        <v>0</v>
      </c>
      <c r="L41" s="118">
        <f ca="1">INDIRECT("Main!N" &amp; 3*(ROW()-2)+4)</f>
        <v>44586</v>
      </c>
      <c r="M41" s="118">
        <f t="shared" ca="1" si="11"/>
        <v>2536</v>
      </c>
      <c r="N41" s="118">
        <f t="shared" ca="1" si="12"/>
        <v>17465</v>
      </c>
      <c r="O41" s="118">
        <f t="shared" ca="1" si="13"/>
        <v>51967</v>
      </c>
      <c r="Q41">
        <v>-3.24</v>
      </c>
      <c r="R41">
        <v>-3.24</v>
      </c>
      <c r="S41">
        <v>-2.73</v>
      </c>
      <c r="T41">
        <v>15.388</v>
      </c>
      <c r="U41">
        <v>3.24</v>
      </c>
    </row>
    <row r="42" spans="1:21">
      <c r="A42" s="118">
        <f t="shared" ca="1" si="0"/>
        <v>0</v>
      </c>
      <c r="H42" s="8">
        <f ca="1">STDEV(H2:H41)</f>
        <v>463.51278506970738</v>
      </c>
      <c r="J42" s="8">
        <f ca="1">STDEV(J2:J41)</f>
        <v>114.5743404396442</v>
      </c>
      <c r="L42" s="8">
        <f ca="1">STDEV(L2:L41)</f>
        <v>378.10503814653788</v>
      </c>
      <c r="Q42">
        <v>-0.82</v>
      </c>
      <c r="R42">
        <v>-0.82</v>
      </c>
      <c r="S42">
        <v>-0.28999999999999998</v>
      </c>
      <c r="T42">
        <v>2.5350000000000001</v>
      </c>
      <c r="U42">
        <v>0.82</v>
      </c>
    </row>
    <row r="43" spans="1:21">
      <c r="H43" s="8">
        <f ca="1">H42/2100*100</f>
        <v>22.072037384271781</v>
      </c>
      <c r="J43" s="8">
        <f ca="1">J42/14000*100</f>
        <v>0.81838814599745868</v>
      </c>
      <c r="L43" s="8">
        <f ca="1">L42/45000*100</f>
        <v>0.84023341810341745</v>
      </c>
      <c r="Q43">
        <v>-0.53</v>
      </c>
      <c r="R43">
        <v>0.33</v>
      </c>
      <c r="S43">
        <v>0.09</v>
      </c>
      <c r="T43">
        <v>0.94299999999999995</v>
      </c>
      <c r="U43">
        <v>0.33</v>
      </c>
    </row>
    <row r="44" spans="1:21" ht="15" customHeight="1">
      <c r="Q44">
        <v>-3.81</v>
      </c>
      <c r="R44">
        <v>-2.94</v>
      </c>
      <c r="S44">
        <v>-3.6</v>
      </c>
      <c r="T44">
        <v>13.593999999999999</v>
      </c>
      <c r="U44">
        <v>2.94</v>
      </c>
    </row>
    <row r="45" spans="1:21" ht="15" customHeight="1">
      <c r="Q45">
        <v>-1.81</v>
      </c>
      <c r="R45">
        <v>-1.08</v>
      </c>
      <c r="S45">
        <v>-1.57</v>
      </c>
      <c r="T45">
        <v>2.363</v>
      </c>
      <c r="U45">
        <v>1.08</v>
      </c>
    </row>
    <row r="46" spans="1:21" ht="15" customHeight="1">
      <c r="Q46">
        <v>-0.95</v>
      </c>
      <c r="R46">
        <v>-0.06</v>
      </c>
      <c r="S46">
        <v>-1.1599999999999999</v>
      </c>
      <c r="T46">
        <v>0.86599999999999999</v>
      </c>
      <c r="U46">
        <v>0.06</v>
      </c>
    </row>
    <row r="47" spans="1:21" ht="15" customHeight="1">
      <c r="Q47">
        <v>0.66</v>
      </c>
      <c r="R47">
        <v>0.66</v>
      </c>
      <c r="S47">
        <v>0.92</v>
      </c>
      <c r="T47">
        <v>11.494999999999999</v>
      </c>
      <c r="U47">
        <v>0.66</v>
      </c>
    </row>
    <row r="48" spans="1:21" ht="15" customHeight="1">
      <c r="Q48">
        <v>0.26</v>
      </c>
      <c r="R48">
        <v>0.26</v>
      </c>
      <c r="S48">
        <v>0.38</v>
      </c>
      <c r="T48">
        <v>2.1230000000000002</v>
      </c>
      <c r="U48">
        <v>0.26</v>
      </c>
    </row>
    <row r="49" spans="17:21" ht="15" customHeight="1">
      <c r="Q49">
        <v>0.21</v>
      </c>
      <c r="R49">
        <v>0.21</v>
      </c>
      <c r="S49">
        <v>0.33</v>
      </c>
      <c r="T49">
        <v>0.86899999999999999</v>
      </c>
      <c r="U49">
        <v>0.21</v>
      </c>
    </row>
    <row r="50" spans="17:21" ht="15" customHeight="1">
      <c r="Q50">
        <v>-0.14000000000000001</v>
      </c>
      <c r="R50">
        <v>-0.14000000000000001</v>
      </c>
      <c r="S50">
        <v>0.28000000000000003</v>
      </c>
      <c r="T50">
        <v>12.637</v>
      </c>
      <c r="U50">
        <v>0.14000000000000001</v>
      </c>
    </row>
    <row r="51" spans="17:21" ht="15" customHeight="1">
      <c r="Q51">
        <v>-0.04</v>
      </c>
      <c r="R51">
        <v>-0.04</v>
      </c>
      <c r="S51">
        <v>0.27</v>
      </c>
      <c r="T51">
        <v>2.2080000000000002</v>
      </c>
      <c r="U51">
        <v>0.04</v>
      </c>
    </row>
    <row r="52" spans="17:21" ht="15" customHeight="1">
      <c r="Q52">
        <v>0.13</v>
      </c>
      <c r="R52">
        <v>0.13</v>
      </c>
      <c r="S52">
        <v>0.18</v>
      </c>
      <c r="T52">
        <v>0.84799999999999998</v>
      </c>
      <c r="U52">
        <v>0.13</v>
      </c>
    </row>
    <row r="53" spans="17:21" ht="15" customHeight="1">
      <c r="Q53">
        <v>-0.14000000000000001</v>
      </c>
      <c r="R53">
        <v>-0.14000000000000001</v>
      </c>
      <c r="S53">
        <v>0.26</v>
      </c>
      <c r="T53">
        <v>11.111000000000001</v>
      </c>
      <c r="U53">
        <v>0.14000000000000001</v>
      </c>
    </row>
    <row r="54" spans="17:21" ht="15" customHeight="1">
      <c r="Q54">
        <v>-0.18</v>
      </c>
      <c r="R54">
        <v>-0.18</v>
      </c>
      <c r="S54">
        <v>-0.16</v>
      </c>
      <c r="T54">
        <v>2.0539999999999998</v>
      </c>
      <c r="U54">
        <v>0.18</v>
      </c>
    </row>
    <row r="55" spans="17:21" ht="15" customHeight="1">
      <c r="Q55">
        <v>-0.19</v>
      </c>
      <c r="R55">
        <v>-0.19</v>
      </c>
      <c r="S55">
        <v>0.06</v>
      </c>
      <c r="T55">
        <v>0.79900000000000004</v>
      </c>
      <c r="U55">
        <v>0.19</v>
      </c>
    </row>
    <row r="56" spans="17:21" ht="15" customHeight="1">
      <c r="Q56">
        <v>-2.39</v>
      </c>
      <c r="R56">
        <v>-1.01</v>
      </c>
      <c r="S56">
        <v>-1.87</v>
      </c>
      <c r="T56">
        <v>14.432</v>
      </c>
      <c r="U56">
        <v>1.01</v>
      </c>
    </row>
    <row r="57" spans="17:21" ht="15" customHeight="1">
      <c r="Q57">
        <v>-0.99</v>
      </c>
      <c r="R57">
        <v>0.11</v>
      </c>
      <c r="S57">
        <v>-0.96</v>
      </c>
      <c r="T57">
        <v>2.4169999999999998</v>
      </c>
      <c r="U57">
        <v>0.11</v>
      </c>
    </row>
    <row r="58" spans="17:21" ht="15" customHeight="1">
      <c r="Q58">
        <v>-0.44</v>
      </c>
      <c r="R58">
        <v>-0.02</v>
      </c>
      <c r="S58">
        <v>-0.54</v>
      </c>
      <c r="T58">
        <v>0.86599999999999999</v>
      </c>
      <c r="U58">
        <v>0.02</v>
      </c>
    </row>
    <row r="59" spans="17:21" ht="15" customHeight="1">
      <c r="Q59">
        <v>-2.19</v>
      </c>
      <c r="R59">
        <v>-2.19</v>
      </c>
      <c r="S59">
        <v>-1.82</v>
      </c>
      <c r="T59">
        <v>13.382</v>
      </c>
      <c r="U59">
        <v>2.19</v>
      </c>
    </row>
    <row r="60" spans="17:21" ht="15" customHeight="1">
      <c r="Q60">
        <v>-1.3</v>
      </c>
      <c r="R60">
        <v>-1.3</v>
      </c>
      <c r="S60">
        <v>-1.33</v>
      </c>
      <c r="T60">
        <v>2.33</v>
      </c>
      <c r="U60">
        <v>1.3</v>
      </c>
    </row>
    <row r="61" spans="17:21" ht="15" customHeight="1">
      <c r="Q61">
        <v>-1.05</v>
      </c>
      <c r="R61">
        <v>-4.0000000000000001E-3</v>
      </c>
      <c r="S61">
        <v>-0.63</v>
      </c>
      <c r="T61">
        <v>0.93400000000000005</v>
      </c>
      <c r="U61">
        <v>4.0000000000000001E-3</v>
      </c>
    </row>
    <row r="62" spans="17:21" ht="15" customHeight="1">
      <c r="Q62">
        <v>0.43</v>
      </c>
      <c r="R62">
        <v>0.43</v>
      </c>
      <c r="S62">
        <v>0.63</v>
      </c>
      <c r="T62">
        <v>11.238</v>
      </c>
      <c r="U62">
        <v>0.43</v>
      </c>
    </row>
    <row r="63" spans="17:21" ht="15" customHeight="1">
      <c r="Q63">
        <v>0.66</v>
      </c>
      <c r="R63">
        <v>0.66</v>
      </c>
      <c r="S63">
        <v>0.61</v>
      </c>
      <c r="T63">
        <v>2.0859999999999999</v>
      </c>
      <c r="U63">
        <v>0.66</v>
      </c>
    </row>
    <row r="64" spans="17:21" ht="15" customHeight="1">
      <c r="Q64">
        <v>0.68</v>
      </c>
      <c r="R64">
        <v>-0.43</v>
      </c>
      <c r="S64">
        <v>0.79</v>
      </c>
      <c r="T64">
        <v>0.82099999999999995</v>
      </c>
      <c r="U64">
        <v>0.43</v>
      </c>
    </row>
    <row r="65" spans="17:21" ht="15" customHeight="1">
      <c r="Q65">
        <v>-0.28999999999999998</v>
      </c>
      <c r="R65">
        <v>-0.28999999999999998</v>
      </c>
      <c r="S65">
        <v>0.09</v>
      </c>
      <c r="T65">
        <v>11.939</v>
      </c>
      <c r="U65">
        <v>0.28999999999999998</v>
      </c>
    </row>
    <row r="66" spans="17:21" ht="15" customHeight="1">
      <c r="Q66">
        <v>0.09</v>
      </c>
      <c r="R66">
        <v>0.09</v>
      </c>
      <c r="S66">
        <v>0.32</v>
      </c>
      <c r="T66">
        <v>0</v>
      </c>
      <c r="U66">
        <v>0.09</v>
      </c>
    </row>
    <row r="67" spans="17:21" ht="15" customHeight="1">
      <c r="Q67">
        <v>-0.25</v>
      </c>
      <c r="R67">
        <v>-0.25</v>
      </c>
      <c r="S67">
        <v>0.42</v>
      </c>
      <c r="T67">
        <v>0.90200000000000002</v>
      </c>
      <c r="U67">
        <v>0.25</v>
      </c>
    </row>
    <row r="68" spans="17:21" ht="15" customHeight="1">
      <c r="Q68">
        <v>0.19</v>
      </c>
      <c r="R68">
        <v>0.19</v>
      </c>
      <c r="S68">
        <v>-0.11</v>
      </c>
      <c r="T68">
        <v>11.977</v>
      </c>
      <c r="U68">
        <v>0.19</v>
      </c>
    </row>
    <row r="69" spans="17:21" ht="15" customHeight="1">
      <c r="Q69">
        <v>0.06</v>
      </c>
      <c r="R69">
        <v>0.06</v>
      </c>
      <c r="S69">
        <v>0.31</v>
      </c>
      <c r="T69">
        <v>2.1840000000000002</v>
      </c>
      <c r="U69">
        <v>0.06</v>
      </c>
    </row>
    <row r="70" spans="17:21" ht="15" customHeight="1">
      <c r="Q70">
        <v>1.34</v>
      </c>
      <c r="R70">
        <v>-0.2</v>
      </c>
      <c r="S70">
        <v>0.43</v>
      </c>
      <c r="T70">
        <v>0.88100000000000001</v>
      </c>
      <c r="U70">
        <v>0.2</v>
      </c>
    </row>
    <row r="71" spans="17:21" ht="15" customHeight="1">
      <c r="Q71" t="e">
        <v>#DIV/0!</v>
      </c>
      <c r="R71">
        <v>0.94</v>
      </c>
      <c r="S71">
        <v>-0.24</v>
      </c>
      <c r="T71" t="e">
        <v>#DIV/0!</v>
      </c>
      <c r="U71">
        <v>0.94</v>
      </c>
    </row>
    <row r="72" spans="17:21" ht="15" customHeight="1">
      <c r="Q72">
        <v>-0.16</v>
      </c>
      <c r="R72">
        <v>-0.16</v>
      </c>
      <c r="S72">
        <v>-0.34</v>
      </c>
      <c r="T72">
        <v>1.917</v>
      </c>
      <c r="U72">
        <v>0.16</v>
      </c>
    </row>
    <row r="73" spans="17:21" ht="15" customHeight="1">
      <c r="Q73" t="e">
        <v>#DIV/0!</v>
      </c>
      <c r="S73" t="e">
        <v>#DIV/0!</v>
      </c>
      <c r="T73" t="e">
        <v>#DIV/0!</v>
      </c>
      <c r="U73" t="s">
        <v>586</v>
      </c>
    </row>
    <row r="74" spans="17:21" ht="15" customHeight="1">
      <c r="Q74">
        <v>-1.06</v>
      </c>
      <c r="R74">
        <v>-1.06</v>
      </c>
      <c r="S74">
        <v>-0.88</v>
      </c>
      <c r="T74">
        <v>11.260999999999999</v>
      </c>
      <c r="U74">
        <v>1.06</v>
      </c>
    </row>
    <row r="75" spans="17:21" ht="15" customHeight="1">
      <c r="Q75">
        <v>-0.56999999999999995</v>
      </c>
      <c r="R75">
        <v>-0.56999999999999995</v>
      </c>
      <c r="S75">
        <v>-0.55000000000000004</v>
      </c>
      <c r="T75">
        <v>2.1120000000000001</v>
      </c>
      <c r="U75">
        <v>0.56999999999999995</v>
      </c>
    </row>
    <row r="76" spans="17:21" ht="15" customHeight="1">
      <c r="Q76">
        <v>-0.45</v>
      </c>
      <c r="R76">
        <v>0.43</v>
      </c>
      <c r="S76">
        <v>-0.13</v>
      </c>
      <c r="T76">
        <v>0.84799999999999998</v>
      </c>
      <c r="U76">
        <v>0.43</v>
      </c>
    </row>
    <row r="77" spans="17:21" ht="15" customHeight="1">
      <c r="Q77">
        <v>0.1</v>
      </c>
      <c r="R77">
        <v>0.1</v>
      </c>
      <c r="S77" t="e">
        <v>#DIV/0!</v>
      </c>
      <c r="T77">
        <v>15.557</v>
      </c>
      <c r="U77">
        <v>0.1</v>
      </c>
    </row>
    <row r="78" spans="17:21" ht="15" customHeight="1">
      <c r="Q78">
        <v>-0.85</v>
      </c>
      <c r="R78">
        <v>-0.85</v>
      </c>
      <c r="S78" t="e">
        <v>#DIV/0!</v>
      </c>
      <c r="T78">
        <v>2.6579999999999999</v>
      </c>
      <c r="U78">
        <v>0.85</v>
      </c>
    </row>
    <row r="79" spans="17:21" ht="15" customHeight="1">
      <c r="Q79">
        <v>-0.85</v>
      </c>
      <c r="R79">
        <v>-0.85</v>
      </c>
      <c r="S79" t="e">
        <v>#DIV/0!</v>
      </c>
      <c r="T79">
        <v>0.96799999999999997</v>
      </c>
      <c r="U79">
        <v>0.85</v>
      </c>
    </row>
    <row r="80" spans="17:21" ht="15" customHeight="1">
      <c r="Q80">
        <v>-0.33</v>
      </c>
      <c r="R80">
        <v>-0.62</v>
      </c>
      <c r="S80">
        <v>5.18</v>
      </c>
      <c r="T80">
        <v>11.706</v>
      </c>
      <c r="U80">
        <v>0.62</v>
      </c>
    </row>
    <row r="81" spans="17:21" ht="15" customHeight="1">
      <c r="Q81">
        <v>2.34</v>
      </c>
      <c r="R81">
        <v>1.1399999999999999</v>
      </c>
      <c r="S81">
        <v>2.64</v>
      </c>
      <c r="T81">
        <v>2.0369999999999999</v>
      </c>
      <c r="U81">
        <v>1.1399999999999999</v>
      </c>
    </row>
    <row r="82" spans="17:21" ht="15" customHeight="1">
      <c r="Q82">
        <v>-0.05</v>
      </c>
      <c r="R82">
        <v>-0.05</v>
      </c>
      <c r="S82">
        <v>1.24</v>
      </c>
      <c r="T82">
        <v>0.80300000000000005</v>
      </c>
      <c r="U82">
        <v>0.05</v>
      </c>
    </row>
    <row r="83" spans="17:21" ht="15" customHeight="1">
      <c r="Q83" t="e">
        <v>#DIV/0!</v>
      </c>
      <c r="S83">
        <v>0.15</v>
      </c>
      <c r="T83" t="e">
        <v>#DIV/0!</v>
      </c>
      <c r="U83" t="s">
        <v>586</v>
      </c>
    </row>
    <row r="84" spans="17:21" ht="15" customHeight="1">
      <c r="Q84">
        <v>1.19</v>
      </c>
      <c r="R84">
        <v>1.19</v>
      </c>
      <c r="S84">
        <v>1.03</v>
      </c>
      <c r="T84">
        <v>2.2090000000000001</v>
      </c>
      <c r="U84">
        <v>1.19</v>
      </c>
    </row>
    <row r="85" spans="17:21" ht="15" customHeight="1">
      <c r="Q85">
        <v>0.78</v>
      </c>
      <c r="R85">
        <v>0.04</v>
      </c>
      <c r="S85">
        <v>0.51</v>
      </c>
      <c r="T85">
        <v>0.89100000000000001</v>
      </c>
      <c r="U85">
        <v>0.04</v>
      </c>
    </row>
    <row r="86" spans="17:21" ht="15" customHeight="1">
      <c r="Q86">
        <v>-0.38</v>
      </c>
      <c r="R86">
        <v>-0.38</v>
      </c>
      <c r="S86">
        <v>0.78</v>
      </c>
      <c r="T86">
        <v>13.48</v>
      </c>
      <c r="U86">
        <v>0.38</v>
      </c>
    </row>
    <row r="87" spans="17:21" ht="15" customHeight="1">
      <c r="Q87">
        <v>0.52</v>
      </c>
      <c r="R87">
        <v>0.52</v>
      </c>
      <c r="S87">
        <v>0.5</v>
      </c>
      <c r="T87">
        <v>2.395</v>
      </c>
      <c r="U87">
        <v>0.52</v>
      </c>
    </row>
    <row r="88" spans="17:21" ht="15" customHeight="1">
      <c r="Q88">
        <v>2.37</v>
      </c>
      <c r="R88">
        <v>0.23</v>
      </c>
      <c r="S88">
        <v>0.13</v>
      </c>
      <c r="T88">
        <v>0.94599999999999995</v>
      </c>
      <c r="U88">
        <v>0.23</v>
      </c>
    </row>
    <row r="89" spans="17:21" ht="15" customHeight="1">
      <c r="Q89">
        <v>2.33</v>
      </c>
      <c r="R89">
        <v>2.33</v>
      </c>
      <c r="S89">
        <v>1.97</v>
      </c>
      <c r="T89">
        <v>14.326000000000001</v>
      </c>
      <c r="U89">
        <v>2.33</v>
      </c>
    </row>
    <row r="90" spans="17:21" ht="15" customHeight="1">
      <c r="Q90">
        <v>1.71</v>
      </c>
      <c r="R90">
        <v>1.07</v>
      </c>
      <c r="S90">
        <v>-2.5099999999999998</v>
      </c>
      <c r="T90">
        <v>2.4990000000000001</v>
      </c>
      <c r="U90">
        <v>1.07</v>
      </c>
    </row>
    <row r="91" spans="17:21" ht="15" customHeight="1">
      <c r="Q91">
        <v>1.52</v>
      </c>
      <c r="R91">
        <v>0.13</v>
      </c>
      <c r="S91" t="e">
        <v>#VALUE!</v>
      </c>
      <c r="T91">
        <v>0</v>
      </c>
      <c r="U91">
        <v>0.13</v>
      </c>
    </row>
    <row r="92" spans="17:21" ht="15" customHeight="1">
      <c r="Q92">
        <v>-3.75</v>
      </c>
      <c r="R92">
        <v>-1.45</v>
      </c>
      <c r="S92">
        <v>-3.37</v>
      </c>
      <c r="T92">
        <v>14.13</v>
      </c>
      <c r="U92">
        <v>1.45</v>
      </c>
    </row>
    <row r="93" spans="17:21" ht="15" customHeight="1">
      <c r="Q93">
        <v>-3.94</v>
      </c>
      <c r="R93">
        <v>-1.41</v>
      </c>
      <c r="S93">
        <v>-7.16</v>
      </c>
      <c r="T93">
        <v>2.4569999999999999</v>
      </c>
      <c r="U93">
        <v>1.41</v>
      </c>
    </row>
    <row r="94" spans="17:21" ht="15" customHeight="1">
      <c r="Q94">
        <v>-1.2</v>
      </c>
      <c r="R94">
        <v>-0.11</v>
      </c>
      <c r="S94">
        <v>-0.65</v>
      </c>
      <c r="T94">
        <v>0.88400000000000001</v>
      </c>
      <c r="U94">
        <v>0.11</v>
      </c>
    </row>
    <row r="95" spans="17:21" ht="15" customHeight="1">
      <c r="Q95">
        <v>-2.64</v>
      </c>
      <c r="R95">
        <v>-1.55</v>
      </c>
      <c r="S95">
        <v>-1.93</v>
      </c>
      <c r="T95">
        <v>14.467000000000001</v>
      </c>
      <c r="U95">
        <v>1.55</v>
      </c>
    </row>
    <row r="96" spans="17:21" ht="15" customHeight="1">
      <c r="Q96">
        <v>-1.85</v>
      </c>
      <c r="R96">
        <v>-1.1100000000000001</v>
      </c>
      <c r="S96">
        <v>-1.35</v>
      </c>
      <c r="T96">
        <v>2.5030000000000001</v>
      </c>
      <c r="U96">
        <v>1.1100000000000001</v>
      </c>
    </row>
    <row r="97" spans="17:21" ht="15" customHeight="1">
      <c r="Q97">
        <v>-1.08</v>
      </c>
      <c r="R97">
        <v>-0.18</v>
      </c>
      <c r="S97">
        <v>-0.95</v>
      </c>
      <c r="T97">
        <v>0.94299999999999995</v>
      </c>
      <c r="U97">
        <v>0.18</v>
      </c>
    </row>
    <row r="98" spans="17:21" ht="15" customHeight="1">
      <c r="Q98">
        <v>-1.1599999999999999</v>
      </c>
      <c r="R98">
        <v>-1.1599999999999999</v>
      </c>
      <c r="S98">
        <v>1.82</v>
      </c>
      <c r="T98">
        <v>13.776</v>
      </c>
      <c r="U98">
        <v>1.1599999999999999</v>
      </c>
    </row>
    <row r="99" spans="17:21" ht="15" customHeight="1">
      <c r="Q99">
        <v>-0.52</v>
      </c>
      <c r="R99">
        <v>-0.52</v>
      </c>
      <c r="S99">
        <v>0.65</v>
      </c>
      <c r="T99">
        <v>2.456</v>
      </c>
      <c r="U99">
        <v>0.52</v>
      </c>
    </row>
    <row r="100" spans="17:21" ht="15" customHeight="1">
      <c r="Q100">
        <v>-0.42</v>
      </c>
      <c r="R100">
        <v>-0.42</v>
      </c>
      <c r="S100">
        <v>-0.09</v>
      </c>
      <c r="T100">
        <v>1.0149999999999999</v>
      </c>
      <c r="U100">
        <v>0.42</v>
      </c>
    </row>
    <row r="101" spans="17:21" ht="15" customHeight="1">
      <c r="Q101">
        <v>1.04</v>
      </c>
      <c r="R101">
        <v>1.04</v>
      </c>
      <c r="S101">
        <v>0.82</v>
      </c>
      <c r="T101">
        <v>14.326000000000001</v>
      </c>
      <c r="U101">
        <v>1.04</v>
      </c>
    </row>
    <row r="102" spans="17:21" ht="15" customHeight="1">
      <c r="Q102">
        <v>0.47</v>
      </c>
      <c r="R102">
        <v>0.47</v>
      </c>
      <c r="S102">
        <v>0.76</v>
      </c>
      <c r="T102">
        <v>2.5590000000000002</v>
      </c>
      <c r="U102">
        <v>0.47</v>
      </c>
    </row>
    <row r="103" spans="17:21" ht="15" customHeight="1">
      <c r="Q103">
        <v>-0.27</v>
      </c>
      <c r="R103">
        <v>-0.27</v>
      </c>
      <c r="S103">
        <v>0.27</v>
      </c>
      <c r="T103">
        <v>0.98899999999999999</v>
      </c>
      <c r="U103">
        <v>0.27</v>
      </c>
    </row>
    <row r="104" spans="17:21" ht="15" customHeight="1">
      <c r="Q104">
        <v>2.78</v>
      </c>
      <c r="R104">
        <v>2.78</v>
      </c>
      <c r="S104">
        <v>2.57</v>
      </c>
      <c r="T104">
        <v>0</v>
      </c>
      <c r="U104">
        <v>2.78</v>
      </c>
    </row>
    <row r="105" spans="17:21" ht="15" customHeight="1">
      <c r="Q105">
        <v>1.82</v>
      </c>
      <c r="R105">
        <v>1.82</v>
      </c>
      <c r="S105">
        <v>1.65</v>
      </c>
      <c r="T105">
        <v>2.419</v>
      </c>
      <c r="U105">
        <v>1.82</v>
      </c>
    </row>
    <row r="106" spans="17:21" ht="15" customHeight="1">
      <c r="Q106">
        <v>1.59</v>
      </c>
      <c r="R106">
        <v>-0.48</v>
      </c>
      <c r="S106">
        <v>0.94</v>
      </c>
      <c r="T106">
        <v>0.92300000000000004</v>
      </c>
      <c r="U106">
        <v>0.48</v>
      </c>
    </row>
    <row r="107" spans="17:21" ht="15" customHeight="1">
      <c r="Q107">
        <v>5.62</v>
      </c>
      <c r="R107">
        <v>3.67</v>
      </c>
      <c r="S107">
        <v>1.81</v>
      </c>
      <c r="T107">
        <v>11.416</v>
      </c>
      <c r="U107">
        <v>3.67</v>
      </c>
    </row>
    <row r="108" spans="17:21" ht="15" customHeight="1">
      <c r="Q108">
        <v>-0.14000000000000001</v>
      </c>
      <c r="R108">
        <v>-0.14000000000000001</v>
      </c>
      <c r="S108">
        <v>0.4</v>
      </c>
      <c r="T108">
        <v>2.2320000000000002</v>
      </c>
      <c r="U108">
        <v>0.14000000000000001</v>
      </c>
    </row>
    <row r="109" spans="17:21" ht="15" customHeight="1">
      <c r="Q109">
        <v>-4.6900000000000004</v>
      </c>
      <c r="R109">
        <v>-0.18</v>
      </c>
      <c r="S109">
        <v>-0.34</v>
      </c>
      <c r="T109">
        <v>0.91200000000000003</v>
      </c>
      <c r="U109">
        <v>0.18</v>
      </c>
    </row>
    <row r="110" spans="17:21" ht="15" customHeight="1">
      <c r="Q110">
        <v>0.28000000000000003</v>
      </c>
      <c r="R110">
        <v>0.28000000000000003</v>
      </c>
      <c r="S110">
        <v>0.39</v>
      </c>
      <c r="T110">
        <v>12.346</v>
      </c>
      <c r="U110">
        <v>0.28000000000000003</v>
      </c>
    </row>
    <row r="111" spans="17:21" ht="15" customHeight="1">
      <c r="Q111">
        <v>-0.1</v>
      </c>
      <c r="R111">
        <v>-0.1</v>
      </c>
      <c r="S111">
        <v>7.0000000000000007E-2</v>
      </c>
      <c r="T111">
        <v>2.238</v>
      </c>
      <c r="U111">
        <v>0.1</v>
      </c>
    </row>
    <row r="112" spans="17:21" ht="15" customHeight="1">
      <c r="Q112">
        <v>-1.1200000000000001</v>
      </c>
      <c r="R112">
        <v>-1.1200000000000001</v>
      </c>
      <c r="S112">
        <v>0.01</v>
      </c>
      <c r="T112">
        <v>0.88800000000000001</v>
      </c>
      <c r="U112">
        <v>1.1200000000000001</v>
      </c>
    </row>
    <row r="113" spans="17:21" ht="15" customHeight="1">
      <c r="Q113">
        <v>0.24</v>
      </c>
      <c r="R113">
        <v>0.24</v>
      </c>
      <c r="S113">
        <v>0.22</v>
      </c>
      <c r="T113">
        <v>11.971</v>
      </c>
      <c r="U113">
        <v>0.24</v>
      </c>
    </row>
    <row r="114" spans="17:21" ht="15" customHeight="1">
      <c r="Q114">
        <v>-0.32</v>
      </c>
      <c r="R114">
        <v>-0.32</v>
      </c>
      <c r="S114">
        <v>0.06</v>
      </c>
      <c r="T114">
        <v>2.2360000000000002</v>
      </c>
      <c r="U114">
        <v>0.32</v>
      </c>
    </row>
    <row r="115" spans="17:21" ht="15" customHeight="1">
      <c r="Q115">
        <v>1.33</v>
      </c>
      <c r="R115">
        <v>1.33</v>
      </c>
      <c r="S115">
        <v>-0.01</v>
      </c>
      <c r="T115">
        <v>0.89</v>
      </c>
      <c r="U115">
        <v>1.33</v>
      </c>
    </row>
    <row r="116" spans="17:21" ht="15" customHeight="1">
      <c r="Q116">
        <v>-1.3</v>
      </c>
      <c r="R116">
        <v>-1.3</v>
      </c>
      <c r="S116">
        <v>-0.66</v>
      </c>
      <c r="T116">
        <v>15.581</v>
      </c>
      <c r="U116">
        <v>1.3</v>
      </c>
    </row>
    <row r="117" spans="17:21" ht="15" customHeight="1">
      <c r="Q117">
        <v>-0.78</v>
      </c>
      <c r="R117">
        <v>-0.78</v>
      </c>
      <c r="S117">
        <v>-0.48</v>
      </c>
      <c r="T117">
        <v>2.6059999999999999</v>
      </c>
      <c r="U117">
        <v>0.78</v>
      </c>
    </row>
    <row r="118" spans="17:21" ht="15" customHeight="1">
      <c r="Q118">
        <v>-1.39</v>
      </c>
      <c r="R118">
        <v>-0.99</v>
      </c>
      <c r="S118">
        <v>-0.25</v>
      </c>
      <c r="T118">
        <v>0.96899999999999997</v>
      </c>
      <c r="U118">
        <v>0.99</v>
      </c>
    </row>
    <row r="119" spans="17:21" ht="15" customHeight="1">
      <c r="Q119">
        <v>-0.96</v>
      </c>
      <c r="R119">
        <v>-0.96</v>
      </c>
      <c r="S119">
        <v>-0.59</v>
      </c>
      <c r="T119">
        <v>15.433</v>
      </c>
      <c r="U119">
        <v>0.96</v>
      </c>
    </row>
    <row r="120" spans="17:21" ht="15" customHeight="1">
      <c r="Q120">
        <v>-0.39</v>
      </c>
      <c r="R120">
        <v>-0.39</v>
      </c>
      <c r="S120">
        <v>0.01</v>
      </c>
      <c r="T120">
        <v>2.6680000000000001</v>
      </c>
      <c r="U120">
        <v>0.39</v>
      </c>
    </row>
    <row r="121" spans="17:21" ht="15" customHeight="1">
      <c r="Q121">
        <v>-0.93</v>
      </c>
      <c r="R121">
        <v>-0.93</v>
      </c>
      <c r="S121">
        <v>0.12</v>
      </c>
      <c r="T121">
        <v>1.0029999999999999</v>
      </c>
      <c r="U121">
        <v>0.93</v>
      </c>
    </row>
    <row r="122" spans="17:21" ht="15" customHeight="1">
      <c r="Q122">
        <v>-2.84</v>
      </c>
      <c r="R122">
        <v>-0.43</v>
      </c>
      <c r="S122">
        <v>-2.34</v>
      </c>
      <c r="T122">
        <v>14.496</v>
      </c>
      <c r="U122">
        <v>0.43</v>
      </c>
    </row>
    <row r="123" spans="17:21" ht="15" customHeight="1">
      <c r="Q123">
        <v>-2.62</v>
      </c>
      <c r="R123">
        <v>0.33</v>
      </c>
      <c r="S123">
        <v>-1.89</v>
      </c>
      <c r="T123">
        <v>2.5579999999999998</v>
      </c>
      <c r="U123">
        <v>0.33</v>
      </c>
    </row>
    <row r="124" spans="17:21" ht="15" customHeight="1">
      <c r="Q124">
        <v>-2.2599999999999998</v>
      </c>
      <c r="R124">
        <v>0.14000000000000001</v>
      </c>
      <c r="S124">
        <v>-1.91</v>
      </c>
      <c r="T124">
        <v>0.99299999999999999</v>
      </c>
      <c r="U124">
        <v>0.14000000000000001</v>
      </c>
    </row>
    <row r="125" spans="17:21" ht="15" customHeight="1">
      <c r="Q125">
        <v>-3.24</v>
      </c>
      <c r="R125">
        <v>-0.91</v>
      </c>
      <c r="S125">
        <v>-2.54</v>
      </c>
      <c r="T125">
        <v>14.159000000000001</v>
      </c>
      <c r="U125" t="s">
        <v>586</v>
      </c>
    </row>
    <row r="126" spans="17:21" ht="15" customHeight="1">
      <c r="Q126">
        <v>-1.97</v>
      </c>
      <c r="R126">
        <v>-1.97</v>
      </c>
      <c r="S126">
        <v>-1.32</v>
      </c>
      <c r="T126">
        <v>2.294</v>
      </c>
      <c r="U126" t="s">
        <v>586</v>
      </c>
    </row>
    <row r="127" spans="17:21" ht="15" customHeight="1">
      <c r="Q127">
        <v>0.45</v>
      </c>
      <c r="R127">
        <v>0.45</v>
      </c>
      <c r="S127">
        <v>-0.56000000000000005</v>
      </c>
      <c r="T127">
        <v>0.92300000000000004</v>
      </c>
      <c r="U127" t="s">
        <v>586</v>
      </c>
    </row>
    <row r="128" spans="17:21" ht="15" customHeight="1">
      <c r="Q128">
        <v>-3.3</v>
      </c>
      <c r="R128">
        <v>-1.1100000000000001</v>
      </c>
      <c r="S128">
        <v>-2.1800000000000002</v>
      </c>
      <c r="T128">
        <v>12.837999999999999</v>
      </c>
      <c r="U128">
        <v>1.1100000000000001</v>
      </c>
    </row>
    <row r="129" spans="17:21" ht="15" customHeight="1">
      <c r="Q129">
        <v>-1.52</v>
      </c>
      <c r="R129">
        <v>-1.52</v>
      </c>
      <c r="S129">
        <v>-1.24</v>
      </c>
      <c r="T129">
        <v>2.2189999999999999</v>
      </c>
      <c r="U129">
        <v>1.52</v>
      </c>
    </row>
    <row r="130" spans="17:21" ht="15" customHeight="1">
      <c r="Q130">
        <v>-0.88</v>
      </c>
      <c r="R130">
        <v>-7.0000000000000007E-2</v>
      </c>
      <c r="S130">
        <v>-0.65</v>
      </c>
      <c r="T130">
        <v>0.84299999999999997</v>
      </c>
      <c r="U130">
        <v>7.0000000000000007E-2</v>
      </c>
    </row>
    <row r="131" spans="17:21" ht="15" customHeight="1">
      <c r="Q131">
        <v>-0.77</v>
      </c>
      <c r="R131">
        <v>-0.77</v>
      </c>
      <c r="S131">
        <v>-0.41</v>
      </c>
      <c r="T131">
        <v>13.724</v>
      </c>
      <c r="U131">
        <v>0.77</v>
      </c>
    </row>
    <row r="132" spans="17:21" ht="15" customHeight="1">
      <c r="Q132">
        <v>0.24</v>
      </c>
      <c r="R132">
        <v>0.24</v>
      </c>
      <c r="S132">
        <v>0.6</v>
      </c>
      <c r="T132">
        <v>2.4369999999999998</v>
      </c>
      <c r="U132">
        <v>0.24</v>
      </c>
    </row>
    <row r="133" spans="17:21" ht="15" customHeight="1">
      <c r="Q133">
        <v>-0.08</v>
      </c>
      <c r="R133">
        <v>-0.08</v>
      </c>
      <c r="S133" t="e">
        <v>#VALUE!</v>
      </c>
      <c r="T133">
        <v>0.99399999999999999</v>
      </c>
      <c r="U133">
        <v>0.08</v>
      </c>
    </row>
    <row r="134" spans="17:21" ht="15" customHeight="1">
      <c r="Q134">
        <v>-3.14</v>
      </c>
      <c r="R134">
        <v>-0.43</v>
      </c>
      <c r="S134">
        <v>-2.2599999999999998</v>
      </c>
      <c r="T134">
        <v>12.574</v>
      </c>
      <c r="U134">
        <v>0.43</v>
      </c>
    </row>
    <row r="135" spans="17:21" ht="15" customHeight="1">
      <c r="Q135">
        <v>-1.9</v>
      </c>
      <c r="R135">
        <v>-1.9</v>
      </c>
      <c r="S135">
        <v>-1.47</v>
      </c>
      <c r="T135">
        <v>2.169</v>
      </c>
      <c r="U135">
        <v>1.9</v>
      </c>
    </row>
    <row r="136" spans="17:21" ht="15" customHeight="1">
      <c r="Q136">
        <v>-1.1299999999999999</v>
      </c>
      <c r="R136">
        <v>0.63</v>
      </c>
      <c r="S136">
        <v>-0.94</v>
      </c>
      <c r="T136">
        <v>0.82699999999999996</v>
      </c>
      <c r="U136">
        <v>0.63</v>
      </c>
    </row>
    <row r="137" spans="17:21" ht="15" customHeight="1">
      <c r="Q137">
        <v>-2.19</v>
      </c>
      <c r="R137">
        <v>1.04</v>
      </c>
      <c r="S137">
        <v>-0.87</v>
      </c>
      <c r="T137">
        <v>14.792999999999999</v>
      </c>
      <c r="U137">
        <v>1.04</v>
      </c>
    </row>
    <row r="138" spans="17:21" ht="15" customHeight="1">
      <c r="Q138">
        <v>-1.03</v>
      </c>
      <c r="R138">
        <v>-1.03</v>
      </c>
      <c r="S138">
        <v>-0.85</v>
      </c>
      <c r="T138">
        <v>2.504</v>
      </c>
      <c r="U138">
        <v>1.03</v>
      </c>
    </row>
    <row r="139" spans="17:21" ht="15" customHeight="1">
      <c r="Q139">
        <v>-0.64</v>
      </c>
      <c r="R139">
        <v>-0.64</v>
      </c>
      <c r="S139">
        <v>-0.28000000000000003</v>
      </c>
      <c r="T139">
        <v>1.02</v>
      </c>
      <c r="U139">
        <v>0.64</v>
      </c>
    </row>
    <row r="140" spans="17:21" ht="15" customHeight="1">
      <c r="Q140">
        <v>-1.69</v>
      </c>
      <c r="R140">
        <v>-1.69</v>
      </c>
      <c r="S140">
        <v>-0.81</v>
      </c>
      <c r="T140">
        <v>12.785</v>
      </c>
      <c r="U140">
        <v>1.69</v>
      </c>
    </row>
    <row r="141" spans="17:21" ht="15" customHeight="1">
      <c r="Q141" t="e">
        <v>#DIV/0!</v>
      </c>
      <c r="S141">
        <v>-0.4</v>
      </c>
      <c r="T141" t="e">
        <v>#DIV/0!</v>
      </c>
      <c r="U141">
        <v>0</v>
      </c>
    </row>
    <row r="142" spans="17:21" ht="15" customHeight="1">
      <c r="Q142" t="e">
        <v>#DIV/0!</v>
      </c>
      <c r="S142">
        <v>-0.17</v>
      </c>
      <c r="T142" t="e">
        <v>#DIV/0!</v>
      </c>
      <c r="U142">
        <v>0</v>
      </c>
    </row>
    <row r="143" spans="17:21" ht="15" customHeight="1">
      <c r="Q143">
        <v>-2.59</v>
      </c>
      <c r="R143">
        <v>0.14000000000000001</v>
      </c>
      <c r="S143">
        <v>-2.2599999999999998</v>
      </c>
      <c r="T143">
        <v>12.798999999999999</v>
      </c>
      <c r="U143">
        <v>0.14000000000000001</v>
      </c>
    </row>
    <row r="144" spans="17:21" ht="15" customHeight="1">
      <c r="Q144">
        <v>-1.51</v>
      </c>
      <c r="R144">
        <v>-1.51</v>
      </c>
      <c r="S144">
        <v>-0.97</v>
      </c>
      <c r="T144">
        <v>2.2690000000000001</v>
      </c>
      <c r="U144">
        <v>1.51</v>
      </c>
    </row>
    <row r="145" spans="17:21" ht="15" customHeight="1">
      <c r="Q145">
        <v>-1.92</v>
      </c>
      <c r="R145">
        <v>0.35</v>
      </c>
      <c r="S145">
        <v>-0.33</v>
      </c>
      <c r="T145">
        <v>0.96899999999999997</v>
      </c>
      <c r="U145">
        <v>0.35</v>
      </c>
    </row>
    <row r="146" spans="17:21" ht="15" customHeight="1">
      <c r="Q146">
        <v>-1.6</v>
      </c>
      <c r="R146">
        <v>-0.1</v>
      </c>
      <c r="S146">
        <v>-0.8</v>
      </c>
      <c r="T146">
        <v>14.272</v>
      </c>
      <c r="U146">
        <v>0.1</v>
      </c>
    </row>
    <row r="147" spans="17:21" ht="15" customHeight="1">
      <c r="Q147">
        <v>-0.55000000000000004</v>
      </c>
      <c r="R147">
        <v>-0.55000000000000004</v>
      </c>
      <c r="S147">
        <v>-0.11</v>
      </c>
      <c r="T147">
        <v>2.7719999999999998</v>
      </c>
      <c r="U147">
        <v>0.55000000000000004</v>
      </c>
    </row>
    <row r="148" spans="17:21" ht="15" customHeight="1">
      <c r="Q148">
        <v>-0.5</v>
      </c>
      <c r="R148">
        <v>-0.5</v>
      </c>
      <c r="S148">
        <v>0.23</v>
      </c>
      <c r="T148">
        <v>0.90900000000000003</v>
      </c>
      <c r="U148">
        <v>0.5</v>
      </c>
    </row>
    <row r="149" spans="17:21" ht="15" customHeight="1">
      <c r="Q149">
        <v>-2.4900000000000002</v>
      </c>
      <c r="R149">
        <v>-0.1</v>
      </c>
      <c r="S149">
        <v>-1.42</v>
      </c>
      <c r="T149">
        <v>13.08</v>
      </c>
      <c r="U149">
        <v>0.1</v>
      </c>
    </row>
    <row r="150" spans="17:21" ht="15" customHeight="1">
      <c r="Q150">
        <v>-1.64</v>
      </c>
      <c r="R150">
        <v>0.08</v>
      </c>
      <c r="S150">
        <v>-0.85</v>
      </c>
      <c r="T150">
        <v>2.258</v>
      </c>
      <c r="U150">
        <v>0.08</v>
      </c>
    </row>
    <row r="151" spans="17:21" ht="15" customHeight="1">
      <c r="Q151">
        <v>-0.94</v>
      </c>
      <c r="R151">
        <v>-0.04</v>
      </c>
      <c r="S151">
        <v>-0.24</v>
      </c>
      <c r="T151">
        <v>0.83199999999999996</v>
      </c>
      <c r="U151">
        <v>0.04</v>
      </c>
    </row>
    <row r="152" spans="17:21" ht="15" customHeight="1">
      <c r="Q152">
        <v>-1.55</v>
      </c>
      <c r="R152">
        <v>-0.82</v>
      </c>
      <c r="S152">
        <v>0.56999999999999995</v>
      </c>
      <c r="T152">
        <v>14.942</v>
      </c>
      <c r="U152">
        <v>0.82</v>
      </c>
    </row>
    <row r="153" spans="17:21" ht="15" customHeight="1">
      <c r="Q153">
        <v>-0.95</v>
      </c>
      <c r="R153">
        <v>-0.95</v>
      </c>
      <c r="S153">
        <v>-0.19</v>
      </c>
      <c r="T153">
        <v>2.4369999999999998</v>
      </c>
      <c r="U153">
        <v>0.95</v>
      </c>
    </row>
    <row r="154" spans="17:21" ht="15" customHeight="1">
      <c r="Q154">
        <v>-1.2</v>
      </c>
      <c r="R154">
        <v>-0.01</v>
      </c>
      <c r="S154">
        <v>-0.13</v>
      </c>
      <c r="T154">
        <v>0.94</v>
      </c>
      <c r="U154">
        <v>0.01</v>
      </c>
    </row>
    <row r="155" spans="17:21" ht="15" customHeight="1">
      <c r="Q155">
        <v>0.38</v>
      </c>
      <c r="R155">
        <v>0.38</v>
      </c>
      <c r="S155">
        <v>0.33</v>
      </c>
      <c r="T155">
        <v>12.808</v>
      </c>
      <c r="U155">
        <v>0.38</v>
      </c>
    </row>
    <row r="156" spans="17:21" ht="15" customHeight="1">
      <c r="Q156">
        <v>0.03</v>
      </c>
      <c r="R156">
        <v>0.03</v>
      </c>
      <c r="S156">
        <v>0.81</v>
      </c>
      <c r="T156">
        <v>2.2850000000000001</v>
      </c>
      <c r="U156">
        <v>0.03</v>
      </c>
    </row>
    <row r="157" spans="17:21" ht="15" customHeight="1">
      <c r="Q157">
        <v>-0.17</v>
      </c>
      <c r="R157">
        <v>-0.17</v>
      </c>
      <c r="S157">
        <v>0.28999999999999998</v>
      </c>
      <c r="T157">
        <v>0.92600000000000005</v>
      </c>
      <c r="U157">
        <v>0.17</v>
      </c>
    </row>
    <row r="158" spans="17:21" ht="15" customHeight="1">
      <c r="Q158">
        <v>-0.19</v>
      </c>
      <c r="R158">
        <v>-0.19</v>
      </c>
      <c r="S158">
        <v>-2.21</v>
      </c>
      <c r="T158">
        <v>12.691000000000001</v>
      </c>
      <c r="U158">
        <v>0.19</v>
      </c>
    </row>
    <row r="159" spans="17:21" ht="15" customHeight="1">
      <c r="Q159">
        <v>0.02</v>
      </c>
      <c r="R159">
        <v>0.02</v>
      </c>
      <c r="S159">
        <v>-0.78</v>
      </c>
      <c r="T159">
        <v>2.2069999999999999</v>
      </c>
      <c r="U159">
        <v>0.02</v>
      </c>
    </row>
    <row r="160" spans="17:21" ht="15" customHeight="1">
      <c r="Q160">
        <v>-0.38</v>
      </c>
      <c r="R160">
        <v>-0.38</v>
      </c>
      <c r="S160">
        <v>0.12</v>
      </c>
      <c r="T160">
        <v>0.91700000000000004</v>
      </c>
      <c r="U160">
        <v>0.38</v>
      </c>
    </row>
    <row r="161" spans="17:21" ht="15" customHeight="1">
      <c r="Q161">
        <v>0.14000000000000001</v>
      </c>
      <c r="R161">
        <v>0.14000000000000001</v>
      </c>
      <c r="S161">
        <v>-2.9</v>
      </c>
      <c r="T161">
        <v>13.79</v>
      </c>
      <c r="U161">
        <v>0.14000000000000001</v>
      </c>
    </row>
    <row r="162" spans="17:21" ht="15" customHeight="1">
      <c r="Q162">
        <v>-0.24</v>
      </c>
      <c r="R162">
        <v>-0.24</v>
      </c>
      <c r="S162">
        <v>-1.47</v>
      </c>
      <c r="T162">
        <v>2.456</v>
      </c>
      <c r="U162">
        <v>0.24</v>
      </c>
    </row>
    <row r="163" spans="17:21" ht="15" customHeight="1">
      <c r="Q163">
        <v>-0.68</v>
      </c>
      <c r="R163">
        <v>-0.02</v>
      </c>
      <c r="S163">
        <v>-0.18</v>
      </c>
      <c r="T163">
        <v>0.98399999999999999</v>
      </c>
      <c r="U163">
        <v>0.02</v>
      </c>
    </row>
    <row r="164" spans="17:21" ht="15" customHeight="1">
      <c r="Q164">
        <v>-0.38</v>
      </c>
      <c r="R164">
        <v>-0.38</v>
      </c>
      <c r="S164">
        <v>-30.14</v>
      </c>
      <c r="T164">
        <v>12.667</v>
      </c>
      <c r="U164">
        <v>0.38</v>
      </c>
    </row>
    <row r="165" spans="17:21" ht="15" customHeight="1">
      <c r="Q165">
        <v>-0.55000000000000004</v>
      </c>
      <c r="R165">
        <v>-0.55000000000000004</v>
      </c>
      <c r="S165">
        <v>-27.67</v>
      </c>
      <c r="T165">
        <v>2.2269999999999999</v>
      </c>
      <c r="U165">
        <v>0.55000000000000004</v>
      </c>
    </row>
    <row r="166" spans="17:21" ht="15" customHeight="1">
      <c r="Q166">
        <v>-0.2</v>
      </c>
      <c r="R166">
        <v>-0.2</v>
      </c>
      <c r="S166">
        <v>-24.45</v>
      </c>
      <c r="T166">
        <v>0.86599999999999999</v>
      </c>
      <c r="U166">
        <v>0.2</v>
      </c>
    </row>
    <row r="167" spans="17:21" ht="15" customHeight="1">
      <c r="Q167">
        <v>-0.53</v>
      </c>
      <c r="R167">
        <v>-0.53</v>
      </c>
      <c r="S167">
        <v>-2.25</v>
      </c>
      <c r="T167">
        <v>12.59</v>
      </c>
      <c r="U167">
        <v>0.53</v>
      </c>
    </row>
    <row r="168" spans="17:21" ht="15" customHeight="1">
      <c r="Q168">
        <v>-0.45</v>
      </c>
      <c r="R168">
        <v>-0.45</v>
      </c>
      <c r="S168">
        <v>-0.73</v>
      </c>
      <c r="T168">
        <v>2.1669999999999998</v>
      </c>
      <c r="U168">
        <v>0.45</v>
      </c>
    </row>
    <row r="169" spans="17:21" ht="15" customHeight="1">
      <c r="Q169">
        <v>-0.2</v>
      </c>
      <c r="R169">
        <v>-0.2</v>
      </c>
      <c r="S169">
        <v>-0.22</v>
      </c>
      <c r="T169">
        <v>0.83299999999999996</v>
      </c>
      <c r="U169">
        <v>0.2</v>
      </c>
    </row>
    <row r="170" spans="17:21" ht="15" customHeight="1">
      <c r="Q170" t="e">
        <v>#DIV/0!</v>
      </c>
      <c r="S170">
        <v>-1.21</v>
      </c>
      <c r="T170" t="e">
        <v>#DIV/0!</v>
      </c>
      <c r="U170" t="s">
        <v>586</v>
      </c>
    </row>
    <row r="171" spans="17:21" ht="15" customHeight="1">
      <c r="Q171" t="e">
        <v>#DIV/0!</v>
      </c>
      <c r="S171">
        <v>-0.37</v>
      </c>
      <c r="T171" t="e">
        <v>#DIV/0!</v>
      </c>
      <c r="U171" t="s">
        <v>586</v>
      </c>
    </row>
    <row r="172" spans="17:21" ht="15" customHeight="1">
      <c r="Q172">
        <v>0.46</v>
      </c>
      <c r="R172">
        <v>0.46</v>
      </c>
      <c r="S172" t="e">
        <v>#DIV/0!</v>
      </c>
      <c r="T172">
        <v>0.878</v>
      </c>
      <c r="U172">
        <v>0.46</v>
      </c>
    </row>
    <row r="173" spans="17:21" ht="15" customHeight="1">
      <c r="Q173">
        <v>0.33</v>
      </c>
      <c r="R173">
        <v>0.33</v>
      </c>
      <c r="S173">
        <v>0.84</v>
      </c>
      <c r="T173">
        <v>12.387</v>
      </c>
      <c r="U173">
        <v>0.33</v>
      </c>
    </row>
    <row r="174" spans="17:21" ht="15" customHeight="1">
      <c r="Q174">
        <v>-0.54</v>
      </c>
      <c r="R174">
        <v>-0.54</v>
      </c>
      <c r="S174">
        <v>0.79</v>
      </c>
      <c r="T174">
        <v>2.1829999999999998</v>
      </c>
      <c r="U174">
        <v>0.54</v>
      </c>
    </row>
    <row r="175" spans="17:21" ht="15" customHeight="1">
      <c r="Q175">
        <v>-0.41</v>
      </c>
      <c r="R175">
        <v>-0.41</v>
      </c>
      <c r="S175">
        <v>0.54</v>
      </c>
      <c r="T175">
        <v>0.85199999999999998</v>
      </c>
      <c r="U175">
        <v>0.41</v>
      </c>
    </row>
    <row r="176" spans="17:21" ht="15" customHeight="1">
      <c r="Q176">
        <v>-0.56999999999999995</v>
      </c>
      <c r="R176">
        <v>-0.56999999999999995</v>
      </c>
      <c r="S176">
        <v>0.66</v>
      </c>
      <c r="T176">
        <v>12.978999999999999</v>
      </c>
      <c r="U176">
        <v>0.56999999999999995</v>
      </c>
    </row>
    <row r="177" spans="17:21" ht="15" customHeight="1">
      <c r="Q177">
        <v>-0.01</v>
      </c>
      <c r="R177">
        <v>-0.01</v>
      </c>
      <c r="S177">
        <v>0.72</v>
      </c>
      <c r="T177">
        <v>2.2570000000000001</v>
      </c>
      <c r="U177">
        <v>0.01</v>
      </c>
    </row>
    <row r="178" spans="17:21" ht="15" customHeight="1">
      <c r="Q178">
        <v>-0.9</v>
      </c>
      <c r="R178">
        <v>-0.27</v>
      </c>
      <c r="S178">
        <v>0.35</v>
      </c>
      <c r="T178">
        <v>0.877</v>
      </c>
      <c r="U178">
        <v>0.27</v>
      </c>
    </row>
    <row r="179" spans="17:21" ht="15" customHeight="1">
      <c r="Q179">
        <v>-0.05</v>
      </c>
      <c r="R179">
        <v>-0.05</v>
      </c>
      <c r="S179">
        <v>3.47</v>
      </c>
      <c r="T179">
        <v>14.721</v>
      </c>
      <c r="U179">
        <v>0.05</v>
      </c>
    </row>
    <row r="180" spans="17:21" ht="15" customHeight="1">
      <c r="Q180">
        <v>-0.17</v>
      </c>
      <c r="R180">
        <v>-0.17</v>
      </c>
      <c r="S180">
        <v>1.07</v>
      </c>
      <c r="T180">
        <v>2.411</v>
      </c>
      <c r="U180">
        <v>0.17</v>
      </c>
    </row>
    <row r="181" spans="17:21" ht="15" customHeight="1">
      <c r="Q181">
        <v>-0.48</v>
      </c>
      <c r="R181">
        <v>-0.47799999999999998</v>
      </c>
      <c r="S181">
        <v>0.21</v>
      </c>
      <c r="T181">
        <v>0.91800000000000004</v>
      </c>
      <c r="U181">
        <v>0.47799999999999998</v>
      </c>
    </row>
    <row r="182" spans="17:21" ht="15" customHeight="1">
      <c r="Q182">
        <v>1.32</v>
      </c>
      <c r="R182">
        <v>1.32</v>
      </c>
      <c r="S182">
        <v>1.82</v>
      </c>
      <c r="T182">
        <v>16.212</v>
      </c>
      <c r="U182">
        <v>1.32</v>
      </c>
    </row>
    <row r="183" spans="17:21" ht="15" customHeight="1">
      <c r="Q183">
        <v>4.6399999999999997</v>
      </c>
      <c r="R183">
        <v>0.48</v>
      </c>
      <c r="S183">
        <v>2.2799999999999998</v>
      </c>
      <c r="T183">
        <v>2.3980000000000001</v>
      </c>
      <c r="U183">
        <v>0.48</v>
      </c>
    </row>
    <row r="184" spans="17:21" ht="15" customHeight="1">
      <c r="Q184">
        <v>0.39</v>
      </c>
      <c r="R184">
        <v>0.39</v>
      </c>
      <c r="S184" t="e">
        <v>#VALUE!</v>
      </c>
      <c r="T184">
        <v>0.996</v>
      </c>
      <c r="U184">
        <v>0.39</v>
      </c>
    </row>
    <row r="185" spans="17:21" ht="15" customHeight="1">
      <c r="Q185">
        <v>0.56999999999999995</v>
      </c>
      <c r="R185">
        <v>0.56999999999999995</v>
      </c>
      <c r="S185">
        <v>0.72</v>
      </c>
      <c r="T185">
        <v>12.879</v>
      </c>
      <c r="U185">
        <v>0.56999999999999995</v>
      </c>
    </row>
    <row r="186" spans="17:21" ht="15" customHeight="1">
      <c r="Q186">
        <v>-0.03</v>
      </c>
      <c r="R186">
        <v>-0.03</v>
      </c>
      <c r="S186">
        <v>1.68</v>
      </c>
      <c r="T186">
        <v>2.294</v>
      </c>
      <c r="U186">
        <v>0.03</v>
      </c>
    </row>
    <row r="187" spans="17:21" ht="15" customHeight="1">
      <c r="Q187">
        <v>-0.15</v>
      </c>
      <c r="R187">
        <v>-0.15</v>
      </c>
      <c r="S187">
        <v>-0.03</v>
      </c>
      <c r="T187">
        <v>0.96599999999999997</v>
      </c>
      <c r="U187">
        <v>0.15</v>
      </c>
    </row>
    <row r="188" spans="17:21" ht="15" customHeight="1">
      <c r="Q188">
        <v>0.56999999999999995</v>
      </c>
      <c r="R188">
        <v>0.56999999999999995</v>
      </c>
      <c r="S188">
        <v>0.75</v>
      </c>
      <c r="T188">
        <v>12.5</v>
      </c>
      <c r="U188">
        <v>0.56999999999999995</v>
      </c>
    </row>
    <row r="189" spans="17:21" ht="15" customHeight="1">
      <c r="Q189">
        <v>-0.14000000000000001</v>
      </c>
      <c r="R189">
        <v>-0.14000000000000001</v>
      </c>
      <c r="S189">
        <v>0.57999999999999996</v>
      </c>
      <c r="T189">
        <v>2.2320000000000002</v>
      </c>
      <c r="U189">
        <v>0.14000000000000001</v>
      </c>
    </row>
    <row r="190" spans="17:21" ht="15" customHeight="1">
      <c r="Q190">
        <v>-0.44</v>
      </c>
      <c r="R190">
        <v>0.22</v>
      </c>
      <c r="S190">
        <v>-0.09</v>
      </c>
      <c r="T190">
        <v>0.88200000000000001</v>
      </c>
      <c r="U190">
        <v>0.22</v>
      </c>
    </row>
    <row r="191" spans="17:21" ht="15" customHeight="1">
      <c r="Q191">
        <v>-0.33</v>
      </c>
      <c r="R191">
        <v>-0.33</v>
      </c>
      <c r="S191">
        <v>0.16</v>
      </c>
      <c r="T191">
        <v>13.712</v>
      </c>
      <c r="U191">
        <v>0.33</v>
      </c>
    </row>
    <row r="192" spans="17:21" ht="15" customHeight="1">
      <c r="Q192">
        <v>0.2</v>
      </c>
      <c r="R192">
        <v>0.2</v>
      </c>
      <c r="S192">
        <v>0.36</v>
      </c>
      <c r="T192">
        <v>2.3170000000000002</v>
      </c>
      <c r="U192">
        <v>0.2</v>
      </c>
    </row>
    <row r="193" spans="17:21" ht="15" customHeight="1">
      <c r="Q193">
        <v>-0.23</v>
      </c>
      <c r="R193">
        <v>-0.23</v>
      </c>
      <c r="S193">
        <v>0.26</v>
      </c>
      <c r="T193">
        <v>0.878</v>
      </c>
      <c r="U193">
        <v>0.23</v>
      </c>
    </row>
    <row r="194" spans="17:21" ht="15" customHeight="1">
      <c r="Q194">
        <v>-0.38</v>
      </c>
      <c r="R194">
        <v>-0.38</v>
      </c>
      <c r="S194">
        <v>-0.57999999999999996</v>
      </c>
      <c r="T194">
        <v>12.428000000000001</v>
      </c>
      <c r="U194">
        <v>0.38</v>
      </c>
    </row>
    <row r="195" spans="17:21" ht="15" customHeight="1">
      <c r="Q195">
        <v>-0.39</v>
      </c>
      <c r="R195">
        <v>-0.39</v>
      </c>
      <c r="S195">
        <v>-0.52</v>
      </c>
      <c r="T195">
        <v>2.1800000000000002</v>
      </c>
      <c r="U195">
        <v>0.39</v>
      </c>
    </row>
    <row r="196" spans="17:21" ht="15" customHeight="1">
      <c r="Q196">
        <v>-0.17</v>
      </c>
      <c r="R196">
        <v>-0.17</v>
      </c>
      <c r="S196">
        <v>-0.04</v>
      </c>
      <c r="T196">
        <v>0.81699999999999995</v>
      </c>
      <c r="U196">
        <v>0.17</v>
      </c>
    </row>
    <row r="197" spans="17:21" ht="15" customHeight="1">
      <c r="Q197">
        <v>-0.48</v>
      </c>
      <c r="R197">
        <v>-0.48</v>
      </c>
      <c r="S197">
        <v>0.37</v>
      </c>
      <c r="T197">
        <v>35.597999999999999</v>
      </c>
      <c r="U197">
        <v>0.48</v>
      </c>
    </row>
    <row r="198" spans="17:21" ht="15" customHeight="1">
      <c r="Q198">
        <v>0.14000000000000001</v>
      </c>
      <c r="R198">
        <v>0.14000000000000001</v>
      </c>
      <c r="S198">
        <v>0.09</v>
      </c>
      <c r="T198">
        <v>2.161</v>
      </c>
      <c r="U198">
        <v>0.14000000000000001</v>
      </c>
    </row>
    <row r="199" spans="17:21" ht="15" customHeight="1">
      <c r="Q199">
        <v>0.02</v>
      </c>
      <c r="R199">
        <v>0.02</v>
      </c>
      <c r="S199">
        <v>0.1</v>
      </c>
      <c r="T199">
        <v>0.83499999999999996</v>
      </c>
      <c r="U199">
        <v>0.02</v>
      </c>
    </row>
    <row r="200" spans="17:21" ht="15" customHeight="1">
      <c r="Q200">
        <v>0.19</v>
      </c>
      <c r="R200">
        <v>0.19</v>
      </c>
      <c r="S200">
        <v>-0.35</v>
      </c>
      <c r="T200">
        <v>13.688000000000001</v>
      </c>
      <c r="U200">
        <v>0.19</v>
      </c>
    </row>
    <row r="201" spans="17:21" ht="15" customHeight="1">
      <c r="Q201">
        <v>2.44</v>
      </c>
      <c r="R201">
        <v>0.43</v>
      </c>
      <c r="S201">
        <v>0.3</v>
      </c>
      <c r="T201">
        <v>2.2789999999999999</v>
      </c>
      <c r="U201">
        <v>0.43</v>
      </c>
    </row>
    <row r="202" spans="17:21" ht="15" customHeight="1">
      <c r="Q202">
        <v>-0.2</v>
      </c>
      <c r="R202">
        <v>-0.2</v>
      </c>
      <c r="S202">
        <v>0.19</v>
      </c>
      <c r="T202">
        <v>0.88200000000000001</v>
      </c>
      <c r="U202">
        <v>0.2</v>
      </c>
    </row>
    <row r="203" spans="17:21" ht="15" customHeight="1">
      <c r="Q203">
        <v>2.78</v>
      </c>
      <c r="R203">
        <v>0.94</v>
      </c>
      <c r="S203">
        <v>1.51</v>
      </c>
      <c r="T203">
        <v>12.083</v>
      </c>
      <c r="U203">
        <v>0.94</v>
      </c>
    </row>
    <row r="204" spans="17:21" ht="15" customHeight="1">
      <c r="Q204">
        <v>0.41</v>
      </c>
      <c r="R204">
        <v>0.41</v>
      </c>
      <c r="S204">
        <v>1.31</v>
      </c>
      <c r="T204">
        <v>2.2690000000000001</v>
      </c>
      <c r="U204">
        <v>0.41</v>
      </c>
    </row>
    <row r="205" spans="17:21" ht="15" customHeight="1">
      <c r="Q205">
        <v>-0.54</v>
      </c>
      <c r="R205">
        <v>-0.22</v>
      </c>
      <c r="S205">
        <v>0.57999999999999996</v>
      </c>
      <c r="T205">
        <v>0.88500000000000001</v>
      </c>
      <c r="U205">
        <v>0.22</v>
      </c>
    </row>
    <row r="206" spans="17:21" ht="15" customHeight="1">
      <c r="Q206">
        <v>0.9</v>
      </c>
      <c r="R206">
        <v>0.9</v>
      </c>
      <c r="S206">
        <v>1.48</v>
      </c>
      <c r="T206">
        <v>12.836</v>
      </c>
      <c r="U206">
        <v>0.9</v>
      </c>
    </row>
    <row r="207" spans="17:21" ht="15" customHeight="1">
      <c r="Q207">
        <v>-0.28999999999999998</v>
      </c>
      <c r="R207">
        <v>-0.28999999999999998</v>
      </c>
      <c r="S207">
        <v>0.86</v>
      </c>
      <c r="T207">
        <v>2.3140000000000001</v>
      </c>
      <c r="U207">
        <v>0.28999999999999998</v>
      </c>
    </row>
    <row r="208" spans="17:21" ht="15" customHeight="1">
      <c r="Q208">
        <v>0</v>
      </c>
      <c r="R208">
        <v>-4.4000000000000003E-3</v>
      </c>
      <c r="S208">
        <v>0.42</v>
      </c>
      <c r="T208">
        <v>0.96199999999999997</v>
      </c>
      <c r="U208">
        <v>4.4000000000000003E-3</v>
      </c>
    </row>
    <row r="209" spans="17:21" ht="15" customHeight="1">
      <c r="Q209">
        <v>1.69</v>
      </c>
      <c r="R209">
        <v>1.69</v>
      </c>
      <c r="S209">
        <v>-2.93</v>
      </c>
      <c r="T209">
        <v>13.997999999999999</v>
      </c>
      <c r="U209">
        <v>1.69</v>
      </c>
    </row>
    <row r="210" spans="17:21" ht="15" customHeight="1">
      <c r="Q210">
        <v>2.2400000000000002</v>
      </c>
      <c r="R210">
        <v>0.42</v>
      </c>
      <c r="S210">
        <v>0.26</v>
      </c>
      <c r="T210">
        <v>2.4649999999999999</v>
      </c>
      <c r="U210">
        <v>0.42</v>
      </c>
    </row>
    <row r="211" spans="17:21" ht="15" customHeight="1">
      <c r="Q211">
        <v>0.56999999999999995</v>
      </c>
      <c r="R211">
        <v>-0.13</v>
      </c>
      <c r="S211">
        <v>4.2699999999999996</v>
      </c>
      <c r="T211">
        <v>1.016</v>
      </c>
      <c r="U211">
        <v>0.13</v>
      </c>
    </row>
    <row r="212" spans="17:21" ht="15" customHeight="1">
      <c r="Q212">
        <v>-0.67</v>
      </c>
      <c r="R212">
        <v>-0.67</v>
      </c>
      <c r="S212">
        <v>3.66</v>
      </c>
      <c r="T212">
        <v>14.286</v>
      </c>
      <c r="U212">
        <v>0.67</v>
      </c>
    </row>
    <row r="213" spans="17:21" ht="15" customHeight="1">
      <c r="Q213">
        <v>-0.52</v>
      </c>
      <c r="R213">
        <v>-0.52</v>
      </c>
      <c r="S213">
        <v>1.29</v>
      </c>
      <c r="T213">
        <v>2.4630000000000001</v>
      </c>
      <c r="U213">
        <v>0.52</v>
      </c>
    </row>
    <row r="214" spans="17:21" ht="15" customHeight="1">
      <c r="Q214">
        <v>-0.06</v>
      </c>
      <c r="R214">
        <v>-0.06</v>
      </c>
      <c r="S214">
        <v>0.31</v>
      </c>
      <c r="T214">
        <v>1.0049999999999999</v>
      </c>
      <c r="U214">
        <v>0.06</v>
      </c>
    </row>
    <row r="215" spans="17:21" ht="15" customHeight="1">
      <c r="Q215">
        <v>0</v>
      </c>
      <c r="R215">
        <v>0</v>
      </c>
      <c r="S215">
        <v>-3.75</v>
      </c>
      <c r="T215">
        <v>12.619</v>
      </c>
      <c r="U215">
        <v>0</v>
      </c>
    </row>
    <row r="216" spans="17:21" ht="15" customHeight="1">
      <c r="Q216">
        <v>-0.4</v>
      </c>
      <c r="R216">
        <v>-0.4</v>
      </c>
      <c r="S216">
        <v>-1.44</v>
      </c>
      <c r="T216">
        <v>2.2519999999999998</v>
      </c>
      <c r="U216">
        <v>0.4</v>
      </c>
    </row>
    <row r="217" spans="17:21" ht="15" customHeight="1">
      <c r="Q217">
        <v>0.65</v>
      </c>
      <c r="R217">
        <v>0.64690000000000003</v>
      </c>
      <c r="S217">
        <v>-0.22</v>
      </c>
      <c r="T217">
        <v>0.93600000000000005</v>
      </c>
      <c r="U217">
        <v>0.64690000000000003</v>
      </c>
    </row>
    <row r="218" spans="17:21" ht="15" customHeight="1">
      <c r="Q218">
        <v>-1.3</v>
      </c>
      <c r="R218">
        <v>-1.3</v>
      </c>
      <c r="S218">
        <v>-3.07</v>
      </c>
      <c r="T218">
        <v>12.638999999999999</v>
      </c>
      <c r="U218">
        <v>1.3</v>
      </c>
    </row>
    <row r="219" spans="17:21" ht="15" customHeight="1">
      <c r="Q219">
        <v>0.47</v>
      </c>
      <c r="R219">
        <v>0.47</v>
      </c>
      <c r="S219">
        <v>-0.69</v>
      </c>
      <c r="T219">
        <v>2.1970000000000001</v>
      </c>
      <c r="U219">
        <v>0.47</v>
      </c>
    </row>
    <row r="220" spans="17:21" ht="15" customHeight="1">
      <c r="Q220">
        <v>-0.04</v>
      </c>
      <c r="R220">
        <v>-0.04</v>
      </c>
      <c r="S220">
        <v>-0.47</v>
      </c>
      <c r="T220">
        <v>0.876</v>
      </c>
      <c r="U220">
        <v>0.04</v>
      </c>
    </row>
    <row r="221" spans="17:21" ht="15" customHeight="1">
      <c r="Q221">
        <v>0</v>
      </c>
      <c r="R221">
        <v>0</v>
      </c>
      <c r="S221">
        <v>2.75</v>
      </c>
      <c r="T221">
        <v>14.048</v>
      </c>
      <c r="U221">
        <v>0</v>
      </c>
    </row>
    <row r="222" spans="17:21" ht="15" customHeight="1">
      <c r="Q222">
        <v>-0.68</v>
      </c>
      <c r="R222">
        <v>-0.68</v>
      </c>
      <c r="S222">
        <v>3.07</v>
      </c>
      <c r="T222">
        <v>2.359</v>
      </c>
      <c r="U222">
        <v>0.68</v>
      </c>
    </row>
    <row r="223" spans="17:21" ht="15" customHeight="1">
      <c r="Q223">
        <v>-0.57999999999999996</v>
      </c>
      <c r="R223">
        <v>-0.57999999999999996</v>
      </c>
      <c r="S223">
        <v>3.36</v>
      </c>
      <c r="T223">
        <v>0.93400000000000005</v>
      </c>
      <c r="U223">
        <v>0.57999999999999996</v>
      </c>
    </row>
    <row r="224" spans="17:21" ht="15" customHeight="1">
      <c r="Q224">
        <v>-0.28999999999999998</v>
      </c>
      <c r="R224">
        <v>-0.28999999999999998</v>
      </c>
      <c r="S224">
        <v>-1.67</v>
      </c>
      <c r="T224">
        <v>12.56</v>
      </c>
      <c r="U224">
        <v>0.28999999999999998</v>
      </c>
    </row>
    <row r="225" spans="17:21" ht="15" customHeight="1">
      <c r="Q225">
        <v>-0.56999999999999995</v>
      </c>
      <c r="R225">
        <v>-0.56999999999999995</v>
      </c>
      <c r="S225">
        <v>-0.6</v>
      </c>
      <c r="T225">
        <v>2.1909999999999998</v>
      </c>
      <c r="U225">
        <v>0.56999999999999995</v>
      </c>
    </row>
    <row r="226" spans="17:21" ht="15" customHeight="1">
      <c r="Q226">
        <v>-0.5</v>
      </c>
      <c r="R226">
        <v>-0.5</v>
      </c>
      <c r="S226">
        <v>-0.1</v>
      </c>
      <c r="T226">
        <v>0.86899999999999999</v>
      </c>
      <c r="U226">
        <v>0.5</v>
      </c>
    </row>
    <row r="227" spans="17:21" ht="15" customHeight="1">
      <c r="Q227">
        <v>-0.48</v>
      </c>
      <c r="R227">
        <v>-0.48</v>
      </c>
      <c r="S227">
        <v>-1.92</v>
      </c>
      <c r="T227">
        <v>12.823</v>
      </c>
      <c r="U227">
        <v>0.48</v>
      </c>
    </row>
    <row r="228" spans="17:21" ht="15" customHeight="1">
      <c r="Q228">
        <v>-0.26</v>
      </c>
      <c r="R228">
        <v>-0.26</v>
      </c>
      <c r="S228">
        <v>-1.1299999999999999</v>
      </c>
      <c r="T228">
        <v>2.1840000000000002</v>
      </c>
      <c r="U228">
        <v>0.26</v>
      </c>
    </row>
    <row r="229" spans="17:21" ht="15" customHeight="1">
      <c r="Q229">
        <v>-0.12</v>
      </c>
      <c r="R229">
        <v>-0.12</v>
      </c>
      <c r="S229">
        <v>-0.24</v>
      </c>
      <c r="T229">
        <v>0.89900000000000002</v>
      </c>
      <c r="U229">
        <v>0.12</v>
      </c>
    </row>
    <row r="230" spans="17:21" ht="15" customHeight="1">
      <c r="Q230">
        <v>-0.24</v>
      </c>
      <c r="R230">
        <v>-0.24</v>
      </c>
      <c r="S230">
        <v>-0.89</v>
      </c>
      <c r="T230">
        <v>14.129</v>
      </c>
      <c r="U230">
        <v>0.24</v>
      </c>
    </row>
    <row r="231" spans="17:21" ht="15" customHeight="1">
      <c r="Q231">
        <v>-0.16</v>
      </c>
      <c r="R231">
        <v>-0.16</v>
      </c>
      <c r="S231">
        <v>-0.28999999999999998</v>
      </c>
      <c r="T231">
        <v>2.2890000000000001</v>
      </c>
      <c r="U231">
        <v>0.16</v>
      </c>
    </row>
    <row r="232" spans="17:21" ht="15" customHeight="1">
      <c r="Q232">
        <v>-0.32</v>
      </c>
      <c r="R232">
        <v>-0.32</v>
      </c>
      <c r="S232">
        <v>-0.06</v>
      </c>
      <c r="T232">
        <v>0.85199999999999998</v>
      </c>
      <c r="U232">
        <v>0.32</v>
      </c>
    </row>
    <row r="233" spans="17:21" ht="15" customHeight="1">
      <c r="Q233">
        <v>-0.33</v>
      </c>
      <c r="R233">
        <v>-0.33</v>
      </c>
      <c r="S233">
        <v>-4.22</v>
      </c>
      <c r="T233">
        <v>12.422000000000001</v>
      </c>
      <c r="U233">
        <v>0.33</v>
      </c>
    </row>
    <row r="234" spans="17:21" ht="15" customHeight="1">
      <c r="Q234">
        <v>-0.32</v>
      </c>
      <c r="R234">
        <v>-0.32</v>
      </c>
      <c r="S234">
        <v>-2.02</v>
      </c>
      <c r="T234">
        <v>2.214</v>
      </c>
      <c r="U234">
        <v>0.32</v>
      </c>
    </row>
    <row r="235" spans="17:21" ht="15" customHeight="1">
      <c r="Q235">
        <v>-0.8</v>
      </c>
      <c r="R235">
        <v>-0.8</v>
      </c>
      <c r="S235">
        <v>-1.1299999999999999</v>
      </c>
      <c r="T235">
        <v>0.93</v>
      </c>
      <c r="U235">
        <v>0.8</v>
      </c>
    </row>
    <row r="236" spans="17:21" ht="15" customHeight="1">
      <c r="Q236">
        <v>0</v>
      </c>
      <c r="R236">
        <v>0</v>
      </c>
      <c r="S236">
        <v>0.39</v>
      </c>
      <c r="T236">
        <v>12.856999999999999</v>
      </c>
      <c r="U236">
        <v>0</v>
      </c>
    </row>
    <row r="237" spans="17:21" ht="15" customHeight="1">
      <c r="Q237">
        <v>3.49</v>
      </c>
      <c r="R237">
        <v>1.26</v>
      </c>
      <c r="S237">
        <v>0.25</v>
      </c>
      <c r="T237">
        <v>2.165</v>
      </c>
      <c r="U237">
        <v>1.26</v>
      </c>
    </row>
    <row r="238" spans="17:21" ht="15" customHeight="1">
      <c r="Q238">
        <v>0.32</v>
      </c>
      <c r="R238">
        <v>0.32</v>
      </c>
      <c r="S238">
        <v>0.4</v>
      </c>
      <c r="T238">
        <v>0.86199999999999999</v>
      </c>
      <c r="U238">
        <v>0.32</v>
      </c>
    </row>
    <row r="239" spans="17:21" ht="15" customHeight="1">
      <c r="Q239">
        <v>-0.28999999999999998</v>
      </c>
      <c r="R239">
        <v>-0.28999999999999998</v>
      </c>
      <c r="S239">
        <v>0.2</v>
      </c>
      <c r="T239">
        <v>14.327</v>
      </c>
      <c r="U239">
        <v>0.28999999999999998</v>
      </c>
    </row>
    <row r="240" spans="17:21" ht="15" customHeight="1">
      <c r="Q240">
        <v>-3.83</v>
      </c>
      <c r="R240">
        <v>-1.38</v>
      </c>
      <c r="S240">
        <v>-0.23</v>
      </c>
      <c r="T240">
        <v>3.73</v>
      </c>
      <c r="U240">
        <v>1.38</v>
      </c>
    </row>
    <row r="241" spans="17:21" ht="15" customHeight="1">
      <c r="Q241">
        <v>1.27</v>
      </c>
      <c r="R241">
        <v>0.03</v>
      </c>
      <c r="S241">
        <v>0.05</v>
      </c>
      <c r="T241">
        <v>0.91100000000000003</v>
      </c>
      <c r="U241">
        <v>0.03</v>
      </c>
    </row>
    <row r="242" spans="17:21" ht="15" customHeight="1">
      <c r="Q242">
        <v>-1.2</v>
      </c>
      <c r="R242">
        <v>-1.2</v>
      </c>
      <c r="S242">
        <v>0.09</v>
      </c>
      <c r="T242">
        <v>14.602</v>
      </c>
      <c r="U242">
        <v>1.2</v>
      </c>
    </row>
    <row r="243" spans="17:21" ht="15" customHeight="1">
      <c r="Q243">
        <v>-0.87</v>
      </c>
      <c r="R243">
        <v>-0.87</v>
      </c>
      <c r="S243">
        <v>-0.31</v>
      </c>
      <c r="T243">
        <v>2.4790000000000001</v>
      </c>
      <c r="U243">
        <v>0.87</v>
      </c>
    </row>
    <row r="244" spans="17:21" ht="15" customHeight="1">
      <c r="Q244">
        <v>-0.3</v>
      </c>
      <c r="R244">
        <v>-0.3</v>
      </c>
      <c r="S244">
        <v>-0.43</v>
      </c>
      <c r="T244">
        <v>0.94899999999999995</v>
      </c>
      <c r="U244">
        <v>0.3</v>
      </c>
    </row>
    <row r="245" spans="17:21" ht="15" customHeight="1">
      <c r="Q245">
        <v>-0.72</v>
      </c>
      <c r="R245">
        <v>-0.72</v>
      </c>
      <c r="S245">
        <v>0.75</v>
      </c>
      <c r="T245">
        <v>12.997999999999999</v>
      </c>
      <c r="U245">
        <v>0.72</v>
      </c>
    </row>
    <row r="246" spans="17:21" ht="15" customHeight="1">
      <c r="Q246">
        <v>-0.32</v>
      </c>
      <c r="R246">
        <v>-0.32</v>
      </c>
      <c r="S246">
        <v>0.23</v>
      </c>
      <c r="T246">
        <v>2.2290000000000001</v>
      </c>
      <c r="U246">
        <v>0.32</v>
      </c>
    </row>
    <row r="247" spans="17:21" ht="15" customHeight="1">
      <c r="Q247">
        <v>-0.31</v>
      </c>
      <c r="R247">
        <v>-0.31</v>
      </c>
      <c r="S247">
        <v>0.31</v>
      </c>
      <c r="T247">
        <v>0.878</v>
      </c>
      <c r="U247">
        <v>0.31</v>
      </c>
    </row>
    <row r="248" spans="17:21" ht="15" customHeight="1">
      <c r="Q248">
        <v>-0.77</v>
      </c>
      <c r="R248">
        <v>-0.77</v>
      </c>
      <c r="S248">
        <v>-7.0000000000000007E-2</v>
      </c>
      <c r="T248">
        <v>12.62</v>
      </c>
      <c r="U248">
        <v>0.77</v>
      </c>
    </row>
    <row r="249" spans="17:21" ht="15" customHeight="1">
      <c r="Q249">
        <v>-1.8</v>
      </c>
      <c r="R249">
        <v>-1.8</v>
      </c>
      <c r="S249">
        <v>0.05</v>
      </c>
      <c r="T249">
        <v>2.2109999999999999</v>
      </c>
      <c r="U249">
        <v>1.8</v>
      </c>
    </row>
    <row r="250" spans="17:21" ht="15" customHeight="1">
      <c r="Q250">
        <v>-1.1299999999999999</v>
      </c>
      <c r="R250">
        <v>0.06</v>
      </c>
      <c r="S250">
        <v>0.08</v>
      </c>
      <c r="T250">
        <v>0.85799999999999998</v>
      </c>
      <c r="U250">
        <v>0.06</v>
      </c>
    </row>
    <row r="251" spans="17:21" ht="15" customHeight="1">
      <c r="Q251">
        <v>-0.67</v>
      </c>
      <c r="R251">
        <v>-0.67</v>
      </c>
      <c r="S251">
        <v>0.28999999999999998</v>
      </c>
      <c r="T251">
        <v>13.95</v>
      </c>
      <c r="U251">
        <v>0.67</v>
      </c>
    </row>
    <row r="252" spans="17:21" ht="15" customHeight="1">
      <c r="Q252">
        <v>-1.27</v>
      </c>
      <c r="R252">
        <v>-1.27</v>
      </c>
      <c r="S252">
        <v>0.08</v>
      </c>
      <c r="T252">
        <v>2.3439999999999999</v>
      </c>
      <c r="U252">
        <v>1.27</v>
      </c>
    </row>
    <row r="253" spans="17:21" ht="15" customHeight="1">
      <c r="Q253">
        <v>-0.65</v>
      </c>
      <c r="R253">
        <v>-0.65</v>
      </c>
      <c r="S253">
        <v>0.18</v>
      </c>
      <c r="T253">
        <v>0.86799999999999999</v>
      </c>
      <c r="U253">
        <v>0.65</v>
      </c>
    </row>
    <row r="254" spans="17:21" ht="15" customHeight="1">
      <c r="Q254">
        <v>-0.48</v>
      </c>
      <c r="R254">
        <v>-0.48</v>
      </c>
      <c r="S254">
        <v>2.08</v>
      </c>
      <c r="T254">
        <v>12.632</v>
      </c>
      <c r="U254">
        <v>0.48</v>
      </c>
    </row>
    <row r="255" spans="17:21" ht="15" customHeight="1">
      <c r="Q255">
        <v>-0.91</v>
      </c>
      <c r="R255">
        <v>-0.91</v>
      </c>
      <c r="S255">
        <v>1.06</v>
      </c>
      <c r="T255">
        <v>2.1840000000000002</v>
      </c>
      <c r="U255">
        <v>0.91</v>
      </c>
    </row>
    <row r="256" spans="17:21" ht="15" customHeight="1">
      <c r="Q256">
        <v>-0.57999999999999996</v>
      </c>
      <c r="R256">
        <v>-0.57999999999999996</v>
      </c>
      <c r="S256">
        <v>0.44</v>
      </c>
      <c r="T256">
        <v>0.84699999999999998</v>
      </c>
      <c r="U256">
        <v>0.57999999999999996</v>
      </c>
    </row>
    <row r="257" spans="17:21" ht="15" customHeight="1">
      <c r="Q257">
        <v>-0.91</v>
      </c>
      <c r="R257">
        <v>-0.91</v>
      </c>
      <c r="S257">
        <v>-4.97</v>
      </c>
      <c r="T257">
        <v>12.926</v>
      </c>
      <c r="U257">
        <v>0.91</v>
      </c>
    </row>
    <row r="258" spans="17:21" ht="15" customHeight="1">
      <c r="Q258">
        <v>-0.26</v>
      </c>
      <c r="R258">
        <v>-0.26</v>
      </c>
      <c r="S258">
        <v>-1.64</v>
      </c>
      <c r="T258">
        <v>2.1560000000000001</v>
      </c>
      <c r="U258">
        <v>0.26</v>
      </c>
    </row>
    <row r="259" spans="17:21" ht="15" customHeight="1">
      <c r="Q259" t="e">
        <v>#DIV/0!</v>
      </c>
      <c r="S259">
        <v>-0.73</v>
      </c>
      <c r="T259" t="e">
        <v>#DIV/0!</v>
      </c>
      <c r="U259" t="s">
        <v>586</v>
      </c>
    </row>
    <row r="260" spans="17:21" ht="15" customHeight="1">
      <c r="Q260">
        <v>2.87</v>
      </c>
      <c r="R260">
        <v>2.87</v>
      </c>
      <c r="S260">
        <v>-4.09</v>
      </c>
      <c r="T260">
        <v>13.599</v>
      </c>
      <c r="U260">
        <v>2.87</v>
      </c>
    </row>
    <row r="261" spans="17:21" ht="15" customHeight="1">
      <c r="Q261">
        <v>-0.5</v>
      </c>
      <c r="R261">
        <v>-0.5</v>
      </c>
      <c r="S261">
        <v>0.04</v>
      </c>
      <c r="T261">
        <v>2.2970000000000002</v>
      </c>
      <c r="U261">
        <v>0.5</v>
      </c>
    </row>
    <row r="262" spans="17:21" ht="15" customHeight="1">
      <c r="Q262">
        <v>-0.66</v>
      </c>
      <c r="R262">
        <v>-0.66</v>
      </c>
      <c r="S262">
        <v>0.15</v>
      </c>
      <c r="T262">
        <v>0.83899999999999997</v>
      </c>
      <c r="U262">
        <v>0.66</v>
      </c>
    </row>
    <row r="263" spans="17:21" ht="15" customHeight="1">
      <c r="Q263">
        <v>-0.19</v>
      </c>
      <c r="R263">
        <v>-0.19</v>
      </c>
      <c r="S263">
        <v>-0.82</v>
      </c>
      <c r="T263">
        <v>12.452</v>
      </c>
      <c r="U263">
        <v>0.19</v>
      </c>
    </row>
    <row r="264" spans="17:21" ht="15" customHeight="1">
      <c r="Q264">
        <v>-0.24</v>
      </c>
      <c r="R264">
        <v>-0.24</v>
      </c>
      <c r="S264">
        <v>-0.36</v>
      </c>
      <c r="T264">
        <v>2.2269999999999999</v>
      </c>
      <c r="U264">
        <v>0.24</v>
      </c>
    </row>
    <row r="265" spans="17:21" ht="15" customHeight="1">
      <c r="Q265">
        <v>-0.24</v>
      </c>
      <c r="R265">
        <v>-0.24</v>
      </c>
      <c r="S265">
        <v>-0.32</v>
      </c>
      <c r="T265">
        <v>0.875</v>
      </c>
      <c r="U265">
        <v>0.24</v>
      </c>
    </row>
    <row r="266" spans="17:21" ht="15" customHeight="1">
      <c r="Q266">
        <v>-0.53</v>
      </c>
      <c r="R266">
        <v>-0.53</v>
      </c>
      <c r="S266">
        <v>-3.44</v>
      </c>
      <c r="T266">
        <v>13.021000000000001</v>
      </c>
      <c r="U266">
        <v>0.53</v>
      </c>
    </row>
    <row r="267" spans="17:21" ht="15" customHeight="1">
      <c r="Q267">
        <v>-0.06</v>
      </c>
      <c r="R267">
        <v>-0.06</v>
      </c>
      <c r="S267">
        <v>-1.41</v>
      </c>
      <c r="T267">
        <v>2.2730000000000001</v>
      </c>
      <c r="U267">
        <v>0.06</v>
      </c>
    </row>
    <row r="268" spans="17:21" ht="15" customHeight="1">
      <c r="Q268">
        <v>1.34</v>
      </c>
      <c r="R268">
        <v>0.02</v>
      </c>
      <c r="S268">
        <v>-0.24</v>
      </c>
      <c r="T268">
        <v>0.93400000000000005</v>
      </c>
      <c r="U268">
        <v>0.02</v>
      </c>
    </row>
    <row r="269" spans="17:21" ht="15" customHeight="1">
      <c r="Q269">
        <v>-1.2</v>
      </c>
      <c r="R269">
        <v>-1.2</v>
      </c>
      <c r="S269">
        <v>6.97</v>
      </c>
      <c r="T269">
        <v>14.217000000000001</v>
      </c>
      <c r="U269">
        <v>1.2</v>
      </c>
    </row>
    <row r="270" spans="17:21" ht="15" customHeight="1">
      <c r="Q270">
        <v>-0.86</v>
      </c>
      <c r="R270">
        <v>-0.86</v>
      </c>
      <c r="S270">
        <v>3.14</v>
      </c>
      <c r="T270">
        <v>2.7229999999999999</v>
      </c>
      <c r="U270">
        <v>0.86</v>
      </c>
    </row>
    <row r="271" spans="17:21" ht="15" customHeight="1">
      <c r="Q271">
        <v>-0.48</v>
      </c>
      <c r="R271">
        <v>-0.48</v>
      </c>
      <c r="S271">
        <v>0.59</v>
      </c>
      <c r="T271">
        <v>0.93600000000000005</v>
      </c>
      <c r="U271">
        <v>0.48</v>
      </c>
    </row>
    <row r="272" spans="17:21" ht="15" customHeight="1">
      <c r="Q272">
        <v>-0.24</v>
      </c>
      <c r="R272">
        <v>-0.24</v>
      </c>
      <c r="S272">
        <v>-2.8</v>
      </c>
      <c r="T272">
        <v>15.465</v>
      </c>
      <c r="U272">
        <v>0.24</v>
      </c>
    </row>
    <row r="273" spans="17:21" ht="15" customHeight="1">
      <c r="Q273">
        <v>-0.25</v>
      </c>
      <c r="R273">
        <v>-0.25</v>
      </c>
      <c r="S273">
        <v>-1.03</v>
      </c>
      <c r="T273">
        <v>2.6640000000000001</v>
      </c>
      <c r="U273">
        <v>0.25</v>
      </c>
    </row>
    <row r="274" spans="17:21" ht="15" customHeight="1">
      <c r="Q274">
        <v>0.5</v>
      </c>
      <c r="R274">
        <v>0.5</v>
      </c>
      <c r="S274">
        <v>-0.01</v>
      </c>
      <c r="T274">
        <v>1.048</v>
      </c>
      <c r="U274">
        <v>0.5</v>
      </c>
    </row>
    <row r="275" spans="17:21" ht="15" customHeight="1">
      <c r="Q275">
        <v>0.47</v>
      </c>
      <c r="R275">
        <v>0.47</v>
      </c>
      <c r="S275">
        <v>-1.42</v>
      </c>
      <c r="T275">
        <v>12.37</v>
      </c>
      <c r="U275">
        <v>0.47</v>
      </c>
    </row>
    <row r="276" spans="17:21" ht="15" customHeight="1">
      <c r="Q276">
        <v>0.53</v>
      </c>
      <c r="R276">
        <v>0.53</v>
      </c>
      <c r="S276">
        <v>-0.87</v>
      </c>
      <c r="T276">
        <v>2.2450000000000001</v>
      </c>
      <c r="U276">
        <v>0.53</v>
      </c>
    </row>
    <row r="277" spans="17:21" ht="15" customHeight="1">
      <c r="Q277" t="e">
        <v>#DIV/0!</v>
      </c>
      <c r="R277">
        <v>-4.78</v>
      </c>
      <c r="S277">
        <v>-0.3</v>
      </c>
      <c r="T277" t="e">
        <v>#DIV/0!</v>
      </c>
      <c r="U277">
        <v>4.78</v>
      </c>
    </row>
    <row r="278" spans="17:21" ht="15" customHeight="1">
      <c r="Q278">
        <v>-0.19</v>
      </c>
      <c r="R278">
        <v>-0.19</v>
      </c>
      <c r="S278">
        <v>-2.0099999999999998</v>
      </c>
      <c r="T278">
        <v>12.260999999999999</v>
      </c>
      <c r="U278">
        <v>0.19</v>
      </c>
    </row>
    <row r="279" spans="17:21" ht="15" customHeight="1">
      <c r="Q279">
        <v>0.27</v>
      </c>
      <c r="R279">
        <v>0.27</v>
      </c>
      <c r="S279">
        <v>-0.13</v>
      </c>
      <c r="T279">
        <v>2.2010000000000001</v>
      </c>
      <c r="U279">
        <v>0.27</v>
      </c>
    </row>
    <row r="280" spans="17:21" ht="15" customHeight="1">
      <c r="Q280">
        <v>-0.45</v>
      </c>
      <c r="R280">
        <v>-0.45</v>
      </c>
      <c r="S280">
        <v>0.01</v>
      </c>
      <c r="T280">
        <v>0.88600000000000001</v>
      </c>
      <c r="U280">
        <v>0.45</v>
      </c>
    </row>
    <row r="281" spans="17:21" ht="15" customHeight="1">
      <c r="Q281">
        <v>-0.14000000000000001</v>
      </c>
      <c r="R281">
        <v>-0.14000000000000001</v>
      </c>
      <c r="S281">
        <v>-3.11</v>
      </c>
      <c r="T281">
        <v>13.494999999999999</v>
      </c>
      <c r="U281">
        <v>0.14000000000000001</v>
      </c>
    </row>
    <row r="282" spans="17:21" ht="15" customHeight="1">
      <c r="Q282">
        <v>-0.21</v>
      </c>
      <c r="R282">
        <v>-0.21</v>
      </c>
      <c r="S282">
        <v>-1.1200000000000001</v>
      </c>
      <c r="T282">
        <v>2.3119999999999998</v>
      </c>
      <c r="U282">
        <v>0.21</v>
      </c>
    </row>
    <row r="283" spans="17:21" ht="15" customHeight="1">
      <c r="Q283">
        <v>-0.23</v>
      </c>
      <c r="R283">
        <v>-0.23</v>
      </c>
      <c r="S283">
        <v>-0.01</v>
      </c>
      <c r="T283">
        <v>0.93100000000000005</v>
      </c>
      <c r="U283">
        <v>0.23</v>
      </c>
    </row>
    <row r="284" spans="17:21" ht="15" customHeight="1">
      <c r="Q284">
        <v>-0.48</v>
      </c>
      <c r="R284">
        <v>-0.48</v>
      </c>
      <c r="S284">
        <v>-2.12</v>
      </c>
      <c r="T284">
        <v>12.343999999999999</v>
      </c>
      <c r="U284">
        <v>0.48</v>
      </c>
    </row>
    <row r="285" spans="17:21" ht="15" customHeight="1">
      <c r="Q285">
        <v>-0.8</v>
      </c>
      <c r="R285">
        <v>-0.8</v>
      </c>
      <c r="S285">
        <v>-1.1100000000000001</v>
      </c>
      <c r="T285">
        <v>2.1669999999999998</v>
      </c>
      <c r="U285">
        <v>0.8</v>
      </c>
    </row>
    <row r="286" spans="17:21" ht="15" customHeight="1">
      <c r="Q286">
        <v>-0.1</v>
      </c>
      <c r="R286">
        <v>-0.1</v>
      </c>
      <c r="S286">
        <v>-0.15</v>
      </c>
      <c r="T286">
        <v>0.91400000000000003</v>
      </c>
      <c r="U286">
        <v>0.1</v>
      </c>
    </row>
    <row r="287" spans="17:21" ht="15" customHeight="1">
      <c r="Q287">
        <v>-0.72</v>
      </c>
      <c r="R287">
        <v>-0.72</v>
      </c>
      <c r="S287">
        <v>-0.83</v>
      </c>
      <c r="T287">
        <v>13.189</v>
      </c>
      <c r="U287">
        <v>0.72</v>
      </c>
    </row>
    <row r="288" spans="17:21" ht="15" customHeight="1">
      <c r="Q288">
        <v>-1.59</v>
      </c>
      <c r="R288">
        <v>-1.59</v>
      </c>
      <c r="S288">
        <v>-1.21</v>
      </c>
      <c r="T288">
        <v>2.351</v>
      </c>
      <c r="U288">
        <v>1.59</v>
      </c>
    </row>
    <row r="289" spans="17:21" ht="15" customHeight="1">
      <c r="Q289">
        <v>-0.48</v>
      </c>
      <c r="R289">
        <v>-0.48</v>
      </c>
      <c r="S289">
        <v>-0.56000000000000005</v>
      </c>
      <c r="T289">
        <v>0.88200000000000001</v>
      </c>
      <c r="U289">
        <v>0.48</v>
      </c>
    </row>
    <row r="290" spans="17:21" ht="15" customHeight="1">
      <c r="Q290">
        <v>-0.86</v>
      </c>
      <c r="R290">
        <v>-0.86</v>
      </c>
      <c r="S290">
        <v>-3.74</v>
      </c>
      <c r="T290">
        <v>14.409000000000001</v>
      </c>
      <c r="U290">
        <v>0.86</v>
      </c>
    </row>
    <row r="291" spans="17:21" ht="15" customHeight="1">
      <c r="Q291">
        <v>-0.92</v>
      </c>
      <c r="R291">
        <v>-0.92</v>
      </c>
      <c r="S291">
        <v>-1.63</v>
      </c>
      <c r="T291">
        <v>2.4940000000000002</v>
      </c>
      <c r="U291">
        <v>0.92</v>
      </c>
    </row>
    <row r="292" spans="17:21" ht="15" customHeight="1">
      <c r="Q292">
        <v>-0.08</v>
      </c>
      <c r="R292">
        <v>-0.08</v>
      </c>
      <c r="S292">
        <v>-0.18</v>
      </c>
      <c r="T292">
        <v>0.94099999999999995</v>
      </c>
      <c r="U292">
        <v>0.08</v>
      </c>
    </row>
    <row r="293" spans="17:21" ht="15" customHeight="1">
      <c r="Q293">
        <v>0.14000000000000001</v>
      </c>
      <c r="R293">
        <v>0.14000000000000001</v>
      </c>
      <c r="S293">
        <v>-1.79</v>
      </c>
      <c r="T293">
        <v>13.029</v>
      </c>
      <c r="U293">
        <v>0.14000000000000001</v>
      </c>
    </row>
    <row r="294" spans="17:21" ht="15" customHeight="1">
      <c r="Q294">
        <v>-0.56000000000000005</v>
      </c>
      <c r="R294">
        <v>-0.56000000000000005</v>
      </c>
      <c r="S294">
        <v>-0.48</v>
      </c>
      <c r="T294">
        <v>2.3130000000000002</v>
      </c>
      <c r="U294">
        <v>0.56000000000000005</v>
      </c>
    </row>
    <row r="295" spans="17:21" ht="15" customHeight="1">
      <c r="Q295">
        <v>-0.81</v>
      </c>
      <c r="R295">
        <v>-0.1</v>
      </c>
      <c r="S295">
        <v>-7.0000000000000007E-2</v>
      </c>
      <c r="T295">
        <v>0.95</v>
      </c>
      <c r="U295">
        <v>0.1</v>
      </c>
    </row>
    <row r="296" spans="17:21" ht="15" customHeight="1">
      <c r="Q296">
        <v>0.05</v>
      </c>
      <c r="R296">
        <v>0.05</v>
      </c>
      <c r="S296">
        <v>1.47</v>
      </c>
      <c r="T296">
        <v>13.516999999999999</v>
      </c>
      <c r="U296">
        <v>0.05</v>
      </c>
    </row>
    <row r="297" spans="17:21" ht="15" customHeight="1">
      <c r="Q297">
        <v>-0.06</v>
      </c>
      <c r="R297">
        <v>-0.06</v>
      </c>
      <c r="S297">
        <v>0.48</v>
      </c>
      <c r="T297">
        <v>2.387</v>
      </c>
      <c r="U297">
        <v>0.06</v>
      </c>
    </row>
    <row r="298" spans="17:21" ht="15" customHeight="1">
      <c r="Q298">
        <v>-0.05</v>
      </c>
      <c r="R298">
        <v>-0.05</v>
      </c>
      <c r="S298">
        <v>-0.1</v>
      </c>
      <c r="T298">
        <v>0.9</v>
      </c>
      <c r="U298">
        <v>0.05</v>
      </c>
    </row>
    <row r="299" spans="17:21" ht="15" customHeight="1">
      <c r="Q299">
        <v>0.24</v>
      </c>
      <c r="R299">
        <v>0.24</v>
      </c>
      <c r="S299">
        <v>2</v>
      </c>
      <c r="T299">
        <v>15.012</v>
      </c>
      <c r="U299">
        <v>0.24</v>
      </c>
    </row>
    <row r="300" spans="17:21" ht="15" customHeight="1">
      <c r="Q300">
        <v>-0.24</v>
      </c>
      <c r="R300">
        <v>-0.24</v>
      </c>
      <c r="S300">
        <v>0.64</v>
      </c>
      <c r="T300">
        <v>2.5630000000000002</v>
      </c>
      <c r="U300">
        <v>0.24</v>
      </c>
    </row>
    <row r="301" spans="17:21" ht="15" customHeight="1">
      <c r="Q301">
        <v>-0.15</v>
      </c>
      <c r="R301">
        <v>-0.15</v>
      </c>
      <c r="S301">
        <v>0.21</v>
      </c>
      <c r="T301">
        <v>0.94599999999999995</v>
      </c>
      <c r="U301">
        <v>0.15</v>
      </c>
    </row>
    <row r="302" spans="17:21" ht="15" customHeight="1">
      <c r="Q302">
        <v>-0.33</v>
      </c>
      <c r="R302">
        <v>-0.33</v>
      </c>
      <c r="S302">
        <v>1.06</v>
      </c>
      <c r="T302">
        <v>13.712</v>
      </c>
      <c r="U302">
        <v>0.33</v>
      </c>
    </row>
    <row r="303" spans="17:21" ht="15" customHeight="1">
      <c r="Q303">
        <v>-0.5</v>
      </c>
      <c r="R303">
        <v>-0.5</v>
      </c>
      <c r="S303">
        <v>-0.9</v>
      </c>
      <c r="T303">
        <v>2.4409999999999998</v>
      </c>
      <c r="U303">
        <v>0.5</v>
      </c>
    </row>
    <row r="304" spans="17:21" ht="15" customHeight="1">
      <c r="Q304">
        <v>-0.18</v>
      </c>
      <c r="R304">
        <v>-0.18</v>
      </c>
      <c r="S304">
        <v>-1.29</v>
      </c>
      <c r="T304">
        <v>0.96399999999999997</v>
      </c>
      <c r="U304">
        <v>0.18</v>
      </c>
    </row>
    <row r="305" spans="17:21" ht="15" customHeight="1">
      <c r="Q305">
        <v>-1.65</v>
      </c>
      <c r="R305">
        <v>0.76</v>
      </c>
      <c r="S305">
        <v>1.04</v>
      </c>
      <c r="T305">
        <v>0</v>
      </c>
      <c r="U305">
        <v>0.76</v>
      </c>
    </row>
    <row r="306" spans="17:21" ht="15" customHeight="1">
      <c r="Q306">
        <v>-0.28999999999999998</v>
      </c>
      <c r="R306">
        <v>-0.28999999999999998</v>
      </c>
      <c r="S306">
        <v>-0.89</v>
      </c>
      <c r="T306">
        <v>2.2210000000000001</v>
      </c>
      <c r="U306">
        <v>0.28999999999999998</v>
      </c>
    </row>
    <row r="307" spans="17:21" ht="15" customHeight="1">
      <c r="Q307">
        <v>-0.16</v>
      </c>
      <c r="R307">
        <v>-0.16</v>
      </c>
      <c r="S307">
        <v>-0.56000000000000005</v>
      </c>
      <c r="T307">
        <v>0.82399999999999995</v>
      </c>
      <c r="U307">
        <v>0.16</v>
      </c>
    </row>
    <row r="308" spans="17:21" ht="15" customHeight="1">
      <c r="Q308">
        <v>0.9</v>
      </c>
      <c r="R308">
        <v>-0.56999999999999995</v>
      </c>
      <c r="S308">
        <v>2.6</v>
      </c>
      <c r="T308">
        <v>10.618</v>
      </c>
      <c r="U308">
        <v>0.56999999999999995</v>
      </c>
    </row>
    <row r="309" spans="17:21" ht="15" customHeight="1">
      <c r="Q309">
        <v>-0.25</v>
      </c>
      <c r="R309">
        <v>-0.25</v>
      </c>
      <c r="S309">
        <v>-0.28999999999999998</v>
      </c>
      <c r="T309">
        <v>2.1480000000000001</v>
      </c>
      <c r="U309">
        <v>0.25</v>
      </c>
    </row>
    <row r="310" spans="17:21" ht="15" customHeight="1">
      <c r="Q310">
        <v>-0.6</v>
      </c>
      <c r="R310">
        <v>-0.6</v>
      </c>
      <c r="S310">
        <v>-0.48</v>
      </c>
      <c r="T310">
        <v>0.90800000000000003</v>
      </c>
      <c r="U310">
        <v>0.6</v>
      </c>
    </row>
    <row r="311" spans="17:21" ht="15" customHeight="1">
      <c r="Q311">
        <v>-0.43</v>
      </c>
      <c r="R311">
        <v>-0.43</v>
      </c>
      <c r="S311">
        <v>0.81</v>
      </c>
      <c r="T311">
        <v>15.686</v>
      </c>
      <c r="U311">
        <v>0.43</v>
      </c>
    </row>
    <row r="312" spans="17:21" ht="15" customHeight="1">
      <c r="Q312">
        <v>-0.78</v>
      </c>
      <c r="R312">
        <v>-0.78</v>
      </c>
      <c r="S312">
        <v>-1.1200000000000001</v>
      </c>
      <c r="T312">
        <v>2.3679999999999999</v>
      </c>
      <c r="U312">
        <v>0.78</v>
      </c>
    </row>
    <row r="313" spans="17:21" ht="15" customHeight="1">
      <c r="Q313">
        <v>-0.27</v>
      </c>
      <c r="R313">
        <v>-0.27</v>
      </c>
      <c r="S313">
        <v>-0.52</v>
      </c>
      <c r="T313">
        <v>0.95799999999999996</v>
      </c>
      <c r="U313">
        <v>0.27</v>
      </c>
    </row>
    <row r="314" spans="17:21" ht="15" customHeight="1">
      <c r="Q314">
        <v>-0.77</v>
      </c>
      <c r="R314">
        <v>-0.77</v>
      </c>
      <c r="S314">
        <v>-12.59</v>
      </c>
      <c r="T314">
        <v>11.996</v>
      </c>
      <c r="U314">
        <v>0.77</v>
      </c>
    </row>
    <row r="315" spans="17:21" ht="15" customHeight="1">
      <c r="Q315">
        <v>0.2</v>
      </c>
      <c r="R315">
        <v>0.2</v>
      </c>
      <c r="S315">
        <v>-13.42</v>
      </c>
      <c r="T315">
        <v>2.153</v>
      </c>
      <c r="U315">
        <v>0.2</v>
      </c>
    </row>
    <row r="316" spans="17:21" ht="15" customHeight="1">
      <c r="Q316">
        <v>-0.01</v>
      </c>
      <c r="R316">
        <v>-0.01</v>
      </c>
      <c r="S316">
        <v>-12</v>
      </c>
      <c r="T316">
        <v>0.96199999999999997</v>
      </c>
      <c r="U316">
        <v>0.01</v>
      </c>
    </row>
    <row r="317" spans="17:21" ht="15" customHeight="1">
      <c r="Q317">
        <v>0.05</v>
      </c>
      <c r="R317">
        <v>0.05</v>
      </c>
      <c r="S317">
        <v>-0.62</v>
      </c>
      <c r="T317">
        <v>14.231</v>
      </c>
      <c r="U317">
        <v>0.05</v>
      </c>
    </row>
    <row r="318" spans="17:21" ht="15" customHeight="1">
      <c r="Q318">
        <v>0</v>
      </c>
      <c r="R318">
        <v>0</v>
      </c>
      <c r="S318">
        <v>0.09</v>
      </c>
      <c r="T318">
        <v>2.15</v>
      </c>
      <c r="U318">
        <v>0</v>
      </c>
    </row>
    <row r="319" spans="17:21" ht="15" customHeight="1">
      <c r="Q319">
        <v>-0.24</v>
      </c>
      <c r="R319">
        <v>-0.24</v>
      </c>
      <c r="S319">
        <v>0.06</v>
      </c>
      <c r="T319">
        <v>0.85299999999999998</v>
      </c>
      <c r="U319">
        <v>0.24</v>
      </c>
    </row>
    <row r="320" spans="17:21" ht="15" customHeight="1">
      <c r="Q320">
        <v>-4.32</v>
      </c>
      <c r="R320">
        <v>-4.32</v>
      </c>
      <c r="S320">
        <v>2.27</v>
      </c>
      <c r="T320">
        <v>15.077</v>
      </c>
      <c r="U320">
        <v>4.32</v>
      </c>
    </row>
    <row r="321" spans="17:21" ht="15" customHeight="1">
      <c r="Q321">
        <v>-0.6</v>
      </c>
      <c r="R321">
        <v>-0.6</v>
      </c>
      <c r="S321">
        <v>-0.14000000000000001</v>
      </c>
      <c r="T321">
        <v>2.4359999999999999</v>
      </c>
      <c r="U321">
        <v>0.6</v>
      </c>
    </row>
    <row r="322" spans="17:21" ht="15" customHeight="1">
      <c r="Q322">
        <v>-0.27</v>
      </c>
      <c r="R322">
        <v>-0.27</v>
      </c>
      <c r="S322">
        <v>0.09</v>
      </c>
      <c r="T322">
        <v>0.9</v>
      </c>
      <c r="U322">
        <v>0.27</v>
      </c>
    </row>
    <row r="323" spans="17:21" ht="15" customHeight="1">
      <c r="Q323">
        <v>-1.6</v>
      </c>
      <c r="R323">
        <v>0.56999999999999995</v>
      </c>
      <c r="S323">
        <v>1.33</v>
      </c>
      <c r="T323">
        <v>13.256</v>
      </c>
      <c r="U323">
        <v>0.56999999999999995</v>
      </c>
    </row>
    <row r="324" spans="17:21" ht="15" customHeight="1">
      <c r="Q324">
        <v>-0.24</v>
      </c>
      <c r="R324">
        <v>-0.24</v>
      </c>
      <c r="S324">
        <v>0.36</v>
      </c>
      <c r="T324">
        <v>2.3050000000000002</v>
      </c>
      <c r="U324">
        <v>0.24</v>
      </c>
    </row>
    <row r="325" spans="17:21" ht="15" customHeight="1">
      <c r="Q325">
        <v>0.03</v>
      </c>
      <c r="R325">
        <v>0.03</v>
      </c>
      <c r="S325">
        <v>-0.09</v>
      </c>
      <c r="T325">
        <v>0.82</v>
      </c>
      <c r="U325">
        <v>0.03</v>
      </c>
    </row>
    <row r="326" spans="17:21" ht="15" customHeight="1">
      <c r="Q326">
        <v>-0.82</v>
      </c>
      <c r="R326">
        <v>-0.82</v>
      </c>
      <c r="S326">
        <v>0.92</v>
      </c>
      <c r="T326">
        <v>14.641999999999999</v>
      </c>
      <c r="U326">
        <v>0.82</v>
      </c>
    </row>
    <row r="327" spans="17:21" ht="15" customHeight="1">
      <c r="Q327">
        <v>-0.04</v>
      </c>
      <c r="R327">
        <v>-0.04</v>
      </c>
      <c r="S327">
        <v>0.15</v>
      </c>
      <c r="T327">
        <v>2.0510000000000002</v>
      </c>
      <c r="U327">
        <v>0.04</v>
      </c>
    </row>
    <row r="328" spans="17:21" ht="15" customHeight="1">
      <c r="Q328">
        <v>-0.36</v>
      </c>
      <c r="R328">
        <v>-0.36</v>
      </c>
      <c r="S328">
        <v>0.16</v>
      </c>
      <c r="T328">
        <v>0.879</v>
      </c>
      <c r="U328">
        <v>0.36</v>
      </c>
    </row>
    <row r="329" spans="17:21" ht="15" customHeight="1">
      <c r="Q329">
        <v>-1.35</v>
      </c>
      <c r="R329">
        <v>-1.35</v>
      </c>
      <c r="S329">
        <v>0.8</v>
      </c>
      <c r="T329">
        <v>15.106</v>
      </c>
      <c r="U329">
        <v>1.35</v>
      </c>
    </row>
    <row r="330" spans="17:21" ht="15" customHeight="1">
      <c r="Q330">
        <v>-0.44</v>
      </c>
      <c r="R330">
        <v>-0.44</v>
      </c>
      <c r="S330">
        <v>0.39</v>
      </c>
      <c r="T330">
        <v>2.4470000000000001</v>
      </c>
      <c r="U330">
        <v>0.44</v>
      </c>
    </row>
    <row r="331" spans="17:21" ht="15" customHeight="1">
      <c r="Q331">
        <v>-1.1599999999999999</v>
      </c>
      <c r="R331">
        <v>0.33</v>
      </c>
      <c r="S331">
        <v>-0.12</v>
      </c>
      <c r="T331">
        <v>0.89200000000000002</v>
      </c>
      <c r="U331">
        <v>0.33</v>
      </c>
    </row>
    <row r="332" spans="17:21" ht="15" customHeight="1">
      <c r="Q332">
        <v>-0.77</v>
      </c>
      <c r="R332">
        <v>-0.77</v>
      </c>
      <c r="S332">
        <v>-0.55000000000000004</v>
      </c>
      <c r="T332">
        <v>14.443</v>
      </c>
      <c r="U332">
        <v>0.77</v>
      </c>
    </row>
    <row r="333" spans="17:21" ht="15" customHeight="1">
      <c r="Q333">
        <v>-0.51</v>
      </c>
      <c r="R333">
        <v>-0.51</v>
      </c>
      <c r="S333">
        <v>-0.81</v>
      </c>
      <c r="T333">
        <v>2.4620000000000002</v>
      </c>
      <c r="U333">
        <v>0.51</v>
      </c>
    </row>
    <row r="334" spans="17:21" ht="15" customHeight="1">
      <c r="Q334">
        <v>-0.2</v>
      </c>
      <c r="R334">
        <v>-0.2</v>
      </c>
      <c r="S334">
        <v>-0.18</v>
      </c>
      <c r="T334">
        <v>0.93700000000000006</v>
      </c>
      <c r="U334">
        <v>0.2</v>
      </c>
    </row>
    <row r="335" spans="17:21" ht="15" customHeight="1">
      <c r="Q335">
        <v>0</v>
      </c>
      <c r="R335">
        <v>0</v>
      </c>
      <c r="S335">
        <v>0.87</v>
      </c>
      <c r="T335">
        <v>12.571</v>
      </c>
      <c r="U335">
        <v>0</v>
      </c>
    </row>
    <row r="336" spans="17:21" ht="15" customHeight="1">
      <c r="Q336">
        <v>0.36</v>
      </c>
      <c r="R336">
        <v>0.36</v>
      </c>
      <c r="S336">
        <v>-0.48</v>
      </c>
      <c r="T336">
        <v>2.2280000000000002</v>
      </c>
      <c r="U336">
        <v>0.36</v>
      </c>
    </row>
    <row r="337" spans="17:21" ht="15" customHeight="1">
      <c r="Q337">
        <v>-0.36</v>
      </c>
      <c r="R337">
        <v>-0.15</v>
      </c>
      <c r="S337">
        <v>-0.26</v>
      </c>
      <c r="T337">
        <v>0.90100000000000002</v>
      </c>
      <c r="U337">
        <v>0.15</v>
      </c>
    </row>
    <row r="338" spans="17:21" ht="15" customHeight="1">
      <c r="Q338">
        <v>-0.14000000000000001</v>
      </c>
      <c r="R338">
        <v>-0.14000000000000001</v>
      </c>
      <c r="S338">
        <v>-1.77</v>
      </c>
      <c r="T338">
        <v>12.494</v>
      </c>
      <c r="U338">
        <v>0.14000000000000001</v>
      </c>
    </row>
    <row r="339" spans="17:21" ht="15" customHeight="1">
      <c r="Q339">
        <v>-0.28999999999999998</v>
      </c>
      <c r="R339">
        <v>-0.28999999999999998</v>
      </c>
      <c r="S339">
        <v>-0.45</v>
      </c>
      <c r="T339">
        <v>2.2210000000000001</v>
      </c>
      <c r="U339">
        <v>0.28999999999999998</v>
      </c>
    </row>
    <row r="340" spans="17:21" ht="15" customHeight="1">
      <c r="Q340">
        <v>-0.1</v>
      </c>
      <c r="R340">
        <v>-0.1</v>
      </c>
      <c r="S340">
        <v>0.05</v>
      </c>
      <c r="T340">
        <v>0.90500000000000003</v>
      </c>
      <c r="U340">
        <v>0.1</v>
      </c>
    </row>
    <row r="341" spans="17:21" ht="15" customHeight="1">
      <c r="Q341">
        <v>-0.19</v>
      </c>
      <c r="R341">
        <v>-0.19</v>
      </c>
      <c r="S341">
        <v>-0.44</v>
      </c>
      <c r="T341">
        <v>13.693</v>
      </c>
      <c r="U341">
        <v>0.19</v>
      </c>
    </row>
    <row r="342" spans="17:21" ht="15" customHeight="1">
      <c r="Q342">
        <v>0.16</v>
      </c>
      <c r="R342">
        <v>0.16</v>
      </c>
      <c r="S342">
        <v>-0.18</v>
      </c>
      <c r="T342">
        <v>2.2679999999999998</v>
      </c>
      <c r="U342">
        <v>0.16</v>
      </c>
    </row>
    <row r="343" spans="17:21" ht="15" customHeight="1">
      <c r="Q343">
        <v>0.06</v>
      </c>
      <c r="R343">
        <v>0.06</v>
      </c>
      <c r="S343">
        <v>-0.02</v>
      </c>
      <c r="T343">
        <v>0.86399999999999999</v>
      </c>
      <c r="U343">
        <v>0.06</v>
      </c>
    </row>
    <row r="344" spans="17:21" ht="15" customHeight="1">
      <c r="Q344">
        <v>-0.62</v>
      </c>
      <c r="R344">
        <v>-0.62</v>
      </c>
      <c r="S344">
        <v>0.37</v>
      </c>
      <c r="T344">
        <v>12.314</v>
      </c>
      <c r="U344">
        <v>0.62</v>
      </c>
    </row>
    <row r="345" spans="17:21" ht="15" customHeight="1">
      <c r="Q345">
        <v>-0.54</v>
      </c>
      <c r="R345">
        <v>-0.54</v>
      </c>
      <c r="S345">
        <v>-0.18</v>
      </c>
      <c r="T345">
        <v>2.14</v>
      </c>
      <c r="U345">
        <v>0.54</v>
      </c>
    </row>
    <row r="346" spans="17:21" ht="15" customHeight="1">
      <c r="Q346">
        <v>-0.04</v>
      </c>
      <c r="R346">
        <v>-0.04</v>
      </c>
      <c r="S346">
        <v>-0.06</v>
      </c>
      <c r="T346">
        <v>0.878</v>
      </c>
      <c r="U346">
        <v>0.04</v>
      </c>
    </row>
    <row r="347" spans="17:21" ht="15" customHeight="1">
      <c r="Q347">
        <v>-0.33</v>
      </c>
      <c r="R347">
        <v>-0.33</v>
      </c>
      <c r="S347">
        <v>-1.89</v>
      </c>
      <c r="T347">
        <v>12.183</v>
      </c>
      <c r="U347">
        <v>0.33</v>
      </c>
    </row>
    <row r="348" spans="17:21" ht="15" customHeight="1">
      <c r="Q348">
        <v>-0.26</v>
      </c>
      <c r="R348">
        <v>-0.26</v>
      </c>
      <c r="S348">
        <v>-1.04</v>
      </c>
      <c r="T348">
        <v>2.1269999999999998</v>
      </c>
      <c r="U348">
        <v>0.26</v>
      </c>
    </row>
    <row r="349" spans="17:21" ht="15" customHeight="1">
      <c r="Q349">
        <v>-0.72</v>
      </c>
      <c r="R349">
        <v>0.16</v>
      </c>
      <c r="S349">
        <v>-0.25</v>
      </c>
      <c r="T349">
        <v>0.84399999999999997</v>
      </c>
      <c r="U349">
        <v>0.16</v>
      </c>
    </row>
    <row r="350" spans="17:21" ht="15" customHeight="1">
      <c r="Q350">
        <v>-0.86</v>
      </c>
      <c r="R350">
        <v>-0.86</v>
      </c>
      <c r="S350">
        <v>-1.52</v>
      </c>
      <c r="T350">
        <v>13.689</v>
      </c>
      <c r="U350">
        <v>0.86</v>
      </c>
    </row>
    <row r="351" spans="17:21" ht="15" customHeight="1">
      <c r="Q351">
        <v>-0.94</v>
      </c>
      <c r="R351">
        <v>-0.94</v>
      </c>
      <c r="S351">
        <v>-0.65</v>
      </c>
      <c r="T351">
        <v>2.2999999999999998</v>
      </c>
      <c r="U351">
        <v>0.94</v>
      </c>
    </row>
    <row r="352" spans="17:21" ht="15" customHeight="1">
      <c r="Q352">
        <v>-1.03</v>
      </c>
      <c r="R352">
        <v>-0.2</v>
      </c>
      <c r="S352">
        <v>0.14000000000000001</v>
      </c>
      <c r="T352">
        <v>0.85099999999999998</v>
      </c>
      <c r="U352">
        <v>0.2</v>
      </c>
    </row>
    <row r="353" spans="17:21" ht="15" customHeight="1">
      <c r="Q353">
        <v>-0.62</v>
      </c>
      <c r="R353">
        <v>-0.62</v>
      </c>
      <c r="S353">
        <v>-1.07</v>
      </c>
      <c r="T353">
        <v>12.506</v>
      </c>
      <c r="U353">
        <v>0.62</v>
      </c>
    </row>
    <row r="354" spans="17:21" ht="15" customHeight="1">
      <c r="Q354">
        <v>-0.56000000000000005</v>
      </c>
      <c r="R354">
        <v>-0.56000000000000005</v>
      </c>
      <c r="S354">
        <v>-7.0000000000000007E-2</v>
      </c>
      <c r="T354">
        <v>2.169</v>
      </c>
      <c r="U354">
        <v>0.56000000000000005</v>
      </c>
    </row>
    <row r="355" spans="17:21" ht="15" customHeight="1">
      <c r="Q355">
        <v>-0.44</v>
      </c>
      <c r="R355">
        <v>-0.44</v>
      </c>
      <c r="S355">
        <v>0.34</v>
      </c>
      <c r="T355">
        <v>0.81899999999999995</v>
      </c>
      <c r="U355">
        <v>0.44</v>
      </c>
    </row>
    <row r="356" spans="17:21" ht="15" customHeight="1">
      <c r="Q356">
        <v>-1.06</v>
      </c>
      <c r="R356">
        <v>-1.06</v>
      </c>
      <c r="S356">
        <v>-2.0499999999999998</v>
      </c>
      <c r="T356">
        <v>13.041</v>
      </c>
      <c r="U356">
        <v>1.06</v>
      </c>
    </row>
    <row r="357" spans="17:21" ht="15" customHeight="1">
      <c r="Q357">
        <v>-0.31</v>
      </c>
      <c r="R357">
        <v>-0.31</v>
      </c>
      <c r="S357">
        <v>0.1</v>
      </c>
      <c r="T357">
        <v>2.2280000000000002</v>
      </c>
      <c r="U357">
        <v>0.31</v>
      </c>
    </row>
    <row r="358" spans="17:21" ht="15" customHeight="1">
      <c r="Q358">
        <v>3.2</v>
      </c>
      <c r="R358">
        <v>0.4</v>
      </c>
      <c r="S358">
        <v>0.11</v>
      </c>
      <c r="T358">
        <v>0.85199999999999998</v>
      </c>
      <c r="U358">
        <v>0.4</v>
      </c>
    </row>
    <row r="359" spans="17:21" ht="15" customHeight="1">
      <c r="Q359">
        <v>-0.91</v>
      </c>
      <c r="R359">
        <v>-0.91</v>
      </c>
      <c r="S359">
        <v>1.35</v>
      </c>
      <c r="T359">
        <v>14.368</v>
      </c>
      <c r="U359">
        <v>0.91</v>
      </c>
    </row>
    <row r="360" spans="17:21" ht="15" customHeight="1">
      <c r="Q360">
        <v>-0.89</v>
      </c>
      <c r="R360">
        <v>-0.89</v>
      </c>
      <c r="S360">
        <v>0.31</v>
      </c>
      <c r="T360">
        <v>2.4289999999999998</v>
      </c>
      <c r="U360">
        <v>0.89</v>
      </c>
    </row>
    <row r="361" spans="17:21" ht="15" customHeight="1">
      <c r="Q361">
        <v>-0.27</v>
      </c>
      <c r="R361">
        <v>-0.27</v>
      </c>
      <c r="S361">
        <v>0.33</v>
      </c>
      <c r="T361">
        <v>0.92500000000000004</v>
      </c>
      <c r="U361">
        <v>0.27</v>
      </c>
    </row>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2E37-49C2-4043-A3F1-3810396D412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F8DB-90C5-4A17-9F31-93E501E1EAF2}">
  <dimension ref="A1:E13"/>
  <sheetViews>
    <sheetView tabSelected="1" workbookViewId="0">
      <selection activeCell="E15" sqref="E15"/>
    </sheetView>
  </sheetViews>
  <sheetFormatPr defaultRowHeight="15"/>
  <cols>
    <col min="2" max="2" width="16" bestFit="1" customWidth="1"/>
  </cols>
  <sheetData>
    <row r="1" spans="1:5">
      <c r="C1">
        <v>761.1</v>
      </c>
      <c r="D1">
        <v>753.4</v>
      </c>
      <c r="E1">
        <v>774.3</v>
      </c>
    </row>
    <row r="2" spans="1:5">
      <c r="B2" t="s">
        <v>27</v>
      </c>
      <c r="C2" t="s">
        <v>490</v>
      </c>
      <c r="D2" t="s">
        <v>492</v>
      </c>
      <c r="E2" t="s">
        <v>494</v>
      </c>
    </row>
    <row r="3" spans="1:5">
      <c r="A3" t="s">
        <v>604</v>
      </c>
      <c r="B3" t="s">
        <v>605</v>
      </c>
      <c r="C3">
        <v>2097</v>
      </c>
      <c r="D3">
        <v>13923</v>
      </c>
      <c r="E3">
        <v>44696</v>
      </c>
    </row>
    <row r="4" spans="1:5">
      <c r="B4" t="s">
        <v>606</v>
      </c>
      <c r="C4">
        <v>2005</v>
      </c>
      <c r="D4">
        <v>13725</v>
      </c>
      <c r="E4">
        <v>45269</v>
      </c>
    </row>
    <row r="5" spans="1:5">
      <c r="B5" t="s">
        <v>607</v>
      </c>
      <c r="C5">
        <v>2008</v>
      </c>
      <c r="D5">
        <v>13530</v>
      </c>
      <c r="E5">
        <v>44174</v>
      </c>
    </row>
    <row r="6" spans="1:5">
      <c r="A6" t="s">
        <v>609</v>
      </c>
      <c r="B6" t="s">
        <v>608</v>
      </c>
      <c r="C6">
        <v>3319</v>
      </c>
      <c r="D6">
        <v>18158</v>
      </c>
      <c r="E6">
        <v>52332</v>
      </c>
    </row>
    <row r="7" spans="1:5">
      <c r="B7" t="s">
        <v>608</v>
      </c>
      <c r="C7">
        <v>2013</v>
      </c>
      <c r="D7">
        <v>13530</v>
      </c>
      <c r="E7">
        <v>44280</v>
      </c>
    </row>
    <row r="9" spans="1:5">
      <c r="B9" t="s">
        <v>20</v>
      </c>
      <c r="C9">
        <v>758.2</v>
      </c>
      <c r="D9">
        <v>759.6</v>
      </c>
      <c r="E9">
        <v>778.4</v>
      </c>
    </row>
    <row r="10" spans="1:5">
      <c r="A10" t="s">
        <v>604</v>
      </c>
      <c r="B10" t="s">
        <v>605</v>
      </c>
      <c r="C10">
        <v>2057</v>
      </c>
      <c r="D10">
        <v>13883</v>
      </c>
      <c r="E10">
        <v>44719</v>
      </c>
    </row>
    <row r="11" spans="1:5">
      <c r="B11" t="s">
        <v>606</v>
      </c>
      <c r="C11">
        <v>2180</v>
      </c>
      <c r="D11">
        <v>14979</v>
      </c>
      <c r="E11">
        <v>48711</v>
      </c>
    </row>
    <row r="12" spans="1:5">
      <c r="A12" t="s">
        <v>609</v>
      </c>
      <c r="B12" t="s">
        <v>608</v>
      </c>
      <c r="C12">
        <v>3421</v>
      </c>
      <c r="D12">
        <v>19362</v>
      </c>
      <c r="E12">
        <v>56052</v>
      </c>
    </row>
    <row r="13" spans="1:5">
      <c r="A13" t="s">
        <v>610</v>
      </c>
      <c r="B13" t="s">
        <v>608</v>
      </c>
      <c r="C13">
        <v>2238</v>
      </c>
      <c r="D13">
        <v>15161</v>
      </c>
      <c r="E13">
        <v>49130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000"/>
  <sheetViews>
    <sheetView zoomScale="70" zoomScaleNormal="70" workbookViewId="0">
      <pane ySplit="1" topLeftCell="A2" activePane="bottomLeft" state="frozen"/>
      <selection pane="bottomLeft" activeCell="B14" sqref="B14"/>
    </sheetView>
  </sheetViews>
  <sheetFormatPr defaultColWidth="14.42578125" defaultRowHeight="15" customHeight="1"/>
  <cols>
    <col min="1" max="1" width="8.85546875" customWidth="1"/>
    <col min="2" max="2" width="11.85546875" customWidth="1"/>
    <col min="3" max="3" width="9.7109375" bestFit="1" customWidth="1"/>
    <col min="4" max="4" width="18.42578125" customWidth="1"/>
    <col min="5" max="13" width="8.85546875" customWidth="1"/>
    <col min="14" max="14" width="9.85546875" customWidth="1"/>
    <col min="15" max="15" width="11.140625" customWidth="1"/>
    <col min="16" max="16" width="9.7109375" customWidth="1"/>
    <col min="17" max="17" width="11.42578125" customWidth="1"/>
    <col min="18" max="18" width="11.140625" customWidth="1"/>
    <col min="19" max="19" width="13.140625" customWidth="1"/>
    <col min="20" max="20" width="13.85546875" customWidth="1"/>
    <col min="21" max="21" width="13" customWidth="1"/>
    <col min="22" max="22" width="21.85546875" bestFit="1" customWidth="1"/>
    <col min="23" max="23" width="13" customWidth="1"/>
    <col min="24" max="31" width="8.85546875" customWidth="1"/>
  </cols>
  <sheetData>
    <row r="1" spans="1:25" ht="63.75" thickBot="1">
      <c r="B1" s="120" t="s">
        <v>0</v>
      </c>
      <c r="C1" s="121" t="s">
        <v>1</v>
      </c>
      <c r="D1" s="121" t="s">
        <v>2</v>
      </c>
      <c r="E1" s="121" t="s">
        <v>3</v>
      </c>
      <c r="F1" s="121" t="s">
        <v>4</v>
      </c>
      <c r="G1" s="121" t="s">
        <v>5</v>
      </c>
      <c r="H1" s="121" t="s">
        <v>6</v>
      </c>
      <c r="I1" s="121" t="s">
        <v>7</v>
      </c>
      <c r="J1" s="121" t="s">
        <v>8</v>
      </c>
      <c r="K1" s="121" t="s">
        <v>9</v>
      </c>
      <c r="L1" s="121" t="s">
        <v>10</v>
      </c>
      <c r="M1" s="121" t="s">
        <v>11</v>
      </c>
      <c r="N1" s="121" t="s">
        <v>12</v>
      </c>
      <c r="O1" s="121" t="s">
        <v>13</v>
      </c>
      <c r="P1" s="121" t="s">
        <v>14</v>
      </c>
      <c r="Q1" s="121" t="s">
        <v>15</v>
      </c>
      <c r="R1" s="122" t="s">
        <v>16</v>
      </c>
      <c r="S1" s="136" t="s">
        <v>503</v>
      </c>
      <c r="T1" s="137" t="s">
        <v>502</v>
      </c>
      <c r="U1" s="137" t="s">
        <v>501</v>
      </c>
      <c r="V1" s="138" t="s">
        <v>500</v>
      </c>
      <c r="W1" s="111" t="s">
        <v>504</v>
      </c>
    </row>
    <row r="2" spans="1:25" ht="19.5" thickBot="1">
      <c r="A2" s="39" t="s">
        <v>178</v>
      </c>
      <c r="B2" s="125" t="s">
        <v>179</v>
      </c>
      <c r="C2" s="126" t="s">
        <v>180</v>
      </c>
      <c r="D2" s="152" t="s">
        <v>181</v>
      </c>
      <c r="E2" s="126">
        <v>1</v>
      </c>
      <c r="F2" s="126">
        <v>1454</v>
      </c>
      <c r="G2" s="126">
        <v>2176</v>
      </c>
      <c r="H2" s="126">
        <v>2613</v>
      </c>
      <c r="I2" s="126">
        <v>3103</v>
      </c>
      <c r="J2" s="126">
        <v>3647</v>
      </c>
      <c r="K2" s="126">
        <v>4249</v>
      </c>
      <c r="L2" s="126">
        <v>3032</v>
      </c>
      <c r="M2" s="126">
        <v>744.49728264682415</v>
      </c>
      <c r="N2" s="126">
        <v>2042</v>
      </c>
      <c r="O2" s="126">
        <v>296</v>
      </c>
      <c r="P2" s="126">
        <v>748</v>
      </c>
      <c r="Q2" s="126">
        <v>2091</v>
      </c>
      <c r="R2" s="126">
        <v>295</v>
      </c>
      <c r="S2" s="125">
        <f>ROUND((N2-2100)/N2*100,2)</f>
        <v>-2.84</v>
      </c>
      <c r="T2" s="126">
        <f>ROUND((Q2-2100)/Q2*100,2)</f>
        <v>-0.43</v>
      </c>
      <c r="U2" s="126">
        <f>ROUND((L2-I2)/L2*100,2)</f>
        <v>-2.34</v>
      </c>
      <c r="V2" s="128">
        <f>ROUND(O2/N2*100,3)</f>
        <v>14.496</v>
      </c>
      <c r="W2" s="145">
        <f>ABS(T2)</f>
        <v>0.43</v>
      </c>
      <c r="Y2" s="29" t="s">
        <v>182</v>
      </c>
    </row>
    <row r="3" spans="1:25">
      <c r="A3" s="146"/>
      <c r="B3" s="129"/>
      <c r="C3" s="119"/>
      <c r="D3" s="130" t="s">
        <v>183</v>
      </c>
      <c r="E3" s="130">
        <v>2</v>
      </c>
      <c r="F3" s="148">
        <v>9655</v>
      </c>
      <c r="G3" s="148">
        <v>13677</v>
      </c>
      <c r="H3" s="148">
        <v>16076</v>
      </c>
      <c r="I3" s="148">
        <v>18788</v>
      </c>
      <c r="J3" s="148">
        <v>21844</v>
      </c>
      <c r="K3" s="148">
        <v>25246</v>
      </c>
      <c r="L3" s="147">
        <v>18440</v>
      </c>
      <c r="M3" s="147">
        <v>752.68046884294483</v>
      </c>
      <c r="N3" s="130">
        <v>13643</v>
      </c>
      <c r="O3" s="130">
        <v>349</v>
      </c>
      <c r="P3" s="130">
        <v>757</v>
      </c>
      <c r="Q3" s="130">
        <v>14047</v>
      </c>
      <c r="R3" s="124">
        <v>347</v>
      </c>
      <c r="S3" s="129">
        <f>ROUND((N3-14000)/N3*100,2)</f>
        <v>-2.62</v>
      </c>
      <c r="T3" s="124">
        <f>ROUND((Q3-14000)/Q3*100,2)</f>
        <v>0.33</v>
      </c>
      <c r="U3" s="124">
        <f t="shared" ref="U3:U66" si="0">ROUND((L3-I3)/L3*100,2)</f>
        <v>-1.89</v>
      </c>
      <c r="V3" s="131">
        <f t="shared" ref="V3:V66" si="1">ROUND(O3/N3*100,3)</f>
        <v>2.5579999999999998</v>
      </c>
      <c r="W3" s="145">
        <f t="shared" ref="W3:W66" si="2">ABS(T3)</f>
        <v>0.33</v>
      </c>
      <c r="Y3" s="29" t="s">
        <v>184</v>
      </c>
    </row>
    <row r="4" spans="1:25">
      <c r="A4" s="119"/>
      <c r="B4" s="129"/>
      <c r="C4" s="119"/>
      <c r="D4" s="130" t="s">
        <v>185</v>
      </c>
      <c r="E4" s="130">
        <v>3</v>
      </c>
      <c r="F4" s="148">
        <v>25999</v>
      </c>
      <c r="G4" s="148">
        <v>35665</v>
      </c>
      <c r="H4" s="148">
        <v>41771</v>
      </c>
      <c r="I4" s="148">
        <v>48732</v>
      </c>
      <c r="J4" s="147">
        <v>56429</v>
      </c>
      <c r="K4" s="147">
        <v>63205</v>
      </c>
      <c r="L4" s="130">
        <v>47820</v>
      </c>
      <c r="M4" s="148">
        <v>786.31941046587326</v>
      </c>
      <c r="N4" s="130">
        <v>44007</v>
      </c>
      <c r="O4" s="130">
        <v>437</v>
      </c>
      <c r="P4" s="130">
        <v>790</v>
      </c>
      <c r="Q4" s="130">
        <v>45063</v>
      </c>
      <c r="R4" s="124">
        <v>437</v>
      </c>
      <c r="S4" s="129">
        <f>ROUND((N4-45000)/N4*100,2)</f>
        <v>-2.2599999999999998</v>
      </c>
      <c r="T4" s="124">
        <f>ROUND((Q4-45000)/Q4*100,2)</f>
        <v>0.14000000000000001</v>
      </c>
      <c r="U4" s="124">
        <f t="shared" si="0"/>
        <v>-1.91</v>
      </c>
      <c r="V4" s="131">
        <f t="shared" si="1"/>
        <v>0.99299999999999999</v>
      </c>
      <c r="W4" s="145">
        <f t="shared" si="2"/>
        <v>0.14000000000000001</v>
      </c>
      <c r="Y4" s="29" t="s">
        <v>186</v>
      </c>
    </row>
    <row r="5" spans="1:25">
      <c r="A5" s="119"/>
      <c r="B5" s="129" t="s">
        <v>187</v>
      </c>
      <c r="C5" s="130" t="s">
        <v>188</v>
      </c>
      <c r="D5" s="130" t="s">
        <v>189</v>
      </c>
      <c r="E5" s="130">
        <v>1</v>
      </c>
      <c r="F5" s="130">
        <v>1848</v>
      </c>
      <c r="G5" s="130">
        <v>2574</v>
      </c>
      <c r="H5" s="130">
        <v>3002</v>
      </c>
      <c r="I5" s="130">
        <v>3474</v>
      </c>
      <c r="J5" s="130">
        <v>3985</v>
      </c>
      <c r="K5" s="130">
        <v>4574</v>
      </c>
      <c r="L5" s="130">
        <v>3388</v>
      </c>
      <c r="M5" s="130">
        <v>718.3025017581399</v>
      </c>
      <c r="N5" s="130">
        <v>2034</v>
      </c>
      <c r="O5" s="130">
        <v>288</v>
      </c>
      <c r="P5" s="130">
        <v>722</v>
      </c>
      <c r="Q5" s="130">
        <v>2081</v>
      </c>
      <c r="R5" s="124">
        <v>291</v>
      </c>
      <c r="S5" s="129">
        <f t="shared" ref="S5" si="3">ROUND((N5-2100)/N5*100,2)</f>
        <v>-3.24</v>
      </c>
      <c r="T5" s="124">
        <f>ROUND((Q5-2100)/Q5*100,2)</f>
        <v>-0.91</v>
      </c>
      <c r="U5" s="124">
        <f t="shared" si="0"/>
        <v>-2.54</v>
      </c>
      <c r="V5" s="131">
        <f t="shared" si="1"/>
        <v>14.159000000000001</v>
      </c>
      <c r="W5" s="145"/>
    </row>
    <row r="6" spans="1:25">
      <c r="A6" s="119"/>
      <c r="B6" s="129"/>
      <c r="C6" s="119"/>
      <c r="D6" s="130" t="s">
        <v>190</v>
      </c>
      <c r="E6" s="130">
        <v>2</v>
      </c>
      <c r="F6" s="130">
        <v>12431</v>
      </c>
      <c r="G6" s="130">
        <v>16772</v>
      </c>
      <c r="H6" s="130">
        <v>19263</v>
      </c>
      <c r="I6" s="130">
        <v>22022</v>
      </c>
      <c r="J6" s="130">
        <v>25064</v>
      </c>
      <c r="K6" s="130">
        <v>28358</v>
      </c>
      <c r="L6" s="130">
        <v>21735</v>
      </c>
      <c r="M6" s="130">
        <v>718.6267240329779</v>
      </c>
      <c r="N6" s="130">
        <v>13729</v>
      </c>
      <c r="O6" s="130">
        <v>315</v>
      </c>
      <c r="P6" s="119"/>
      <c r="Q6" s="119"/>
      <c r="R6" s="124"/>
      <c r="S6" s="129">
        <f t="shared" ref="S6" si="4">ROUND((N6-14000)/N6*100,2)</f>
        <v>-1.97</v>
      </c>
      <c r="T6" s="124">
        <f>ROUND((N6-14000)/N6*100,2)</f>
        <v>-1.97</v>
      </c>
      <c r="U6" s="124">
        <f t="shared" si="0"/>
        <v>-1.32</v>
      </c>
      <c r="V6" s="131">
        <f t="shared" si="1"/>
        <v>2.294</v>
      </c>
      <c r="W6" s="145"/>
    </row>
    <row r="7" spans="1:25">
      <c r="A7" s="119"/>
      <c r="B7" s="129"/>
      <c r="C7" s="119"/>
      <c r="D7" s="119"/>
      <c r="E7" s="130">
        <v>3</v>
      </c>
      <c r="F7" s="130">
        <v>33575</v>
      </c>
      <c r="G7" s="130">
        <v>44857</v>
      </c>
      <c r="H7" s="130">
        <v>51309</v>
      </c>
      <c r="I7" s="149">
        <v>57225</v>
      </c>
      <c r="J7" s="130">
        <v>61705</v>
      </c>
      <c r="K7" s="130" t="s">
        <v>34</v>
      </c>
      <c r="L7" s="130">
        <v>56908</v>
      </c>
      <c r="M7" s="130">
        <v>752.74419011190696</v>
      </c>
      <c r="N7" s="130">
        <v>45202</v>
      </c>
      <c r="O7" s="130">
        <v>417</v>
      </c>
      <c r="P7" s="119"/>
      <c r="Q7" s="119"/>
      <c r="R7" s="124"/>
      <c r="S7" s="129">
        <f t="shared" ref="S7" si="5">ROUND((N7-45000)/N7*100,2)</f>
        <v>0.45</v>
      </c>
      <c r="T7" s="124">
        <f>ROUND((N7-45000)/N7*100,2)</f>
        <v>0.45</v>
      </c>
      <c r="U7" s="124">
        <f t="shared" si="0"/>
        <v>-0.56000000000000005</v>
      </c>
      <c r="V7" s="131">
        <f t="shared" si="1"/>
        <v>0.92300000000000004</v>
      </c>
      <c r="W7" s="145"/>
      <c r="Y7" s="8" t="s">
        <v>191</v>
      </c>
    </row>
    <row r="8" spans="1:25">
      <c r="A8" s="119"/>
      <c r="B8" s="129" t="s">
        <v>192</v>
      </c>
      <c r="C8" s="130" t="s">
        <v>193</v>
      </c>
      <c r="D8" s="124" t="s">
        <v>194</v>
      </c>
      <c r="E8" s="130">
        <v>1</v>
      </c>
      <c r="F8" s="130">
        <v>1714</v>
      </c>
      <c r="G8" s="130">
        <v>2446</v>
      </c>
      <c r="H8" s="130">
        <v>2888</v>
      </c>
      <c r="I8" s="130">
        <v>3376</v>
      </c>
      <c r="J8" s="130">
        <v>3924</v>
      </c>
      <c r="K8" s="130">
        <v>4526</v>
      </c>
      <c r="L8" s="130">
        <v>3304</v>
      </c>
      <c r="M8" s="130">
        <v>726.85125037342709</v>
      </c>
      <c r="N8" s="130">
        <v>2033</v>
      </c>
      <c r="O8" s="130">
        <v>261</v>
      </c>
      <c r="P8" s="130">
        <v>730</v>
      </c>
      <c r="Q8" s="130">
        <v>2077</v>
      </c>
      <c r="R8" s="124">
        <v>262</v>
      </c>
      <c r="S8" s="129">
        <f t="shared" ref="S8" si="6">ROUND((N8-2100)/N8*100,2)</f>
        <v>-3.3</v>
      </c>
      <c r="T8" s="124">
        <f>ROUND((Q8-2100)/Q8*100,2)</f>
        <v>-1.1100000000000001</v>
      </c>
      <c r="U8" s="124">
        <f t="shared" si="0"/>
        <v>-2.1800000000000002</v>
      </c>
      <c r="V8" s="131">
        <f t="shared" si="1"/>
        <v>12.837999999999999</v>
      </c>
      <c r="W8" s="145">
        <f t="shared" si="2"/>
        <v>1.1100000000000001</v>
      </c>
    </row>
    <row r="9" spans="1:25">
      <c r="A9" s="119"/>
      <c r="B9" s="153"/>
      <c r="C9" s="119"/>
      <c r="D9" s="130" t="s">
        <v>195</v>
      </c>
      <c r="E9" s="130">
        <v>2</v>
      </c>
      <c r="F9" s="130">
        <v>10639</v>
      </c>
      <c r="G9" s="130">
        <v>14467</v>
      </c>
      <c r="H9" s="130">
        <v>16678</v>
      </c>
      <c r="I9" s="130">
        <v>19039</v>
      </c>
      <c r="J9" s="130">
        <v>21606</v>
      </c>
      <c r="K9" s="130">
        <v>24371</v>
      </c>
      <c r="L9" s="130">
        <v>18806</v>
      </c>
      <c r="M9" s="130">
        <v>743.81781764784193</v>
      </c>
      <c r="N9" s="130">
        <v>13791</v>
      </c>
      <c r="O9" s="130">
        <v>306</v>
      </c>
      <c r="P9" s="119"/>
      <c r="Q9" s="119"/>
      <c r="R9" s="124"/>
      <c r="S9" s="129">
        <f t="shared" ref="S9" si="7">ROUND((N9-14000)/N9*100,2)</f>
        <v>-1.52</v>
      </c>
      <c r="T9" s="124">
        <f t="shared" ref="T9" si="8">ROUND((N9-14000)/N9*100,2)</f>
        <v>-1.52</v>
      </c>
      <c r="U9" s="124">
        <f t="shared" si="0"/>
        <v>-1.24</v>
      </c>
      <c r="V9" s="131">
        <f t="shared" si="1"/>
        <v>2.2189999999999999</v>
      </c>
      <c r="W9" s="145">
        <f t="shared" si="2"/>
        <v>1.52</v>
      </c>
    </row>
    <row r="10" spans="1:25">
      <c r="A10" s="119"/>
      <c r="B10" s="129"/>
      <c r="C10" s="119"/>
      <c r="D10" s="119"/>
      <c r="E10" s="130">
        <v>3</v>
      </c>
      <c r="F10" s="130">
        <v>27020</v>
      </c>
      <c r="G10" s="130">
        <v>35355</v>
      </c>
      <c r="H10" s="130">
        <v>40287</v>
      </c>
      <c r="I10" s="130">
        <v>45641</v>
      </c>
      <c r="J10" s="130">
        <v>51391</v>
      </c>
      <c r="K10" s="130">
        <v>56892</v>
      </c>
      <c r="L10" s="130">
        <v>45348</v>
      </c>
      <c r="M10" s="130">
        <v>796.523878433606</v>
      </c>
      <c r="N10" s="130">
        <v>44606</v>
      </c>
      <c r="O10" s="130">
        <v>376</v>
      </c>
      <c r="P10" s="130">
        <v>798</v>
      </c>
      <c r="Q10" s="130">
        <v>44967</v>
      </c>
      <c r="R10" s="124">
        <v>380</v>
      </c>
      <c r="S10" s="129">
        <f t="shared" ref="S10" si="9">ROUND((N10-45000)/N10*100,2)</f>
        <v>-0.88</v>
      </c>
      <c r="T10" s="124">
        <f>ROUND((Q10-45000)/Q10*100,2)</f>
        <v>-7.0000000000000007E-2</v>
      </c>
      <c r="U10" s="124">
        <f t="shared" si="0"/>
        <v>-0.65</v>
      </c>
      <c r="V10" s="131">
        <f t="shared" si="1"/>
        <v>0.84299999999999997</v>
      </c>
      <c r="W10" s="145">
        <f t="shared" si="2"/>
        <v>7.0000000000000007E-2</v>
      </c>
      <c r="Y10" s="8" t="s">
        <v>196</v>
      </c>
    </row>
    <row r="11" spans="1:25">
      <c r="A11" s="119"/>
      <c r="B11" s="129" t="s">
        <v>591</v>
      </c>
      <c r="C11" s="130" t="s">
        <v>198</v>
      </c>
      <c r="D11" s="119"/>
      <c r="E11" s="130">
        <v>1</v>
      </c>
      <c r="F11" s="130">
        <v>1881</v>
      </c>
      <c r="G11" s="130">
        <v>2752</v>
      </c>
      <c r="H11" s="130">
        <v>3280</v>
      </c>
      <c r="I11" s="130">
        <v>3875</v>
      </c>
      <c r="J11" s="130">
        <v>4547</v>
      </c>
      <c r="K11" s="130">
        <v>5292</v>
      </c>
      <c r="L11" s="130">
        <v>3859</v>
      </c>
      <c r="M11" s="130">
        <v>713.34243022169335</v>
      </c>
      <c r="N11" s="130">
        <v>2084</v>
      </c>
      <c r="O11" s="130">
        <v>286</v>
      </c>
      <c r="P11" s="119"/>
      <c r="Q11" s="119"/>
      <c r="R11" s="124"/>
      <c r="S11" s="129">
        <f t="shared" ref="S11" si="10">ROUND((N11-2100)/N11*100,2)</f>
        <v>-0.77</v>
      </c>
      <c r="T11" s="124">
        <f t="shared" ref="T11" si="11">ROUND((N11-2100)/N11*100,2)</f>
        <v>-0.77</v>
      </c>
      <c r="U11" s="124">
        <f t="shared" si="0"/>
        <v>-0.41</v>
      </c>
      <c r="V11" s="131">
        <f t="shared" si="1"/>
        <v>13.724</v>
      </c>
      <c r="W11" s="145">
        <f t="shared" si="2"/>
        <v>0.77</v>
      </c>
    </row>
    <row r="12" spans="1:25">
      <c r="A12" s="119"/>
      <c r="B12" s="129"/>
      <c r="C12" s="119"/>
      <c r="D12" s="119"/>
      <c r="E12" s="130">
        <v>2</v>
      </c>
      <c r="F12" s="130">
        <v>12561</v>
      </c>
      <c r="G12" s="130">
        <v>18114</v>
      </c>
      <c r="H12" s="130">
        <v>21729</v>
      </c>
      <c r="I12" s="130">
        <v>25629</v>
      </c>
      <c r="J12" s="130">
        <v>30021</v>
      </c>
      <c r="K12" s="130">
        <v>34608</v>
      </c>
      <c r="L12" s="130">
        <v>25784</v>
      </c>
      <c r="M12" s="130">
        <v>713.81175918972906</v>
      </c>
      <c r="N12" s="130">
        <v>14034</v>
      </c>
      <c r="O12" s="130">
        <v>342</v>
      </c>
      <c r="P12" s="119"/>
      <c r="Q12" s="119"/>
      <c r="R12" s="124"/>
      <c r="S12" s="129">
        <f t="shared" ref="S12" si="12">ROUND((N12-14000)/N12*100,2)</f>
        <v>0.24</v>
      </c>
      <c r="T12" s="124">
        <f t="shared" ref="T12" si="13">ROUND((N12-14000)/N12*100,2)</f>
        <v>0.24</v>
      </c>
      <c r="U12" s="124">
        <f t="shared" si="0"/>
        <v>0.6</v>
      </c>
      <c r="V12" s="131">
        <f t="shared" si="1"/>
        <v>2.4369999999999998</v>
      </c>
      <c r="W12" s="145">
        <f t="shared" si="2"/>
        <v>0.24</v>
      </c>
    </row>
    <row r="13" spans="1:25">
      <c r="A13" s="119"/>
      <c r="B13" s="129"/>
      <c r="C13" s="119"/>
      <c r="D13" s="119"/>
      <c r="E13" s="130">
        <v>3</v>
      </c>
      <c r="F13" s="130">
        <v>35721</v>
      </c>
      <c r="G13" s="130">
        <v>51232</v>
      </c>
      <c r="H13" s="130">
        <v>59265</v>
      </c>
      <c r="I13" s="130" t="s">
        <v>34</v>
      </c>
      <c r="J13" s="130" t="s">
        <v>34</v>
      </c>
      <c r="K13" s="130" t="s">
        <v>34</v>
      </c>
      <c r="L13" s="119"/>
      <c r="M13" s="130">
        <v>730.17187140937074</v>
      </c>
      <c r="N13" s="130">
        <v>44963</v>
      </c>
      <c r="O13" s="130">
        <v>447</v>
      </c>
      <c r="P13" s="119"/>
      <c r="Q13" s="119"/>
      <c r="R13" s="124"/>
      <c r="S13" s="129">
        <f t="shared" ref="S13" si="14">ROUND((N13-45000)/N13*100,2)</f>
        <v>-0.08</v>
      </c>
      <c r="T13" s="124">
        <f>ROUND((N13-45000)/N13*100,2)</f>
        <v>-0.08</v>
      </c>
      <c r="U13" s="124" t="e">
        <f t="shared" si="0"/>
        <v>#VALUE!</v>
      </c>
      <c r="V13" s="131">
        <f t="shared" si="1"/>
        <v>0.99399999999999999</v>
      </c>
      <c r="W13" s="145">
        <f t="shared" si="2"/>
        <v>0.08</v>
      </c>
    </row>
    <row r="14" spans="1:25">
      <c r="A14" s="119"/>
      <c r="B14" s="129" t="s">
        <v>603</v>
      </c>
      <c r="C14" s="130" t="s">
        <v>200</v>
      </c>
      <c r="D14" s="119"/>
      <c r="E14" s="130">
        <v>1</v>
      </c>
      <c r="F14" s="130">
        <v>1431</v>
      </c>
      <c r="G14" s="130">
        <v>2066</v>
      </c>
      <c r="H14" s="130">
        <v>2432</v>
      </c>
      <c r="I14" s="130">
        <v>2851</v>
      </c>
      <c r="J14" s="130">
        <v>3321</v>
      </c>
      <c r="K14" s="130">
        <v>3837</v>
      </c>
      <c r="L14" s="130">
        <v>2788</v>
      </c>
      <c r="M14" s="130">
        <v>751.66722384510695</v>
      </c>
      <c r="N14" s="130">
        <v>2036</v>
      </c>
      <c r="O14" s="130">
        <v>256</v>
      </c>
      <c r="P14" s="130">
        <v>756</v>
      </c>
      <c r="Q14" s="130">
        <v>2091</v>
      </c>
      <c r="R14" s="124"/>
      <c r="S14" s="129">
        <f t="shared" ref="S14" si="15">ROUND((N14-2100)/N14*100,2)</f>
        <v>-3.14</v>
      </c>
      <c r="T14" s="124">
        <f>ROUND((Q14-2100)/Q14*100,2)</f>
        <v>-0.43</v>
      </c>
      <c r="U14" s="124">
        <f t="shared" si="0"/>
        <v>-2.2599999999999998</v>
      </c>
      <c r="V14" s="131">
        <f t="shared" si="1"/>
        <v>12.574</v>
      </c>
      <c r="W14" s="145">
        <f t="shared" si="2"/>
        <v>0.43</v>
      </c>
      <c r="Y14" s="8" t="s">
        <v>201</v>
      </c>
    </row>
    <row r="15" spans="1:25">
      <c r="A15" s="119"/>
      <c r="B15" s="129"/>
      <c r="C15" s="119"/>
      <c r="D15" s="119"/>
      <c r="E15" s="130">
        <v>2</v>
      </c>
      <c r="F15" s="130">
        <v>9687</v>
      </c>
      <c r="G15" s="130">
        <v>13304</v>
      </c>
      <c r="H15" s="130">
        <v>15430</v>
      </c>
      <c r="I15" s="130">
        <v>17798</v>
      </c>
      <c r="J15" s="130">
        <v>20382</v>
      </c>
      <c r="K15" s="130">
        <v>23245</v>
      </c>
      <c r="L15" s="130">
        <v>17541</v>
      </c>
      <c r="M15" s="130">
        <v>757.63560253081414</v>
      </c>
      <c r="N15" s="130">
        <v>13739</v>
      </c>
      <c r="O15" s="130">
        <v>298</v>
      </c>
      <c r="P15" s="119"/>
      <c r="Q15" s="119"/>
      <c r="R15" s="124"/>
      <c r="S15" s="129">
        <f t="shared" ref="S15" si="16">ROUND((N15-14000)/N15*100,2)</f>
        <v>-1.9</v>
      </c>
      <c r="T15" s="124">
        <f t="shared" ref="T15" si="17">ROUND((N15-14000)/N15*100,2)</f>
        <v>-1.9</v>
      </c>
      <c r="U15" s="124">
        <f t="shared" si="0"/>
        <v>-1.47</v>
      </c>
      <c r="V15" s="131">
        <f t="shared" si="1"/>
        <v>2.169</v>
      </c>
      <c r="W15" s="145">
        <f t="shared" si="2"/>
        <v>1.9</v>
      </c>
    </row>
    <row r="16" spans="1:25">
      <c r="A16" s="119"/>
      <c r="B16" s="129"/>
      <c r="C16" s="119"/>
      <c r="D16" s="119"/>
      <c r="E16" s="130">
        <v>3</v>
      </c>
      <c r="F16" s="130">
        <v>25579</v>
      </c>
      <c r="G16" s="130">
        <v>33983</v>
      </c>
      <c r="H16" s="130">
        <v>38901</v>
      </c>
      <c r="I16" s="130">
        <v>44289</v>
      </c>
      <c r="J16" s="130">
        <v>50103</v>
      </c>
      <c r="K16" s="130">
        <v>56207</v>
      </c>
      <c r="L16" s="130">
        <v>43875</v>
      </c>
      <c r="M16" s="130">
        <v>802.64281164202828</v>
      </c>
      <c r="N16" s="130">
        <v>44499</v>
      </c>
      <c r="O16" s="130">
        <v>368</v>
      </c>
      <c r="P16" s="130">
        <v>806</v>
      </c>
      <c r="Q16" s="130">
        <v>45287</v>
      </c>
      <c r="R16" s="124">
        <v>373</v>
      </c>
      <c r="S16" s="129">
        <f t="shared" ref="S16" si="18">ROUND((N16-45000)/N16*100,2)</f>
        <v>-1.1299999999999999</v>
      </c>
      <c r="T16" s="124">
        <f>ROUND((Q16-45000)/Q16*100,2)</f>
        <v>0.63</v>
      </c>
      <c r="U16" s="124">
        <f t="shared" si="0"/>
        <v>-0.94</v>
      </c>
      <c r="V16" s="131">
        <f t="shared" si="1"/>
        <v>0.82699999999999996</v>
      </c>
      <c r="W16" s="145">
        <f t="shared" si="2"/>
        <v>0.63</v>
      </c>
    </row>
    <row r="17" spans="1:37">
      <c r="A17" s="119"/>
      <c r="B17" s="129" t="s">
        <v>202</v>
      </c>
      <c r="C17" s="130" t="s">
        <v>203</v>
      </c>
      <c r="D17" s="130" t="s">
        <v>204</v>
      </c>
      <c r="E17" s="130">
        <v>1</v>
      </c>
      <c r="F17" s="130">
        <v>1607</v>
      </c>
      <c r="G17" s="130">
        <v>2380</v>
      </c>
      <c r="H17" s="130">
        <v>2843</v>
      </c>
      <c r="I17" s="130">
        <v>3365</v>
      </c>
      <c r="J17" s="130">
        <v>3949</v>
      </c>
      <c r="K17" s="130">
        <v>4586</v>
      </c>
      <c r="L17" s="130">
        <v>3336</v>
      </c>
      <c r="M17" s="130">
        <v>732.08430248526929</v>
      </c>
      <c r="N17" s="130">
        <v>2055</v>
      </c>
      <c r="O17" s="130">
        <v>304</v>
      </c>
      <c r="P17" s="130">
        <v>736</v>
      </c>
      <c r="Q17" s="130">
        <v>2122</v>
      </c>
      <c r="R17" s="124">
        <v>305</v>
      </c>
      <c r="S17" s="129">
        <f t="shared" ref="S17" si="19">ROUND((N17-2100)/N17*100,2)</f>
        <v>-2.19</v>
      </c>
      <c r="T17" s="124">
        <f>ROUND((Q17-2100)/Q17*100,2)</f>
        <v>1.04</v>
      </c>
      <c r="U17" s="124">
        <f t="shared" si="0"/>
        <v>-0.87</v>
      </c>
      <c r="V17" s="131">
        <f t="shared" si="1"/>
        <v>14.792999999999999</v>
      </c>
      <c r="W17" s="145">
        <f t="shared" si="2"/>
        <v>1.04</v>
      </c>
    </row>
    <row r="18" spans="1:37">
      <c r="A18" s="119"/>
      <c r="B18" s="129"/>
      <c r="C18" s="119"/>
      <c r="D18" s="119"/>
      <c r="E18" s="130">
        <v>2</v>
      </c>
      <c r="F18" s="130">
        <v>10481</v>
      </c>
      <c r="G18" s="130">
        <v>14992</v>
      </c>
      <c r="H18" s="130">
        <v>17784</v>
      </c>
      <c r="I18" s="130">
        <v>21031</v>
      </c>
      <c r="J18" s="130">
        <v>24787</v>
      </c>
      <c r="K18" s="130">
        <v>28893</v>
      </c>
      <c r="L18" s="130">
        <v>20854</v>
      </c>
      <c r="M18" s="130">
        <v>739.71031716510004</v>
      </c>
      <c r="N18" s="130">
        <v>13857</v>
      </c>
      <c r="O18" s="130">
        <v>347</v>
      </c>
      <c r="P18" s="119"/>
      <c r="Q18" s="119"/>
      <c r="R18" s="124"/>
      <c r="S18" s="129">
        <f t="shared" ref="S18" si="20">ROUND((N18-14000)/N18*100,2)</f>
        <v>-1.03</v>
      </c>
      <c r="T18" s="124">
        <f t="shared" ref="T18" si="21">ROUND((N18-14000)/N18*100,2)</f>
        <v>-1.03</v>
      </c>
      <c r="U18" s="124">
        <f t="shared" si="0"/>
        <v>-0.85</v>
      </c>
      <c r="V18" s="131">
        <f t="shared" si="1"/>
        <v>2.504</v>
      </c>
      <c r="W18" s="145">
        <f t="shared" si="2"/>
        <v>1.03</v>
      </c>
    </row>
    <row r="19" spans="1:37">
      <c r="A19" s="119"/>
      <c r="B19" s="129"/>
      <c r="C19" s="119"/>
      <c r="D19" s="119"/>
      <c r="E19" s="130">
        <v>3</v>
      </c>
      <c r="F19" s="130">
        <v>29776</v>
      </c>
      <c r="G19" s="130">
        <v>42650</v>
      </c>
      <c r="H19" s="130">
        <v>50956</v>
      </c>
      <c r="I19" s="130">
        <v>59845</v>
      </c>
      <c r="J19" s="130" t="s">
        <v>205</v>
      </c>
      <c r="K19" s="130" t="s">
        <v>205</v>
      </c>
      <c r="L19" s="130">
        <v>59675</v>
      </c>
      <c r="M19" s="130">
        <v>756.8102519953004</v>
      </c>
      <c r="N19" s="130">
        <v>44716</v>
      </c>
      <c r="O19" s="130">
        <v>456</v>
      </c>
      <c r="P19" s="119"/>
      <c r="Q19" s="119"/>
      <c r="R19" s="124"/>
      <c r="S19" s="129">
        <f t="shared" ref="S19" si="22">ROUND((N19-45000)/N19*100,2)</f>
        <v>-0.64</v>
      </c>
      <c r="T19" s="124">
        <f t="shared" ref="T19" si="23">ROUND((N19-45000)/N19*100,2)</f>
        <v>-0.64</v>
      </c>
      <c r="U19" s="124"/>
      <c r="V19" s="131">
        <f t="shared" si="1"/>
        <v>1.02</v>
      </c>
      <c r="W19" s="145">
        <f t="shared" si="2"/>
        <v>0.64</v>
      </c>
    </row>
    <row r="20" spans="1:37">
      <c r="A20" s="119"/>
      <c r="B20" s="170" t="s">
        <v>206</v>
      </c>
      <c r="C20" s="171" t="s">
        <v>207</v>
      </c>
      <c r="D20" s="188" t="s">
        <v>588</v>
      </c>
      <c r="E20" s="171">
        <v>1</v>
      </c>
      <c r="F20" s="171">
        <v>2215</v>
      </c>
      <c r="G20" s="171">
        <v>2706</v>
      </c>
      <c r="H20" s="171">
        <v>3271</v>
      </c>
      <c r="I20" s="171">
        <v>3916</v>
      </c>
      <c r="J20" s="171">
        <v>4644</v>
      </c>
      <c r="K20" s="181"/>
      <c r="M20">
        <v>693.49832888710705</v>
      </c>
      <c r="N20" s="173">
        <v>2109</v>
      </c>
      <c r="O20" s="173">
        <v>317</v>
      </c>
      <c r="P20" s="176"/>
      <c r="Q20" s="176"/>
      <c r="R20" s="119"/>
      <c r="S20" s="129">
        <f t="shared" ref="S20" si="24">ROUND((N20-2100)/N20*100,2)</f>
        <v>0.43</v>
      </c>
      <c r="T20" s="124">
        <f>ROUND((N20-2100)/N20*100,2)</f>
        <v>0.43</v>
      </c>
      <c r="U20" s="124"/>
      <c r="V20" s="131">
        <f t="shared" si="1"/>
        <v>15.031000000000001</v>
      </c>
      <c r="W20" s="145">
        <f t="shared" si="2"/>
        <v>0.43</v>
      </c>
      <c r="Y20" s="130" t="s">
        <v>208</v>
      </c>
      <c r="Z20" s="130">
        <v>1</v>
      </c>
      <c r="AA20" s="130" t="s">
        <v>209</v>
      </c>
      <c r="AB20" s="130">
        <v>1226</v>
      </c>
      <c r="AC20" s="130">
        <v>1492</v>
      </c>
      <c r="AD20" s="130">
        <v>1735</v>
      </c>
      <c r="AE20" s="130">
        <v>1992</v>
      </c>
      <c r="AF20" s="130">
        <v>2266</v>
      </c>
      <c r="AG20" s="130">
        <v>1721</v>
      </c>
      <c r="AH20" s="130">
        <v>833.75956368884488</v>
      </c>
      <c r="AI20" s="130">
        <v>2065</v>
      </c>
      <c r="AJ20" s="130">
        <v>264</v>
      </c>
      <c r="AK20" s="119"/>
    </row>
    <row r="21" spans="1:37" ht="15.75" customHeight="1">
      <c r="A21" s="119"/>
      <c r="B21" s="189"/>
      <c r="C21" s="171"/>
      <c r="D21" s="181"/>
      <c r="E21" s="171">
        <v>2</v>
      </c>
      <c r="F21" s="181">
        <v>15245</v>
      </c>
      <c r="G21" s="181">
        <v>17965</v>
      </c>
      <c r="H21" s="181">
        <v>20892</v>
      </c>
      <c r="I21" s="181">
        <v>24074</v>
      </c>
      <c r="J21" s="181">
        <v>27351</v>
      </c>
      <c r="K21" s="181"/>
      <c r="M21">
        <v>697.57282806365151</v>
      </c>
      <c r="N21" s="176">
        <v>15190</v>
      </c>
      <c r="O21" s="176">
        <v>342</v>
      </c>
      <c r="P21" s="176">
        <v>688</v>
      </c>
      <c r="Q21" s="176">
        <v>14202</v>
      </c>
      <c r="R21" s="119">
        <v>337</v>
      </c>
      <c r="S21" s="129">
        <f t="shared" ref="S21" si="25">ROUND((N21-14000)/N21*100,2)</f>
        <v>7.83</v>
      </c>
      <c r="T21" s="124">
        <f>ROUND((Q21-14000)/Q21*100,2)</f>
        <v>1.42</v>
      </c>
      <c r="U21" s="124"/>
      <c r="V21" s="131">
        <f t="shared" si="1"/>
        <v>2.2509999999999999</v>
      </c>
      <c r="W21" s="145">
        <f t="shared" si="2"/>
        <v>1.42</v>
      </c>
      <c r="Y21" s="150" t="s">
        <v>210</v>
      </c>
      <c r="Z21" s="130">
        <v>2</v>
      </c>
      <c r="AA21" s="130">
        <v>6089</v>
      </c>
      <c r="AB21" s="130">
        <v>8132</v>
      </c>
      <c r="AC21" s="130">
        <v>9302</v>
      </c>
      <c r="AD21" s="130">
        <v>10571</v>
      </c>
      <c r="AE21" s="130">
        <v>11921</v>
      </c>
      <c r="AF21" s="130">
        <v>13380</v>
      </c>
      <c r="AG21" s="130">
        <v>10529</v>
      </c>
      <c r="AH21" s="130">
        <v>858.49430286378413</v>
      </c>
      <c r="AI21" s="119"/>
      <c r="AJ21" s="119"/>
      <c r="AK21" s="119"/>
    </row>
    <row r="22" spans="1:37" ht="15.75" customHeight="1">
      <c r="A22" s="119"/>
      <c r="B22" s="189"/>
      <c r="C22" s="171"/>
      <c r="D22" s="181"/>
      <c r="E22" s="171">
        <v>3</v>
      </c>
      <c r="F22" s="181">
        <v>38613</v>
      </c>
      <c r="G22" s="181">
        <v>44708</v>
      </c>
      <c r="H22" s="181">
        <v>51421</v>
      </c>
      <c r="I22" s="181">
        <v>58497</v>
      </c>
      <c r="J22" s="181">
        <v>64417</v>
      </c>
      <c r="K22" s="181"/>
      <c r="M22">
        <v>725.96554143196113</v>
      </c>
      <c r="N22" s="176">
        <v>45100</v>
      </c>
      <c r="O22" s="176">
        <v>393</v>
      </c>
      <c r="P22" s="176"/>
      <c r="Q22" s="176"/>
      <c r="R22" s="119"/>
      <c r="S22" s="129">
        <f t="shared" ref="S22" si="26">ROUND((N22-45000)/N22*100,2)</f>
        <v>0.22</v>
      </c>
      <c r="T22" s="124">
        <f t="shared" ref="T22" si="27">ROUND((N22-45000)/N22*100,2)</f>
        <v>0.22</v>
      </c>
      <c r="U22" s="124">
        <f>ROUND((AG22-AD22)/AG22*100,2)</f>
        <v>-0.17</v>
      </c>
      <c r="V22" s="131" t="e">
        <f>ROUND(AJ22/AI22*100,3)</f>
        <v>#DIV/0!</v>
      </c>
      <c r="W22" s="145">
        <f t="shared" si="2"/>
        <v>0.22</v>
      </c>
      <c r="Y22" s="151" t="s">
        <v>211</v>
      </c>
      <c r="Z22" s="130">
        <v>3</v>
      </c>
      <c r="AA22" s="130">
        <v>16768</v>
      </c>
      <c r="AB22" s="130">
        <v>21829</v>
      </c>
      <c r="AC22" s="130">
        <v>24619</v>
      </c>
      <c r="AD22" s="130">
        <v>27613</v>
      </c>
      <c r="AE22" s="130">
        <v>30730</v>
      </c>
      <c r="AF22" s="130">
        <v>34056</v>
      </c>
      <c r="AG22" s="130">
        <v>27567</v>
      </c>
      <c r="AH22" s="151">
        <v>921.81823222933247</v>
      </c>
      <c r="AI22" s="119"/>
      <c r="AJ22" s="119"/>
      <c r="AK22" s="119"/>
    </row>
    <row r="23" spans="1:37" ht="15.75" customHeight="1">
      <c r="A23" s="119"/>
      <c r="B23" s="129" t="s">
        <v>212</v>
      </c>
      <c r="C23" s="130" t="s">
        <v>213</v>
      </c>
      <c r="D23" s="119"/>
      <c r="E23" s="130">
        <v>1</v>
      </c>
      <c r="F23" s="130">
        <v>1306</v>
      </c>
      <c r="G23" s="130">
        <v>1975</v>
      </c>
      <c r="H23" s="130">
        <v>2363</v>
      </c>
      <c r="I23" s="130">
        <v>2805</v>
      </c>
      <c r="J23" s="130">
        <v>3288</v>
      </c>
      <c r="K23" s="130">
        <v>3835</v>
      </c>
      <c r="L23" s="130">
        <v>2743</v>
      </c>
      <c r="M23" s="130">
        <v>757.55465798384432</v>
      </c>
      <c r="N23" s="130">
        <v>2047</v>
      </c>
      <c r="O23" s="130">
        <v>262</v>
      </c>
      <c r="P23" s="130">
        <v>761</v>
      </c>
      <c r="Q23" s="130">
        <v>2103</v>
      </c>
      <c r="R23" s="124">
        <v>263</v>
      </c>
      <c r="S23" s="129">
        <f t="shared" ref="S23" si="28">ROUND((N23-2100)/N23*100,2)</f>
        <v>-2.59</v>
      </c>
      <c r="T23" s="124">
        <f>ROUND((Q23-2100)/Q23*100,2)</f>
        <v>0.14000000000000001</v>
      </c>
      <c r="U23" s="124">
        <f t="shared" si="0"/>
        <v>-2.2599999999999998</v>
      </c>
      <c r="V23" s="131">
        <f t="shared" si="1"/>
        <v>12.798999999999999</v>
      </c>
      <c r="W23" s="145">
        <f t="shared" si="2"/>
        <v>0.14000000000000001</v>
      </c>
    </row>
    <row r="24" spans="1:37" ht="15.75" customHeight="1">
      <c r="A24" s="119"/>
      <c r="B24" s="129"/>
      <c r="C24" s="119"/>
      <c r="D24" s="119"/>
      <c r="E24" s="130">
        <v>2</v>
      </c>
      <c r="F24" s="130">
        <v>9065</v>
      </c>
      <c r="G24" s="130">
        <v>12958</v>
      </c>
      <c r="H24" s="130">
        <v>15326</v>
      </c>
      <c r="I24" s="130">
        <v>18029</v>
      </c>
      <c r="J24" s="130">
        <v>21117</v>
      </c>
      <c r="K24" s="130">
        <v>24637</v>
      </c>
      <c r="L24" s="130">
        <v>17855</v>
      </c>
      <c r="M24" s="130">
        <v>760.77564156592643</v>
      </c>
      <c r="N24" s="130">
        <v>13792</v>
      </c>
      <c r="O24" s="130">
        <v>313</v>
      </c>
      <c r="P24" s="119"/>
      <c r="Q24" s="119"/>
      <c r="R24" s="124"/>
      <c r="S24" s="129">
        <f t="shared" ref="S24" si="29">ROUND((N24-14000)/N24*100,2)</f>
        <v>-1.51</v>
      </c>
      <c r="T24" s="124">
        <f t="shared" ref="T24" si="30">ROUND((N24-14000)/N24*100,2)</f>
        <v>-1.51</v>
      </c>
      <c r="U24" s="124">
        <f t="shared" si="0"/>
        <v>-0.97</v>
      </c>
      <c r="V24" s="131">
        <f t="shared" si="1"/>
        <v>2.2690000000000001</v>
      </c>
      <c r="W24" s="145">
        <f t="shared" si="2"/>
        <v>1.51</v>
      </c>
    </row>
    <row r="25" spans="1:37" ht="15.75" customHeight="1">
      <c r="A25" s="119"/>
      <c r="B25" s="129"/>
      <c r="C25" s="119"/>
      <c r="D25" s="119"/>
      <c r="E25" s="130">
        <v>3</v>
      </c>
      <c r="F25" s="130">
        <v>26026</v>
      </c>
      <c r="G25" s="130">
        <v>37166</v>
      </c>
      <c r="H25" s="130">
        <v>43727</v>
      </c>
      <c r="I25" s="130">
        <v>51708</v>
      </c>
      <c r="J25" s="130">
        <v>58746</v>
      </c>
      <c r="K25" s="130">
        <v>64796</v>
      </c>
      <c r="L25" s="130">
        <v>51537</v>
      </c>
      <c r="M25" s="130">
        <v>776.77298855010986</v>
      </c>
      <c r="N25" s="130">
        <v>44151</v>
      </c>
      <c r="O25" s="130">
        <v>428</v>
      </c>
      <c r="P25" s="130">
        <v>780</v>
      </c>
      <c r="Q25" s="130">
        <v>45158</v>
      </c>
      <c r="R25" s="124"/>
      <c r="S25" s="129">
        <f t="shared" ref="S25" si="31">ROUND((N25-45000)/N25*100,2)</f>
        <v>-1.92</v>
      </c>
      <c r="T25" s="124">
        <f>ROUND((Q25-45000)/Q25*100,2)</f>
        <v>0.35</v>
      </c>
      <c r="U25" s="124">
        <f t="shared" si="0"/>
        <v>-0.33</v>
      </c>
      <c r="V25" s="131">
        <f t="shared" si="1"/>
        <v>0.96899999999999997</v>
      </c>
      <c r="W25" s="145">
        <f t="shared" si="2"/>
        <v>0.35</v>
      </c>
      <c r="Y25" s="8" t="s">
        <v>214</v>
      </c>
    </row>
    <row r="26" spans="1:37" ht="15.75" customHeight="1">
      <c r="A26" s="119"/>
      <c r="B26" s="129" t="s">
        <v>215</v>
      </c>
      <c r="C26" s="130" t="s">
        <v>216</v>
      </c>
      <c r="D26" s="119"/>
      <c r="E26" s="130">
        <v>1</v>
      </c>
      <c r="F26" s="130">
        <v>1998</v>
      </c>
      <c r="G26" s="130">
        <v>2843</v>
      </c>
      <c r="H26" s="130">
        <v>3354</v>
      </c>
      <c r="I26" s="130">
        <v>3921</v>
      </c>
      <c r="J26" s="130">
        <v>4551</v>
      </c>
      <c r="K26" s="130">
        <v>5257</v>
      </c>
      <c r="L26" s="130">
        <v>3890</v>
      </c>
      <c r="M26" s="130">
        <v>706.09271763447555</v>
      </c>
      <c r="N26" s="130">
        <v>2067</v>
      </c>
      <c r="O26" s="130">
        <v>295</v>
      </c>
      <c r="P26" s="130">
        <v>708</v>
      </c>
      <c r="Q26" s="130">
        <v>2098</v>
      </c>
      <c r="R26" s="130">
        <v>294</v>
      </c>
      <c r="S26" s="129">
        <f t="shared" ref="S26" si="32">ROUND((N26-2100)/N26*100,2)</f>
        <v>-1.6</v>
      </c>
      <c r="T26" s="124">
        <f>ROUND((Q26-2100)/Q26*100,2)</f>
        <v>-0.1</v>
      </c>
      <c r="U26" s="124">
        <f t="shared" si="0"/>
        <v>-0.8</v>
      </c>
      <c r="V26" s="131">
        <f t="shared" si="1"/>
        <v>14.272</v>
      </c>
      <c r="W26" s="145">
        <f t="shared" si="2"/>
        <v>0.1</v>
      </c>
    </row>
    <row r="27" spans="1:37" ht="15.75" customHeight="1">
      <c r="A27" s="119"/>
      <c r="B27" s="129"/>
      <c r="C27" s="119"/>
      <c r="D27" s="119"/>
      <c r="E27" s="130">
        <v>2</v>
      </c>
      <c r="F27" s="130">
        <v>12490</v>
      </c>
      <c r="G27" s="130">
        <v>16940</v>
      </c>
      <c r="H27" s="130">
        <v>19500</v>
      </c>
      <c r="I27" s="130">
        <v>22290</v>
      </c>
      <c r="J27" s="130">
        <v>25306</v>
      </c>
      <c r="K27" s="130">
        <v>28573</v>
      </c>
      <c r="L27" s="130">
        <v>22265</v>
      </c>
      <c r="M27" s="130">
        <v>717.46347578372161</v>
      </c>
      <c r="N27" s="130">
        <v>13923</v>
      </c>
      <c r="O27" s="130">
        <v>386</v>
      </c>
      <c r="P27" s="119"/>
      <c r="Q27" s="119"/>
      <c r="R27" s="124"/>
      <c r="S27" s="129">
        <f t="shared" ref="S27" si="33">ROUND((N27-14000)/N27*100,2)</f>
        <v>-0.55000000000000004</v>
      </c>
      <c r="T27" s="124">
        <f t="shared" ref="T27" si="34">ROUND((N27-14000)/N27*100,2)</f>
        <v>-0.55000000000000004</v>
      </c>
      <c r="U27" s="124">
        <f t="shared" si="0"/>
        <v>-0.11</v>
      </c>
      <c r="V27" s="131">
        <f t="shared" si="1"/>
        <v>2.7719999999999998</v>
      </c>
      <c r="W27" s="145">
        <f t="shared" si="2"/>
        <v>0.55000000000000004</v>
      </c>
    </row>
    <row r="28" spans="1:37" ht="15.75" customHeight="1">
      <c r="A28" s="119"/>
      <c r="B28" s="129"/>
      <c r="C28" s="119"/>
      <c r="D28" s="119"/>
      <c r="E28" s="130">
        <v>3</v>
      </c>
      <c r="F28" s="130">
        <v>32188</v>
      </c>
      <c r="G28" s="130">
        <v>42638</v>
      </c>
      <c r="H28" s="130">
        <v>48614</v>
      </c>
      <c r="I28" s="130">
        <v>55048</v>
      </c>
      <c r="J28" s="130">
        <v>60537</v>
      </c>
      <c r="K28" s="130" t="s">
        <v>34</v>
      </c>
      <c r="L28" s="130">
        <v>55175</v>
      </c>
      <c r="M28" s="130">
        <v>758.8830579398782</v>
      </c>
      <c r="N28" s="130">
        <v>44778</v>
      </c>
      <c r="O28" s="130">
        <v>407</v>
      </c>
      <c r="P28" s="119"/>
      <c r="Q28" s="119"/>
      <c r="R28" s="124"/>
      <c r="S28" s="129">
        <f t="shared" ref="S28" si="35">ROUND((N28-45000)/N28*100,2)</f>
        <v>-0.5</v>
      </c>
      <c r="T28" s="124">
        <f>ROUND((N28-45000)/N28*100,2)</f>
        <v>-0.5</v>
      </c>
      <c r="U28" s="124">
        <f t="shared" si="0"/>
        <v>0.23</v>
      </c>
      <c r="V28" s="131">
        <f t="shared" si="1"/>
        <v>0.90900000000000003</v>
      </c>
      <c r="W28" s="145">
        <f t="shared" si="2"/>
        <v>0.5</v>
      </c>
    </row>
    <row r="29" spans="1:37" ht="15.75" customHeight="1">
      <c r="A29" s="119"/>
      <c r="B29" s="129" t="s">
        <v>217</v>
      </c>
      <c r="C29" s="130" t="s">
        <v>218</v>
      </c>
      <c r="D29" s="130" t="s">
        <v>219</v>
      </c>
      <c r="E29" s="130">
        <v>1</v>
      </c>
      <c r="F29" s="130">
        <v>1737</v>
      </c>
      <c r="G29" s="130">
        <v>2476</v>
      </c>
      <c r="H29" s="130">
        <v>2927</v>
      </c>
      <c r="I29" s="130">
        <v>3433</v>
      </c>
      <c r="J29" s="130">
        <v>3991</v>
      </c>
      <c r="K29" s="130">
        <v>4623</v>
      </c>
      <c r="L29" s="130">
        <v>3385</v>
      </c>
      <c r="M29" s="130">
        <v>725.181327372542</v>
      </c>
      <c r="N29" s="130">
        <v>2049</v>
      </c>
      <c r="O29" s="130">
        <v>268</v>
      </c>
      <c r="P29" s="130">
        <v>728</v>
      </c>
      <c r="Q29" s="130">
        <v>2098</v>
      </c>
      <c r="R29" s="124">
        <v>266</v>
      </c>
      <c r="S29" s="129">
        <f t="shared" ref="S29" si="36">ROUND((N29-2100)/N29*100,2)</f>
        <v>-2.4900000000000002</v>
      </c>
      <c r="T29" s="124">
        <f>ROUND((Q29-2100)/Q29*100,2)</f>
        <v>-0.1</v>
      </c>
      <c r="U29" s="124">
        <f t="shared" si="0"/>
        <v>-1.42</v>
      </c>
      <c r="V29" s="131">
        <f t="shared" si="1"/>
        <v>13.08</v>
      </c>
      <c r="W29" s="145">
        <f t="shared" si="2"/>
        <v>0.1</v>
      </c>
      <c r="Z29" s="57">
        <v>0.4</v>
      </c>
    </row>
    <row r="30" spans="1:37" ht="15.75" customHeight="1">
      <c r="A30" s="119"/>
      <c r="B30" s="129"/>
      <c r="C30" s="119"/>
      <c r="D30" s="130" t="s">
        <v>220</v>
      </c>
      <c r="E30" s="130">
        <v>2</v>
      </c>
      <c r="F30" s="130">
        <v>11418</v>
      </c>
      <c r="G30" s="130">
        <v>15681</v>
      </c>
      <c r="H30" s="130">
        <v>18182</v>
      </c>
      <c r="I30" s="130">
        <v>20945</v>
      </c>
      <c r="J30" s="130">
        <v>23990</v>
      </c>
      <c r="K30" s="130">
        <v>27278</v>
      </c>
      <c r="L30" s="130">
        <v>20768</v>
      </c>
      <c r="M30" s="130">
        <v>730.45054295406158</v>
      </c>
      <c r="N30" s="130">
        <v>13774</v>
      </c>
      <c r="O30" s="130">
        <v>311</v>
      </c>
      <c r="P30" s="130">
        <v>733</v>
      </c>
      <c r="Q30" s="130">
        <v>14011</v>
      </c>
      <c r="R30" s="124">
        <v>309</v>
      </c>
      <c r="S30" s="129">
        <f t="shared" ref="S30" si="37">ROUND((N30-14000)/N30*100,2)</f>
        <v>-1.64</v>
      </c>
      <c r="T30" s="124">
        <f>ROUND((Q30-14000)/Q30*100,2)</f>
        <v>0.08</v>
      </c>
      <c r="U30" s="124">
        <f t="shared" si="0"/>
        <v>-0.85</v>
      </c>
      <c r="V30" s="131">
        <f t="shared" si="1"/>
        <v>2.258</v>
      </c>
      <c r="W30" s="145">
        <f t="shared" si="2"/>
        <v>0.08</v>
      </c>
    </row>
    <row r="31" spans="1:37" ht="15.75" customHeight="1" thickBot="1">
      <c r="A31" s="119"/>
      <c r="B31" s="129"/>
      <c r="C31" s="124"/>
      <c r="D31" s="124"/>
      <c r="E31" s="124">
        <v>3</v>
      </c>
      <c r="F31" s="124">
        <v>29191</v>
      </c>
      <c r="G31" s="124">
        <v>38731</v>
      </c>
      <c r="H31" s="124">
        <v>44127</v>
      </c>
      <c r="I31" s="124">
        <v>49982</v>
      </c>
      <c r="J31" s="124">
        <v>56182</v>
      </c>
      <c r="K31" s="124">
        <v>61719</v>
      </c>
      <c r="L31" s="124">
        <v>49864</v>
      </c>
      <c r="M31" s="124">
        <v>777.49852326670566</v>
      </c>
      <c r="N31" s="124">
        <v>44580</v>
      </c>
      <c r="O31" s="124">
        <v>371</v>
      </c>
      <c r="P31" s="124">
        <v>779</v>
      </c>
      <c r="Q31" s="124">
        <v>44984</v>
      </c>
      <c r="R31" s="124">
        <v>367</v>
      </c>
      <c r="S31" s="129">
        <f t="shared" ref="S31" si="38">ROUND((N31-45000)/N31*100,2)</f>
        <v>-0.94</v>
      </c>
      <c r="T31" s="124">
        <f>ROUND((Q31-45000)/Q31*100,2)</f>
        <v>-0.04</v>
      </c>
      <c r="U31" s="124">
        <f t="shared" si="0"/>
        <v>-0.24</v>
      </c>
      <c r="V31" s="131">
        <f t="shared" si="1"/>
        <v>0.83199999999999996</v>
      </c>
      <c r="W31" s="145">
        <f t="shared" si="2"/>
        <v>0.04</v>
      </c>
    </row>
    <row r="32" spans="1:37" ht="15.75" customHeight="1" thickBot="1">
      <c r="A32" s="39" t="s">
        <v>221</v>
      </c>
      <c r="B32" s="125" t="s">
        <v>222</v>
      </c>
      <c r="C32" s="126" t="s">
        <v>223</v>
      </c>
      <c r="D32" s="126" t="s">
        <v>224</v>
      </c>
      <c r="E32" s="126">
        <v>1</v>
      </c>
      <c r="F32" s="126">
        <v>1666</v>
      </c>
      <c r="G32" s="126">
        <v>2471</v>
      </c>
      <c r="H32" s="126">
        <v>2962</v>
      </c>
      <c r="I32" s="126">
        <v>3506</v>
      </c>
      <c r="J32" s="126">
        <v>4112</v>
      </c>
      <c r="K32" s="126">
        <v>4789</v>
      </c>
      <c r="L32" s="126">
        <v>3526</v>
      </c>
      <c r="M32" s="126">
        <v>727.49123533952445</v>
      </c>
      <c r="N32" s="126">
        <v>2068</v>
      </c>
      <c r="O32" s="126">
        <v>309</v>
      </c>
      <c r="P32" s="126">
        <v>728.5</v>
      </c>
      <c r="Q32" s="126">
        <v>2083</v>
      </c>
      <c r="R32" s="128">
        <v>304</v>
      </c>
      <c r="S32" s="124">
        <f t="shared" ref="S32" si="39">ROUND((N32-2100)/N32*100,2)</f>
        <v>-1.55</v>
      </c>
      <c r="T32" s="124">
        <f>ROUND((Q32-2100)/Q32*100,2)</f>
        <v>-0.82</v>
      </c>
      <c r="U32" s="124">
        <f t="shared" si="0"/>
        <v>0.56999999999999995</v>
      </c>
      <c r="V32" s="131">
        <f t="shared" si="1"/>
        <v>14.942</v>
      </c>
      <c r="W32" s="145">
        <f t="shared" si="2"/>
        <v>0.82</v>
      </c>
    </row>
    <row r="33" spans="1:24" ht="15.75" customHeight="1">
      <c r="A33" s="119"/>
      <c r="B33" s="129"/>
      <c r="C33" s="119"/>
      <c r="D33" s="119"/>
      <c r="E33" s="130">
        <v>2</v>
      </c>
      <c r="F33" s="130">
        <v>11140</v>
      </c>
      <c r="G33" s="130">
        <v>15479</v>
      </c>
      <c r="H33" s="130">
        <v>17988</v>
      </c>
      <c r="I33" s="130">
        <v>20784</v>
      </c>
      <c r="J33" s="130">
        <v>23802</v>
      </c>
      <c r="K33" s="130">
        <v>27070</v>
      </c>
      <c r="L33" s="130">
        <v>20744</v>
      </c>
      <c r="M33" s="130">
        <v>733.81615485916416</v>
      </c>
      <c r="N33" s="130">
        <v>13868</v>
      </c>
      <c r="O33" s="130">
        <v>338</v>
      </c>
      <c r="P33" s="119"/>
      <c r="Q33" s="119"/>
      <c r="R33" s="131"/>
      <c r="S33" s="124">
        <f t="shared" ref="S33" si="40">ROUND((N33-14000)/N33*100,2)</f>
        <v>-0.95</v>
      </c>
      <c r="T33" s="124">
        <f t="shared" ref="T33" si="41">ROUND((N33-14000)/N33*100,2)</f>
        <v>-0.95</v>
      </c>
      <c r="U33" s="124">
        <f t="shared" si="0"/>
        <v>-0.19</v>
      </c>
      <c r="V33" s="131">
        <f t="shared" si="1"/>
        <v>2.4369999999999998</v>
      </c>
      <c r="W33" s="145">
        <f t="shared" si="2"/>
        <v>0.95</v>
      </c>
    </row>
    <row r="34" spans="1:24" ht="15.75" customHeight="1">
      <c r="A34" s="119"/>
      <c r="B34" s="129"/>
      <c r="C34" s="119"/>
      <c r="D34" s="119"/>
      <c r="E34" s="130">
        <v>3</v>
      </c>
      <c r="F34" s="130">
        <v>28947</v>
      </c>
      <c r="G34" s="130">
        <v>38883</v>
      </c>
      <c r="H34" s="130">
        <v>44662</v>
      </c>
      <c r="I34" s="130">
        <v>50967</v>
      </c>
      <c r="J34" s="130">
        <v>57572</v>
      </c>
      <c r="K34" s="130">
        <v>63074</v>
      </c>
      <c r="L34" s="130">
        <v>50900</v>
      </c>
      <c r="M34" s="124">
        <v>775.187427755616</v>
      </c>
      <c r="N34" s="130">
        <v>44465</v>
      </c>
      <c r="O34" s="130">
        <v>418</v>
      </c>
      <c r="P34" s="130">
        <v>777</v>
      </c>
      <c r="Q34" s="130">
        <v>44997</v>
      </c>
      <c r="R34" s="131">
        <v>418</v>
      </c>
      <c r="S34" s="124">
        <f t="shared" ref="S34" si="42">ROUND((N34-45000)/N34*100,2)</f>
        <v>-1.2</v>
      </c>
      <c r="T34" s="124">
        <f>ROUND((Q34-45000)/Q34*100,2)</f>
        <v>-0.01</v>
      </c>
      <c r="U34" s="124">
        <f t="shared" si="0"/>
        <v>-0.13</v>
      </c>
      <c r="V34" s="131">
        <f t="shared" si="1"/>
        <v>0.94</v>
      </c>
      <c r="W34" s="145">
        <f t="shared" si="2"/>
        <v>0.01</v>
      </c>
    </row>
    <row r="35" spans="1:24" ht="15.75" customHeight="1">
      <c r="A35" s="119"/>
      <c r="B35" s="129" t="s">
        <v>225</v>
      </c>
      <c r="C35" s="130" t="s">
        <v>226</v>
      </c>
      <c r="D35" s="130" t="s">
        <v>227</v>
      </c>
      <c r="E35" s="130">
        <v>1</v>
      </c>
      <c r="F35" s="130">
        <v>981</v>
      </c>
      <c r="G35" s="130">
        <v>1466</v>
      </c>
      <c r="H35" s="130">
        <v>1788</v>
      </c>
      <c r="I35" s="130">
        <v>2140</v>
      </c>
      <c r="J35" s="130">
        <v>2547</v>
      </c>
      <c r="K35" s="130">
        <v>3002</v>
      </c>
      <c r="L35" s="130">
        <v>2147</v>
      </c>
      <c r="M35" s="130">
        <v>797.5048623678822</v>
      </c>
      <c r="N35" s="130">
        <v>2108</v>
      </c>
      <c r="O35" s="130">
        <v>270</v>
      </c>
      <c r="P35" s="119"/>
      <c r="Q35" s="119"/>
      <c r="R35" s="131"/>
      <c r="S35" s="124">
        <f t="shared" ref="S35" si="43">ROUND((N35-2100)/N35*100,2)</f>
        <v>0.38</v>
      </c>
      <c r="T35" s="124">
        <f t="shared" ref="T35" si="44">ROUND((N35-2100)/N35*100,2)</f>
        <v>0.38</v>
      </c>
      <c r="U35" s="124">
        <f t="shared" si="0"/>
        <v>0.33</v>
      </c>
      <c r="V35" s="131">
        <f t="shared" si="1"/>
        <v>12.808</v>
      </c>
      <c r="W35" s="145">
        <f t="shared" si="2"/>
        <v>0.38</v>
      </c>
    </row>
    <row r="36" spans="1:24" ht="15.75" customHeight="1">
      <c r="A36" s="119"/>
      <c r="B36" s="129"/>
      <c r="C36" s="119"/>
      <c r="D36" s="119"/>
      <c r="E36" s="130">
        <v>2</v>
      </c>
      <c r="F36" s="130">
        <v>7049</v>
      </c>
      <c r="G36" s="130">
        <v>10078</v>
      </c>
      <c r="H36" s="130">
        <v>11916</v>
      </c>
      <c r="I36" s="130">
        <v>13969</v>
      </c>
      <c r="J36" s="130">
        <v>16278</v>
      </c>
      <c r="K36" s="130">
        <v>18888</v>
      </c>
      <c r="L36" s="130">
        <v>14083</v>
      </c>
      <c r="M36" s="124">
        <v>800.36830938543505</v>
      </c>
      <c r="N36" s="130">
        <v>14004</v>
      </c>
      <c r="O36" s="130">
        <v>320</v>
      </c>
      <c r="P36" s="119"/>
      <c r="Q36" s="119"/>
      <c r="R36" s="131"/>
      <c r="S36" s="124">
        <f t="shared" ref="S36" si="45">ROUND((N36-14000)/N36*100,2)</f>
        <v>0.03</v>
      </c>
      <c r="T36" s="124">
        <f t="shared" ref="T36" si="46">ROUND((N36-14000)/N36*100,2)</f>
        <v>0.03</v>
      </c>
      <c r="U36" s="124">
        <f t="shared" si="0"/>
        <v>0.81</v>
      </c>
      <c r="V36" s="131">
        <f t="shared" si="1"/>
        <v>2.2850000000000001</v>
      </c>
      <c r="W36" s="145">
        <f t="shared" si="2"/>
        <v>0.03</v>
      </c>
    </row>
    <row r="37" spans="1:24" ht="15.75" customHeight="1">
      <c r="A37" s="119"/>
      <c r="B37" s="129"/>
      <c r="C37" s="119"/>
      <c r="D37" s="119"/>
      <c r="E37" s="130">
        <v>3</v>
      </c>
      <c r="F37" s="130">
        <v>20049</v>
      </c>
      <c r="G37" s="130">
        <v>28130</v>
      </c>
      <c r="H37" s="130">
        <v>32962</v>
      </c>
      <c r="I37" s="130">
        <v>38281</v>
      </c>
      <c r="J37" s="130">
        <v>44049</v>
      </c>
      <c r="K37" s="130">
        <v>50863</v>
      </c>
      <c r="L37" s="130">
        <v>38394</v>
      </c>
      <c r="M37" s="130">
        <v>828.48465660392617</v>
      </c>
      <c r="N37" s="130">
        <v>44924</v>
      </c>
      <c r="O37" s="130">
        <v>416</v>
      </c>
      <c r="P37" s="119"/>
      <c r="Q37" s="119"/>
      <c r="R37" s="131"/>
      <c r="S37" s="124">
        <f t="shared" ref="S37" si="47">ROUND((N37-45000)/N37*100,2)</f>
        <v>-0.17</v>
      </c>
      <c r="T37" s="124">
        <f t="shared" ref="T37" si="48">ROUND((N37-45000)/N37*100,2)</f>
        <v>-0.17</v>
      </c>
      <c r="U37" s="124">
        <f t="shared" si="0"/>
        <v>0.28999999999999998</v>
      </c>
      <c r="V37" s="131">
        <f t="shared" si="1"/>
        <v>0.92600000000000005</v>
      </c>
      <c r="W37" s="145">
        <f t="shared" si="2"/>
        <v>0.17</v>
      </c>
    </row>
    <row r="38" spans="1:24" ht="15.75" customHeight="1">
      <c r="A38" s="119"/>
      <c r="B38" s="129" t="s">
        <v>228</v>
      </c>
      <c r="C38" s="130" t="s">
        <v>229</v>
      </c>
      <c r="D38" s="130" t="s">
        <v>230</v>
      </c>
      <c r="E38" s="130">
        <v>1</v>
      </c>
      <c r="F38" s="130">
        <v>1208</v>
      </c>
      <c r="G38" s="130">
        <v>1857</v>
      </c>
      <c r="H38" s="130">
        <v>2219</v>
      </c>
      <c r="I38" s="130">
        <v>2636</v>
      </c>
      <c r="J38" s="130">
        <v>3104</v>
      </c>
      <c r="K38" s="130">
        <v>3625</v>
      </c>
      <c r="L38" s="130">
        <v>2579</v>
      </c>
      <c r="M38" s="130">
        <v>766.91209548745292</v>
      </c>
      <c r="N38" s="130">
        <v>2096</v>
      </c>
      <c r="O38" s="130">
        <v>266</v>
      </c>
      <c r="P38" s="119"/>
      <c r="Q38" s="119"/>
      <c r="R38" s="131"/>
      <c r="S38" s="124">
        <f t="shared" ref="S38" si="49">ROUND((N38-2100)/N38*100,2)</f>
        <v>-0.19</v>
      </c>
      <c r="T38" s="124">
        <f t="shared" ref="T38" si="50">ROUND((N38-2100)/N38*100,2)</f>
        <v>-0.19</v>
      </c>
      <c r="U38" s="124">
        <f t="shared" si="0"/>
        <v>-2.21</v>
      </c>
      <c r="V38" s="131">
        <f t="shared" si="1"/>
        <v>12.691000000000001</v>
      </c>
      <c r="W38" s="145">
        <f t="shared" si="2"/>
        <v>0.19</v>
      </c>
    </row>
    <row r="39" spans="1:24" ht="15.75" customHeight="1">
      <c r="A39" s="119"/>
      <c r="B39" s="129"/>
      <c r="C39" s="119"/>
      <c r="D39" s="119"/>
      <c r="E39" s="130">
        <v>2</v>
      </c>
      <c r="F39" s="130">
        <v>8425</v>
      </c>
      <c r="G39" s="130">
        <v>12020</v>
      </c>
      <c r="H39" s="130">
        <v>14222</v>
      </c>
      <c r="I39" s="130">
        <v>16724</v>
      </c>
      <c r="J39" s="130">
        <v>19581</v>
      </c>
      <c r="K39" s="130">
        <v>22799</v>
      </c>
      <c r="L39" s="130">
        <v>16595</v>
      </c>
      <c r="M39" s="130">
        <v>772.76185125504833</v>
      </c>
      <c r="N39" s="130">
        <v>14003</v>
      </c>
      <c r="O39" s="130">
        <v>309</v>
      </c>
      <c r="P39" s="119"/>
      <c r="Q39" s="119"/>
      <c r="R39" s="131"/>
      <c r="S39" s="124">
        <f t="shared" ref="S39" si="51">ROUND((N39-14000)/N39*100,2)</f>
        <v>0.02</v>
      </c>
      <c r="T39" s="124">
        <f t="shared" ref="T39" si="52">ROUND((N39-14000)/N39*100,2)</f>
        <v>0.02</v>
      </c>
      <c r="U39" s="124">
        <f t="shared" si="0"/>
        <v>-0.78</v>
      </c>
      <c r="V39" s="131">
        <f t="shared" si="1"/>
        <v>2.2069999999999999</v>
      </c>
      <c r="W39" s="145">
        <f t="shared" si="2"/>
        <v>0.02</v>
      </c>
    </row>
    <row r="40" spans="1:24" ht="15.75" customHeight="1">
      <c r="A40" s="119"/>
      <c r="B40" s="129"/>
      <c r="C40" s="119"/>
      <c r="D40" s="119"/>
      <c r="E40" s="130">
        <v>3</v>
      </c>
      <c r="F40" s="130">
        <v>23836</v>
      </c>
      <c r="G40" s="130">
        <v>33885</v>
      </c>
      <c r="H40" s="130">
        <v>39879</v>
      </c>
      <c r="I40" s="130">
        <v>46767</v>
      </c>
      <c r="J40" s="130">
        <v>54484</v>
      </c>
      <c r="K40" s="130">
        <v>60885</v>
      </c>
      <c r="L40" s="130">
        <v>46825</v>
      </c>
      <c r="M40" s="130">
        <v>793.80229538448646</v>
      </c>
      <c r="N40" s="130">
        <v>44829</v>
      </c>
      <c r="O40" s="130">
        <v>411</v>
      </c>
      <c r="P40" s="119"/>
      <c r="Q40" s="119"/>
      <c r="R40" s="131"/>
      <c r="S40" s="124">
        <f t="shared" ref="S40" si="53">ROUND((N40-45000)/N40*100,2)</f>
        <v>-0.38</v>
      </c>
      <c r="T40" s="124">
        <f t="shared" ref="T40" si="54">ROUND((N40-45000)/N40*100,2)</f>
        <v>-0.38</v>
      </c>
      <c r="U40" s="124">
        <f t="shared" si="0"/>
        <v>0.12</v>
      </c>
      <c r="V40" s="131">
        <f t="shared" si="1"/>
        <v>0.91700000000000004</v>
      </c>
      <c r="W40" s="145">
        <f t="shared" si="2"/>
        <v>0.38</v>
      </c>
    </row>
    <row r="41" spans="1:24" ht="15.75" customHeight="1">
      <c r="A41" s="119"/>
      <c r="B41" s="129" t="s">
        <v>197</v>
      </c>
      <c r="C41" s="130" t="s">
        <v>231</v>
      </c>
      <c r="D41" s="130" t="s">
        <v>232</v>
      </c>
      <c r="E41" s="130">
        <v>1</v>
      </c>
      <c r="F41" s="130">
        <v>1282</v>
      </c>
      <c r="G41" s="130">
        <v>1966</v>
      </c>
      <c r="H41" s="130">
        <v>2357</v>
      </c>
      <c r="I41" s="130">
        <v>2801</v>
      </c>
      <c r="J41" s="130">
        <v>3303</v>
      </c>
      <c r="K41" s="130">
        <v>3865</v>
      </c>
      <c r="L41" s="130">
        <v>2722</v>
      </c>
      <c r="M41" s="130">
        <v>758.99181128223347</v>
      </c>
      <c r="N41" s="130">
        <v>2103</v>
      </c>
      <c r="O41" s="130">
        <v>290</v>
      </c>
      <c r="P41" s="119"/>
      <c r="Q41" s="119"/>
      <c r="R41" s="131"/>
      <c r="S41" s="124">
        <f t="shared" ref="S41" si="55">ROUND((N41-2100)/N41*100,2)</f>
        <v>0.14000000000000001</v>
      </c>
      <c r="T41" s="124">
        <f t="shared" ref="T41" si="56">ROUND((N41-2100)/N41*100,2)</f>
        <v>0.14000000000000001</v>
      </c>
      <c r="U41" s="124">
        <f t="shared" si="0"/>
        <v>-2.9</v>
      </c>
      <c r="V41" s="131">
        <f t="shared" si="1"/>
        <v>13.79</v>
      </c>
      <c r="W41" s="145">
        <f t="shared" si="2"/>
        <v>0.14000000000000001</v>
      </c>
    </row>
    <row r="42" spans="1:24" ht="15.75" customHeight="1">
      <c r="A42" s="119"/>
      <c r="B42" s="129"/>
      <c r="C42" s="119"/>
      <c r="D42" s="119"/>
      <c r="E42" s="130">
        <v>2</v>
      </c>
      <c r="F42" s="130">
        <v>9121</v>
      </c>
      <c r="G42" s="130">
        <v>13165</v>
      </c>
      <c r="H42" s="130">
        <v>15659</v>
      </c>
      <c r="I42" s="130">
        <v>18534</v>
      </c>
      <c r="J42" s="130">
        <v>21859</v>
      </c>
      <c r="K42" s="130">
        <v>25657</v>
      </c>
      <c r="L42" s="130">
        <v>18266</v>
      </c>
      <c r="M42" s="130">
        <v>758.82657815975858</v>
      </c>
      <c r="N42" s="130">
        <v>13966</v>
      </c>
      <c r="O42" s="130">
        <v>343</v>
      </c>
      <c r="P42" s="119"/>
      <c r="Q42" s="119"/>
      <c r="R42" s="131"/>
      <c r="S42" s="124">
        <f t="shared" ref="S42" si="57">ROUND((N42-14000)/N42*100,2)</f>
        <v>-0.24</v>
      </c>
      <c r="T42" s="124">
        <f t="shared" ref="T42" si="58">ROUND((N42-14000)/N42*100,2)</f>
        <v>-0.24</v>
      </c>
      <c r="U42" s="124">
        <f t="shared" si="0"/>
        <v>-1.47</v>
      </c>
      <c r="V42" s="131">
        <f t="shared" si="1"/>
        <v>2.456</v>
      </c>
      <c r="W42" s="145">
        <f t="shared" si="2"/>
        <v>0.24</v>
      </c>
    </row>
    <row r="43" spans="1:24" ht="15.75" customHeight="1">
      <c r="A43" s="119"/>
      <c r="B43" s="129"/>
      <c r="C43" s="119"/>
      <c r="D43" s="119"/>
      <c r="E43" s="130">
        <v>3</v>
      </c>
      <c r="F43" s="130">
        <v>26842</v>
      </c>
      <c r="G43" s="130">
        <v>38297</v>
      </c>
      <c r="H43" s="130">
        <v>45360</v>
      </c>
      <c r="I43" s="130">
        <v>53423</v>
      </c>
      <c r="J43" s="130">
        <v>60386</v>
      </c>
      <c r="K43" s="130" t="s">
        <v>34</v>
      </c>
      <c r="L43" s="130">
        <v>53325</v>
      </c>
      <c r="M43" s="130">
        <v>773.13125652726421</v>
      </c>
      <c r="N43" s="130">
        <v>44694</v>
      </c>
      <c r="O43" s="130">
        <v>440</v>
      </c>
      <c r="P43" s="130">
        <v>775</v>
      </c>
      <c r="Q43" s="130">
        <v>44991</v>
      </c>
      <c r="R43" s="131">
        <v>847</v>
      </c>
      <c r="S43" s="124">
        <f t="shared" ref="S43" si="59">ROUND((N43-45000)/N43*100,2)</f>
        <v>-0.68</v>
      </c>
      <c r="T43" s="124">
        <f>ROUND((Q43-45000)/Q43*100,2)</f>
        <v>-0.02</v>
      </c>
      <c r="U43" s="124">
        <f t="shared" si="0"/>
        <v>-0.18</v>
      </c>
      <c r="V43" s="131">
        <f t="shared" si="1"/>
        <v>0.98399999999999999</v>
      </c>
      <c r="W43" s="145">
        <f t="shared" si="2"/>
        <v>0.02</v>
      </c>
    </row>
    <row r="44" spans="1:24" ht="15.75" customHeight="1">
      <c r="A44" s="119"/>
      <c r="B44" s="157" t="s">
        <v>199</v>
      </c>
      <c r="C44" s="163" t="s">
        <v>233</v>
      </c>
      <c r="D44" s="130" t="s">
        <v>234</v>
      </c>
      <c r="E44" s="130">
        <v>1</v>
      </c>
      <c r="F44" s="130">
        <v>1202</v>
      </c>
      <c r="G44" s="130">
        <v>1813</v>
      </c>
      <c r="H44" s="130">
        <v>2152</v>
      </c>
      <c r="I44" s="130">
        <v>2539</v>
      </c>
      <c r="J44" s="130">
        <v>2965</v>
      </c>
      <c r="K44" s="130">
        <v>3441</v>
      </c>
      <c r="L44" s="154">
        <v>1951</v>
      </c>
      <c r="M44" s="130">
        <v>771.06583289288619</v>
      </c>
      <c r="N44" s="130">
        <v>2092</v>
      </c>
      <c r="O44" s="130">
        <v>265</v>
      </c>
      <c r="P44" s="119"/>
      <c r="Q44" s="119"/>
      <c r="R44" s="131"/>
      <c r="S44" s="124">
        <f t="shared" ref="S44" si="60">ROUND((N44-2100)/N44*100,2)</f>
        <v>-0.38</v>
      </c>
      <c r="T44" s="124">
        <f>ROUND((N44-2100)/N44*100,2)</f>
        <v>-0.38</v>
      </c>
      <c r="U44" s="124">
        <f t="shared" si="0"/>
        <v>-30.14</v>
      </c>
      <c r="V44" s="131">
        <f t="shared" si="1"/>
        <v>12.667</v>
      </c>
      <c r="W44" s="145">
        <f t="shared" si="2"/>
        <v>0.38</v>
      </c>
    </row>
    <row r="45" spans="1:24" ht="15.75" customHeight="1">
      <c r="A45" s="119"/>
      <c r="B45" s="129"/>
      <c r="C45" s="119"/>
      <c r="D45" s="119"/>
      <c r="E45" s="130">
        <v>2</v>
      </c>
      <c r="F45" s="130">
        <v>8621</v>
      </c>
      <c r="G45" s="130">
        <v>11977</v>
      </c>
      <c r="H45" s="130">
        <v>13979</v>
      </c>
      <c r="I45" s="130">
        <v>16225</v>
      </c>
      <c r="J45" s="130">
        <v>18729</v>
      </c>
      <c r="K45" s="130">
        <v>21512</v>
      </c>
      <c r="L45" s="154">
        <v>12709</v>
      </c>
      <c r="M45" s="130">
        <v>775.10533326281961</v>
      </c>
      <c r="N45" s="130">
        <v>13923</v>
      </c>
      <c r="O45" s="130">
        <v>310</v>
      </c>
      <c r="P45" s="119"/>
      <c r="Q45" s="119"/>
      <c r="R45" s="131"/>
      <c r="S45" s="124">
        <f t="shared" ref="S45" si="61">ROUND((N45-14000)/N45*100,2)</f>
        <v>-0.55000000000000004</v>
      </c>
      <c r="T45" s="124">
        <f>ROUND((N45-14000)/N45*100,2)</f>
        <v>-0.55000000000000004</v>
      </c>
      <c r="U45" s="124">
        <f t="shared" si="0"/>
        <v>-27.67</v>
      </c>
      <c r="V45" s="131">
        <f t="shared" si="1"/>
        <v>2.2269999999999999</v>
      </c>
      <c r="W45" s="145">
        <f t="shared" si="2"/>
        <v>0.55000000000000004</v>
      </c>
      <c r="X45" s="8" t="s">
        <v>235</v>
      </c>
    </row>
    <row r="46" spans="1:24" ht="15.75" customHeight="1">
      <c r="A46" s="119"/>
      <c r="B46" s="129"/>
      <c r="C46" s="119"/>
      <c r="D46" s="119"/>
      <c r="E46" s="130">
        <v>3</v>
      </c>
      <c r="F46" s="130">
        <v>23888</v>
      </c>
      <c r="G46" s="130">
        <v>32148</v>
      </c>
      <c r="H46" s="130">
        <v>37039</v>
      </c>
      <c r="I46" s="130">
        <v>42714</v>
      </c>
      <c r="J46" s="130">
        <v>49006</v>
      </c>
      <c r="K46" s="130">
        <v>55805</v>
      </c>
      <c r="L46" s="154">
        <v>34321</v>
      </c>
      <c r="M46" s="130">
        <v>809.65036762240106</v>
      </c>
      <c r="N46" s="130">
        <v>44910</v>
      </c>
      <c r="O46" s="130">
        <v>389</v>
      </c>
      <c r="P46" s="119"/>
      <c r="Q46" s="119"/>
      <c r="R46" s="131"/>
      <c r="S46" s="124">
        <f t="shared" ref="S46" si="62">ROUND((N46-45000)/N46*100,2)</f>
        <v>-0.2</v>
      </c>
      <c r="T46" s="124">
        <f>ROUND((N46-45000)/N46*100,2)</f>
        <v>-0.2</v>
      </c>
      <c r="U46" s="124">
        <f t="shared" si="0"/>
        <v>-24.45</v>
      </c>
      <c r="V46" s="131">
        <f t="shared" si="1"/>
        <v>0.86599999999999999</v>
      </c>
      <c r="W46" s="145">
        <f t="shared" si="2"/>
        <v>0.2</v>
      </c>
      <c r="X46" s="8" t="s">
        <v>236</v>
      </c>
    </row>
    <row r="47" spans="1:24" ht="15.75" customHeight="1">
      <c r="A47" s="119"/>
      <c r="B47" s="129" t="s">
        <v>237</v>
      </c>
      <c r="C47" s="130" t="s">
        <v>238</v>
      </c>
      <c r="D47" s="130" t="s">
        <v>239</v>
      </c>
      <c r="E47" s="130">
        <v>1</v>
      </c>
      <c r="F47" s="130">
        <v>1321</v>
      </c>
      <c r="G47" s="130">
        <v>1939</v>
      </c>
      <c r="H47" s="130">
        <v>2291</v>
      </c>
      <c r="I47" s="130">
        <v>2685</v>
      </c>
      <c r="J47" s="130">
        <v>3121</v>
      </c>
      <c r="K47" s="130">
        <v>3613</v>
      </c>
      <c r="L47" s="130">
        <v>2626</v>
      </c>
      <c r="M47" s="130">
        <v>761.57816542059265</v>
      </c>
      <c r="N47" s="130">
        <v>2089</v>
      </c>
      <c r="O47" s="130">
        <v>263</v>
      </c>
      <c r="P47" s="119"/>
      <c r="Q47" s="119"/>
      <c r="R47" s="131"/>
      <c r="S47" s="124">
        <f t="shared" ref="S47" si="63">ROUND((N47-2100)/N47*100,2)</f>
        <v>-0.53</v>
      </c>
      <c r="T47" s="124">
        <f t="shared" ref="T47" si="64">ROUND((N47-2100)/N47*100,2)</f>
        <v>-0.53</v>
      </c>
      <c r="U47" s="124">
        <f t="shared" si="0"/>
        <v>-2.25</v>
      </c>
      <c r="V47" s="131">
        <f t="shared" si="1"/>
        <v>12.59</v>
      </c>
      <c r="W47" s="145">
        <f t="shared" si="2"/>
        <v>0.53</v>
      </c>
    </row>
    <row r="48" spans="1:24" ht="15.75" customHeight="1">
      <c r="A48" s="119"/>
      <c r="B48" s="129"/>
      <c r="C48" s="119"/>
      <c r="D48" s="119"/>
      <c r="E48" s="130">
        <v>2</v>
      </c>
      <c r="F48" s="130">
        <v>8993</v>
      </c>
      <c r="G48" s="130">
        <v>12327</v>
      </c>
      <c r="H48" s="130">
        <v>14271</v>
      </c>
      <c r="I48" s="130">
        <v>16432</v>
      </c>
      <c r="J48" s="130">
        <v>18788</v>
      </c>
      <c r="K48" s="130">
        <v>21402</v>
      </c>
      <c r="L48" s="130">
        <v>16313</v>
      </c>
      <c r="M48" s="130">
        <v>771.41026042870476</v>
      </c>
      <c r="N48" s="130">
        <v>13937</v>
      </c>
      <c r="O48" s="130">
        <v>302</v>
      </c>
      <c r="P48" s="119"/>
      <c r="Q48" s="119"/>
      <c r="R48" s="131"/>
      <c r="S48" s="124">
        <f t="shared" ref="S48" si="65">ROUND((N48-14000)/N48*100,2)</f>
        <v>-0.45</v>
      </c>
      <c r="T48" s="124">
        <f t="shared" ref="T48" si="66">ROUND((N48-14000)/N48*100,2)</f>
        <v>-0.45</v>
      </c>
      <c r="U48" s="124">
        <f t="shared" si="0"/>
        <v>-0.73</v>
      </c>
      <c r="V48" s="131">
        <f t="shared" si="1"/>
        <v>2.1669999999999998</v>
      </c>
      <c r="W48" s="145">
        <f t="shared" si="2"/>
        <v>0.45</v>
      </c>
    </row>
    <row r="49" spans="1:35" ht="15.75" customHeight="1">
      <c r="A49" s="119"/>
      <c r="B49" s="129"/>
      <c r="C49" s="119"/>
      <c r="D49" s="119"/>
      <c r="E49" s="130">
        <v>3</v>
      </c>
      <c r="F49" s="130">
        <v>23852</v>
      </c>
      <c r="G49" s="130">
        <v>31460</v>
      </c>
      <c r="H49" s="130">
        <v>35963</v>
      </c>
      <c r="I49" s="130">
        <v>40884</v>
      </c>
      <c r="J49" s="130">
        <v>46241</v>
      </c>
      <c r="K49" s="130">
        <v>52080</v>
      </c>
      <c r="L49" s="130">
        <v>40796</v>
      </c>
      <c r="M49" s="130">
        <v>819.53757412419918</v>
      </c>
      <c r="N49" s="130">
        <v>44908</v>
      </c>
      <c r="O49" s="130">
        <v>374</v>
      </c>
      <c r="P49" s="119"/>
      <c r="Q49" s="119"/>
      <c r="R49" s="131"/>
      <c r="S49" s="124">
        <f t="shared" ref="S49" si="67">ROUND((N49-45000)/N49*100,2)</f>
        <v>-0.2</v>
      </c>
      <c r="T49" s="124">
        <f t="shared" ref="T49" si="68">ROUND((N49-45000)/N49*100,2)</f>
        <v>-0.2</v>
      </c>
      <c r="U49" s="124">
        <f t="shared" si="0"/>
        <v>-0.22</v>
      </c>
      <c r="V49" s="131">
        <f t="shared" si="1"/>
        <v>0.83299999999999996</v>
      </c>
      <c r="W49" s="145">
        <f t="shared" si="2"/>
        <v>0.2</v>
      </c>
    </row>
    <row r="50" spans="1:35" ht="15.75" customHeight="1">
      <c r="A50" s="119"/>
      <c r="B50" s="170" t="s">
        <v>240</v>
      </c>
      <c r="C50" s="171" t="s">
        <v>241</v>
      </c>
      <c r="D50" s="190" t="s">
        <v>589</v>
      </c>
      <c r="E50" s="171">
        <v>1</v>
      </c>
      <c r="F50" s="171"/>
      <c r="G50" s="171">
        <v>1457</v>
      </c>
      <c r="H50" s="171">
        <v>1793</v>
      </c>
      <c r="I50" s="171">
        <v>2172</v>
      </c>
      <c r="J50" s="171">
        <v>2615</v>
      </c>
      <c r="K50" s="171">
        <v>3116</v>
      </c>
      <c r="M50">
        <v>645.33600044667583</v>
      </c>
      <c r="N50" s="174">
        <v>2146</v>
      </c>
      <c r="O50" s="174">
        <v>295</v>
      </c>
      <c r="P50" s="174">
        <v>644</v>
      </c>
      <c r="Q50" s="119">
        <v>2124</v>
      </c>
      <c r="R50" s="131">
        <v>293</v>
      </c>
      <c r="S50" s="124">
        <f t="shared" ref="S50" si="69">ROUND((N50-2100)/N50*100,2)</f>
        <v>2.14</v>
      </c>
      <c r="T50" s="124">
        <f>ROUND((Q50-2100)/Q50*100,2)</f>
        <v>1.1299999999999999</v>
      </c>
      <c r="U50" s="124"/>
      <c r="V50" s="131">
        <f t="shared" si="1"/>
        <v>13.747</v>
      </c>
      <c r="W50" s="145">
        <f t="shared" si="2"/>
        <v>1.1299999999999999</v>
      </c>
      <c r="Y50" s="130">
        <v>3099</v>
      </c>
      <c r="Z50" s="130">
        <v>4379</v>
      </c>
      <c r="AA50" s="130">
        <v>5130</v>
      </c>
      <c r="AB50" s="130">
        <v>5956</v>
      </c>
      <c r="AC50" s="119"/>
      <c r="AD50" s="119"/>
      <c r="AE50" s="130">
        <v>5885</v>
      </c>
      <c r="AF50" s="130">
        <v>652.01295360496715</v>
      </c>
      <c r="AG50" s="119"/>
      <c r="AH50" s="119"/>
      <c r="AI50" s="119"/>
    </row>
    <row r="51" spans="1:35" ht="15.75" customHeight="1">
      <c r="A51" s="119"/>
      <c r="B51" s="189"/>
      <c r="C51" s="171"/>
      <c r="D51" s="171"/>
      <c r="E51" s="171">
        <v>2</v>
      </c>
      <c r="F51" s="181"/>
      <c r="G51" s="171">
        <v>10385</v>
      </c>
      <c r="H51" s="171">
        <v>12439</v>
      </c>
      <c r="I51" s="171">
        <v>14734</v>
      </c>
      <c r="J51" s="171">
        <v>17273</v>
      </c>
      <c r="K51" s="171">
        <v>20036</v>
      </c>
      <c r="M51">
        <v>641.63735887885662</v>
      </c>
      <c r="N51">
        <v>14025</v>
      </c>
      <c r="O51">
        <v>329</v>
      </c>
      <c r="Q51" s="119"/>
      <c r="R51" s="131"/>
      <c r="S51" s="124">
        <f t="shared" ref="S51" si="70">ROUND((N51-14000)/N51*100,2)</f>
        <v>0.18</v>
      </c>
      <c r="T51" s="124">
        <f t="shared" ref="T51" si="71">ROUND((N51-14000)/N51*100,2)</f>
        <v>0.18</v>
      </c>
      <c r="U51" s="124"/>
      <c r="V51" s="131">
        <f t="shared" si="1"/>
        <v>2.3460000000000001</v>
      </c>
      <c r="W51" s="145">
        <f t="shared" si="2"/>
        <v>0.18</v>
      </c>
      <c r="Y51" s="130">
        <v>18187</v>
      </c>
      <c r="Z51" s="130">
        <v>24219</v>
      </c>
      <c r="AA51" s="130">
        <v>27603</v>
      </c>
      <c r="AB51" s="130">
        <v>31283</v>
      </c>
      <c r="AC51" s="130">
        <v>35269</v>
      </c>
      <c r="AD51" s="130">
        <v>39594</v>
      </c>
      <c r="AE51" s="130">
        <v>31167</v>
      </c>
      <c r="AF51" s="130">
        <v>659.77294264080422</v>
      </c>
      <c r="AG51" s="119"/>
      <c r="AH51" s="119"/>
      <c r="AI51" s="119"/>
    </row>
    <row r="52" spans="1:35" ht="15.75" customHeight="1">
      <c r="A52" s="119"/>
      <c r="B52" s="189"/>
      <c r="C52" s="171"/>
      <c r="D52" s="171"/>
      <c r="E52" s="171">
        <v>3</v>
      </c>
      <c r="F52" s="181"/>
      <c r="G52" s="171">
        <v>27706</v>
      </c>
      <c r="H52" s="171">
        <v>32634</v>
      </c>
      <c r="I52" s="171">
        <v>38004</v>
      </c>
      <c r="J52" s="171">
        <v>43858</v>
      </c>
      <c r="K52" s="171">
        <v>50151</v>
      </c>
      <c r="M52">
        <v>679.69830419363052</v>
      </c>
      <c r="N52">
        <v>45105</v>
      </c>
      <c r="O52">
        <v>397</v>
      </c>
      <c r="Q52" s="119"/>
      <c r="R52" s="131"/>
      <c r="S52" s="124">
        <f t="shared" ref="S52" si="72">ROUND((N52-45000)/N52*100,2)</f>
        <v>0.23</v>
      </c>
      <c r="T52" s="124">
        <f t="shared" ref="T52" si="73">ROUND((N52-45000)/N52*100,2)</f>
        <v>0.23</v>
      </c>
      <c r="U52" s="124"/>
      <c r="V52" s="131">
        <f t="shared" si="1"/>
        <v>0.88</v>
      </c>
      <c r="W52" s="145">
        <f t="shared" si="2"/>
        <v>0.23</v>
      </c>
      <c r="Y52" s="130">
        <v>44543</v>
      </c>
      <c r="Z52" s="130">
        <v>57775</v>
      </c>
      <c r="AA52" s="130">
        <v>63524</v>
      </c>
      <c r="AB52" s="119"/>
      <c r="AC52" s="119"/>
      <c r="AD52" s="119"/>
      <c r="AE52" s="119"/>
      <c r="AF52" s="130">
        <v>702.07705336224012</v>
      </c>
      <c r="AG52" s="130">
        <v>45210</v>
      </c>
      <c r="AH52" s="130">
        <v>397</v>
      </c>
      <c r="AI52" s="119"/>
    </row>
    <row r="53" spans="1:35" ht="15.75" customHeight="1">
      <c r="A53" s="119"/>
      <c r="B53" s="129" t="s">
        <v>242</v>
      </c>
      <c r="C53" s="130" t="s">
        <v>243</v>
      </c>
      <c r="D53" s="130" t="s">
        <v>244</v>
      </c>
      <c r="E53" s="130">
        <v>1</v>
      </c>
      <c r="F53" s="130">
        <v>1293</v>
      </c>
      <c r="G53" s="130">
        <v>1941</v>
      </c>
      <c r="H53" s="130">
        <v>2310</v>
      </c>
      <c r="I53" s="130">
        <v>2729</v>
      </c>
      <c r="J53" s="130">
        <v>3197</v>
      </c>
      <c r="K53" s="130">
        <v>3703</v>
      </c>
      <c r="L53" s="130">
        <v>2752</v>
      </c>
      <c r="M53" s="130">
        <v>761.11077580387609</v>
      </c>
      <c r="N53" s="130">
        <v>2107</v>
      </c>
      <c r="O53" s="130">
        <v>261</v>
      </c>
      <c r="P53" s="119"/>
      <c r="Q53" s="119"/>
      <c r="R53" s="131"/>
      <c r="S53" s="124">
        <f t="shared" ref="S53" si="74">ROUND((N53-2100)/N53*100,2)</f>
        <v>0.33</v>
      </c>
      <c r="T53" s="124">
        <f t="shared" ref="T53" si="75">ROUND((N53-2100)/N53*100,2)</f>
        <v>0.33</v>
      </c>
      <c r="U53" s="124">
        <f t="shared" si="0"/>
        <v>0.84</v>
      </c>
      <c r="V53" s="131">
        <f t="shared" si="1"/>
        <v>12.387</v>
      </c>
      <c r="W53" s="145">
        <f t="shared" si="2"/>
        <v>0.33</v>
      </c>
    </row>
    <row r="54" spans="1:35" ht="15.75" customHeight="1">
      <c r="A54" s="119"/>
      <c r="B54" s="129"/>
      <c r="C54" s="119"/>
      <c r="D54" s="119"/>
      <c r="E54" s="130">
        <v>2</v>
      </c>
      <c r="F54" s="130">
        <v>8838</v>
      </c>
      <c r="G54" s="130">
        <v>12247</v>
      </c>
      <c r="H54" s="130">
        <v>14191</v>
      </c>
      <c r="I54" s="130">
        <v>16368</v>
      </c>
      <c r="J54" s="130">
        <v>18733</v>
      </c>
      <c r="K54" s="130">
        <v>21293</v>
      </c>
      <c r="L54" s="130">
        <v>16498</v>
      </c>
      <c r="M54" s="130">
        <v>772.30666945952044</v>
      </c>
      <c r="N54" s="130">
        <v>13925</v>
      </c>
      <c r="O54" s="130">
        <v>304</v>
      </c>
      <c r="P54" s="119"/>
      <c r="Q54" s="119"/>
      <c r="R54" s="131"/>
      <c r="S54" s="124">
        <f t="shared" ref="S54" si="76">ROUND((N54-14000)/N54*100,2)</f>
        <v>-0.54</v>
      </c>
      <c r="T54" s="124">
        <f t="shared" ref="T54" si="77">ROUND((N54-14000)/N54*100,2)</f>
        <v>-0.54</v>
      </c>
      <c r="U54" s="124">
        <f t="shared" si="0"/>
        <v>0.79</v>
      </c>
      <c r="V54" s="131">
        <f t="shared" si="1"/>
        <v>2.1829999999999998</v>
      </c>
      <c r="W54" s="145">
        <f t="shared" si="2"/>
        <v>0.54</v>
      </c>
    </row>
    <row r="55" spans="1:35" ht="15.75" customHeight="1">
      <c r="A55" s="119"/>
      <c r="B55" s="129"/>
      <c r="C55" s="119"/>
      <c r="D55" s="119"/>
      <c r="E55" s="130">
        <v>3</v>
      </c>
      <c r="F55" s="130">
        <v>23551</v>
      </c>
      <c r="G55" s="130">
        <v>31475</v>
      </c>
      <c r="H55" s="130">
        <v>35773</v>
      </c>
      <c r="I55" s="130">
        <v>40504</v>
      </c>
      <c r="J55" s="130">
        <v>45723</v>
      </c>
      <c r="K55" s="130">
        <v>51278</v>
      </c>
      <c r="L55" s="130">
        <v>40724</v>
      </c>
      <c r="M55" s="130">
        <v>821.57859756628784</v>
      </c>
      <c r="N55" s="130">
        <v>44815</v>
      </c>
      <c r="O55" s="130">
        <v>382</v>
      </c>
      <c r="P55" s="119"/>
      <c r="Q55" s="119"/>
      <c r="R55" s="131"/>
      <c r="S55" s="124">
        <f t="shared" ref="S55" si="78">ROUND((N55-45000)/N55*100,2)</f>
        <v>-0.41</v>
      </c>
      <c r="T55" s="124">
        <f t="shared" ref="T55" si="79">ROUND((N55-45000)/N55*100,2)</f>
        <v>-0.41</v>
      </c>
      <c r="U55" s="124">
        <f t="shared" si="0"/>
        <v>0.54</v>
      </c>
      <c r="V55" s="131">
        <f t="shared" si="1"/>
        <v>0.85199999999999998</v>
      </c>
      <c r="W55" s="145">
        <f t="shared" si="2"/>
        <v>0.41</v>
      </c>
    </row>
    <row r="56" spans="1:35" ht="15.75" customHeight="1">
      <c r="A56" s="119"/>
      <c r="B56" s="129" t="s">
        <v>245</v>
      </c>
      <c r="C56" s="130" t="s">
        <v>246</v>
      </c>
      <c r="D56" s="130" t="s">
        <v>247</v>
      </c>
      <c r="E56" s="130">
        <v>1</v>
      </c>
      <c r="F56" s="130">
        <v>1771</v>
      </c>
      <c r="G56" s="130">
        <v>2569</v>
      </c>
      <c r="H56" s="130">
        <v>3060</v>
      </c>
      <c r="I56" s="130">
        <v>3619</v>
      </c>
      <c r="J56" s="130">
        <v>4242</v>
      </c>
      <c r="K56" s="130">
        <v>4944</v>
      </c>
      <c r="L56" s="130">
        <v>3643</v>
      </c>
      <c r="M56" s="130">
        <v>721.95243236855845</v>
      </c>
      <c r="N56" s="130">
        <v>2088</v>
      </c>
      <c r="O56" s="130">
        <v>271</v>
      </c>
      <c r="P56" s="119"/>
      <c r="Q56" s="119"/>
      <c r="R56" s="131"/>
      <c r="S56" s="124">
        <f t="shared" ref="S56" si="80">ROUND((N56-2100)/N56*100,2)</f>
        <v>-0.56999999999999995</v>
      </c>
      <c r="T56" s="124">
        <f>ROUND((N56-2100)/N56*100,2)</f>
        <v>-0.56999999999999995</v>
      </c>
      <c r="U56" s="124">
        <f t="shared" si="0"/>
        <v>0.66</v>
      </c>
      <c r="V56" s="131">
        <f t="shared" si="1"/>
        <v>12.978999999999999</v>
      </c>
      <c r="W56" s="145">
        <f t="shared" si="2"/>
        <v>0.56999999999999995</v>
      </c>
    </row>
    <row r="57" spans="1:35" ht="15.75" customHeight="1">
      <c r="A57" s="119"/>
      <c r="B57" s="129"/>
      <c r="C57" s="119"/>
      <c r="D57" s="119"/>
      <c r="E57" s="130">
        <v>2</v>
      </c>
      <c r="F57" s="130">
        <v>11686</v>
      </c>
      <c r="G57" s="130">
        <v>16207</v>
      </c>
      <c r="H57" s="130">
        <v>18861</v>
      </c>
      <c r="I57" s="130">
        <v>21792</v>
      </c>
      <c r="J57" s="130">
        <v>24950</v>
      </c>
      <c r="K57" s="130">
        <v>28366</v>
      </c>
      <c r="L57" s="130">
        <v>21949</v>
      </c>
      <c r="M57" s="130">
        <v>726.87674986698914</v>
      </c>
      <c r="N57" s="130">
        <v>13998</v>
      </c>
      <c r="O57" s="130">
        <v>316</v>
      </c>
      <c r="P57" s="119"/>
      <c r="Q57" s="119"/>
      <c r="R57" s="131"/>
      <c r="S57" s="124">
        <f t="shared" ref="S57" si="81">ROUND((N57-14000)/N57*100,2)</f>
        <v>-0.01</v>
      </c>
      <c r="T57" s="124">
        <f>ROUND((N57-14000)/N57*100,2)</f>
        <v>-0.01</v>
      </c>
      <c r="U57" s="124">
        <f t="shared" si="0"/>
        <v>0.72</v>
      </c>
      <c r="V57" s="131">
        <f t="shared" si="1"/>
        <v>2.2570000000000001</v>
      </c>
      <c r="W57" s="145">
        <f t="shared" si="2"/>
        <v>0.01</v>
      </c>
    </row>
    <row r="58" spans="1:35" ht="15.75" customHeight="1">
      <c r="A58" s="119"/>
      <c r="B58" s="129"/>
      <c r="C58" s="119"/>
      <c r="D58" s="119"/>
      <c r="E58" s="130">
        <v>3</v>
      </c>
      <c r="F58" s="130">
        <v>30518</v>
      </c>
      <c r="G58" s="130">
        <v>41011</v>
      </c>
      <c r="H58" s="130">
        <v>46958</v>
      </c>
      <c r="I58" s="130">
        <v>53446</v>
      </c>
      <c r="J58" s="130">
        <v>59284</v>
      </c>
      <c r="K58" s="130">
        <v>64292</v>
      </c>
      <c r="L58" s="130">
        <v>53635</v>
      </c>
      <c r="M58" s="130">
        <v>765.90986796626294</v>
      </c>
      <c r="N58" s="130">
        <v>44597</v>
      </c>
      <c r="O58" s="130">
        <v>391</v>
      </c>
      <c r="P58" s="130">
        <v>766.94365292160444</v>
      </c>
      <c r="Q58" s="130">
        <v>44881</v>
      </c>
      <c r="R58" s="131">
        <v>395</v>
      </c>
      <c r="S58" s="124">
        <f t="shared" ref="S58" si="82">ROUND((N58-45000)/N58*100,2)</f>
        <v>-0.9</v>
      </c>
      <c r="T58" s="124">
        <f>ROUND((Q58-45000)/Q58*100,2)</f>
        <v>-0.27</v>
      </c>
      <c r="U58" s="124">
        <f t="shared" si="0"/>
        <v>0.35</v>
      </c>
      <c r="V58" s="131">
        <f t="shared" si="1"/>
        <v>0.877</v>
      </c>
      <c r="W58" s="145">
        <f t="shared" si="2"/>
        <v>0.27</v>
      </c>
    </row>
    <row r="59" spans="1:35" ht="15.75" customHeight="1">
      <c r="A59" s="119"/>
      <c r="B59" s="129" t="s">
        <v>248</v>
      </c>
      <c r="C59" s="130" t="s">
        <v>249</v>
      </c>
      <c r="D59" s="130" t="s">
        <v>250</v>
      </c>
      <c r="E59" s="130">
        <v>1</v>
      </c>
      <c r="F59" s="130">
        <v>1709</v>
      </c>
      <c r="G59" s="130">
        <v>2485</v>
      </c>
      <c r="H59" s="130">
        <v>2969</v>
      </c>
      <c r="I59" s="130">
        <v>3507</v>
      </c>
      <c r="J59" s="130">
        <v>4114</v>
      </c>
      <c r="K59" s="130">
        <v>4768</v>
      </c>
      <c r="L59" s="130">
        <v>3633</v>
      </c>
      <c r="M59" s="130">
        <v>726.20971702268366</v>
      </c>
      <c r="N59" s="130">
        <v>2099</v>
      </c>
      <c r="O59" s="130">
        <v>309</v>
      </c>
      <c r="P59" s="119"/>
      <c r="Q59" s="119"/>
      <c r="R59" s="131"/>
      <c r="S59" s="124">
        <f t="shared" ref="S59" si="83">ROUND((N59-2100)/N59*100,2)</f>
        <v>-0.05</v>
      </c>
      <c r="T59" s="124">
        <f t="shared" ref="T59" si="84">ROUND((N59-2100)/N59*100,2)</f>
        <v>-0.05</v>
      </c>
      <c r="U59" s="124">
        <f t="shared" si="0"/>
        <v>3.47</v>
      </c>
      <c r="V59" s="131">
        <f t="shared" si="1"/>
        <v>14.721</v>
      </c>
      <c r="W59" s="145">
        <f t="shared" si="2"/>
        <v>0.05</v>
      </c>
    </row>
    <row r="60" spans="1:35" ht="15.75" customHeight="1">
      <c r="A60" s="119"/>
      <c r="B60" s="129"/>
      <c r="C60" s="119"/>
      <c r="D60" s="119"/>
      <c r="E60" s="130">
        <v>2</v>
      </c>
      <c r="F60" s="130">
        <v>11434</v>
      </c>
      <c r="G60" s="130">
        <v>15653</v>
      </c>
      <c r="H60" s="130">
        <v>18076</v>
      </c>
      <c r="I60" s="130">
        <v>20728</v>
      </c>
      <c r="J60" s="130">
        <v>23534</v>
      </c>
      <c r="K60" s="130">
        <v>26498</v>
      </c>
      <c r="L60" s="130">
        <v>20953</v>
      </c>
      <c r="M60" s="130">
        <v>731.50642493234034</v>
      </c>
      <c r="N60" s="130">
        <v>13976</v>
      </c>
      <c r="O60" s="130">
        <v>337</v>
      </c>
      <c r="P60" s="119"/>
      <c r="Q60" s="119"/>
      <c r="R60" s="131"/>
      <c r="S60" s="124">
        <f t="shared" ref="S60" si="85">ROUND((N60-14000)/N60*100,2)</f>
        <v>-0.17</v>
      </c>
      <c r="T60" s="124">
        <f t="shared" ref="T60" si="86">ROUND((N60-14000)/N60*100,2)</f>
        <v>-0.17</v>
      </c>
      <c r="U60" s="124">
        <f t="shared" si="0"/>
        <v>1.07</v>
      </c>
      <c r="V60" s="131">
        <f t="shared" si="1"/>
        <v>2.411</v>
      </c>
      <c r="W60" s="145">
        <f t="shared" si="2"/>
        <v>0.17</v>
      </c>
    </row>
    <row r="61" spans="1:35" ht="15.75" customHeight="1" thickBot="1">
      <c r="A61" s="119"/>
      <c r="B61" s="129"/>
      <c r="C61" s="124"/>
      <c r="D61" s="124"/>
      <c r="E61" s="124">
        <v>3</v>
      </c>
      <c r="F61" s="124">
        <v>29079</v>
      </c>
      <c r="G61" s="124">
        <v>38704</v>
      </c>
      <c r="H61" s="124">
        <v>44194</v>
      </c>
      <c r="I61" s="124">
        <v>50150</v>
      </c>
      <c r="J61" s="124">
        <v>56605</v>
      </c>
      <c r="K61" s="124">
        <v>62572</v>
      </c>
      <c r="L61" s="124">
        <v>50258</v>
      </c>
      <c r="M61" s="124">
        <v>778.38525507551788</v>
      </c>
      <c r="N61" s="124">
        <v>44786</v>
      </c>
      <c r="O61" s="124">
        <v>411</v>
      </c>
      <c r="P61" s="124"/>
      <c r="Q61" s="124"/>
      <c r="R61" s="131"/>
      <c r="S61" s="124">
        <f t="shared" ref="S61" si="87">ROUND((N61-45000)/N61*100,2)</f>
        <v>-0.48</v>
      </c>
      <c r="T61" s="124">
        <f>ROUND((N61-45000)/N61*100,3)</f>
        <v>-0.47799999999999998</v>
      </c>
      <c r="U61" s="124">
        <f t="shared" si="0"/>
        <v>0.21</v>
      </c>
      <c r="V61" s="131">
        <f t="shared" si="1"/>
        <v>0.91800000000000004</v>
      </c>
      <c r="W61" s="145">
        <f t="shared" si="2"/>
        <v>0.47799999999999998</v>
      </c>
    </row>
    <row r="62" spans="1:35" ht="15.75" customHeight="1" thickBot="1">
      <c r="A62" s="39" t="s">
        <v>251</v>
      </c>
      <c r="B62" s="178" t="s">
        <v>590</v>
      </c>
      <c r="C62" s="179" t="s">
        <v>556</v>
      </c>
      <c r="D62" s="126" t="s">
        <v>252</v>
      </c>
      <c r="E62" s="126">
        <v>1</v>
      </c>
      <c r="F62" s="124">
        <v>1518</v>
      </c>
      <c r="G62" s="124">
        <v>2226</v>
      </c>
      <c r="H62" s="124">
        <v>2655</v>
      </c>
      <c r="I62" s="124">
        <v>3148</v>
      </c>
      <c r="J62" s="124">
        <v>3693</v>
      </c>
      <c r="K62" s="124">
        <v>4300</v>
      </c>
      <c r="M62">
        <v>741.67123886319689</v>
      </c>
      <c r="S62" s="124">
        <f>ROUND((AH65-2100)/AH65*100,2)</f>
        <v>1.32</v>
      </c>
      <c r="T62" s="124">
        <f>ROUND((AH65-2100)/AH65*100,2)</f>
        <v>1.32</v>
      </c>
      <c r="U62" s="124">
        <f>ROUND((AF65-AC65)/AF65*100,2)</f>
        <v>1.82</v>
      </c>
      <c r="V62" s="131">
        <f>ROUND(AI65/AH65*100,3)</f>
        <v>16.212</v>
      </c>
      <c r="W62" s="145">
        <f t="shared" si="2"/>
        <v>1.32</v>
      </c>
    </row>
    <row r="63" spans="1:35" ht="15.75" customHeight="1">
      <c r="A63" s="119"/>
      <c r="B63" s="129"/>
      <c r="C63" s="146">
        <v>45396</v>
      </c>
      <c r="D63" s="130" t="s">
        <v>253</v>
      </c>
      <c r="E63" s="130">
        <v>2</v>
      </c>
      <c r="F63" s="124">
        <v>10664</v>
      </c>
      <c r="G63" s="124">
        <v>14876</v>
      </c>
      <c r="H63" s="124">
        <v>17380</v>
      </c>
      <c r="I63" s="124">
        <v>20157</v>
      </c>
      <c r="J63" s="124">
        <v>23270</v>
      </c>
      <c r="K63" s="124">
        <v>26709</v>
      </c>
      <c r="M63">
        <v>740.44578477942275</v>
      </c>
      <c r="S63" s="124">
        <f>ROUND((AH66-14000)/AH66*100,2)</f>
        <v>4.6399999999999997</v>
      </c>
      <c r="T63" s="124">
        <f>ROUND((AK66-14000)/AK66*100,2)</f>
        <v>0.48</v>
      </c>
      <c r="U63" s="124">
        <f>ROUND((AF66-AC66)/AF66*100,2)</f>
        <v>2.2799999999999998</v>
      </c>
      <c r="V63" s="131">
        <f>ROUND(AI66/AH66*100,3)</f>
        <v>2.3980000000000001</v>
      </c>
      <c r="W63" s="145">
        <f t="shared" si="2"/>
        <v>0.48</v>
      </c>
    </row>
    <row r="64" spans="1:35" ht="15.75" customHeight="1" thickBot="1">
      <c r="A64" s="119"/>
      <c r="B64" s="129"/>
      <c r="C64" s="119"/>
      <c r="D64" s="119"/>
      <c r="E64" s="130">
        <v>3</v>
      </c>
      <c r="F64" s="124">
        <v>29003</v>
      </c>
      <c r="G64" s="124">
        <v>39002</v>
      </c>
      <c r="H64" s="124">
        <v>44817</v>
      </c>
      <c r="I64" s="124">
        <v>51216</v>
      </c>
      <c r="J64" s="124">
        <v>57844</v>
      </c>
      <c r="K64" s="124">
        <v>63561</v>
      </c>
      <c r="M64">
        <v>774.75562383419015</v>
      </c>
      <c r="S64" s="124">
        <f>ROUND((AH67-45000)/AH67*100,2)</f>
        <v>0.39</v>
      </c>
      <c r="T64" s="124">
        <f>ROUND((AH67-45000)/AH67*100,2)</f>
        <v>0.39</v>
      </c>
      <c r="U64" s="124" t="e">
        <f>ROUND((AF67-AC67)/AF67*100,2)</f>
        <v>#VALUE!</v>
      </c>
      <c r="V64" s="131">
        <f>ROUND(AI67/AH67*100,3)</f>
        <v>0.996</v>
      </c>
      <c r="W64" s="145">
        <f t="shared" si="2"/>
        <v>0.39</v>
      </c>
      <c r="X64" s="8" t="s">
        <v>254</v>
      </c>
      <c r="Z64" s="8">
        <v>39572</v>
      </c>
      <c r="AA64" s="8">
        <v>48720</v>
      </c>
      <c r="AB64" s="8">
        <v>59225</v>
      </c>
      <c r="AC64" s="8" t="s">
        <v>34</v>
      </c>
    </row>
    <row r="65" spans="1:38" ht="15.75" customHeight="1">
      <c r="A65" s="119"/>
      <c r="B65" s="129" t="s">
        <v>507</v>
      </c>
      <c r="C65" s="158" t="s">
        <v>557</v>
      </c>
      <c r="D65" s="124" t="s">
        <v>255</v>
      </c>
      <c r="E65" s="130">
        <v>1</v>
      </c>
      <c r="F65" s="130">
        <v>1441</v>
      </c>
      <c r="G65" s="130">
        <v>2191</v>
      </c>
      <c r="H65" s="130">
        <v>2636</v>
      </c>
      <c r="I65" s="130">
        <v>3152</v>
      </c>
      <c r="J65" s="130">
        <v>3670</v>
      </c>
      <c r="K65" s="130">
        <v>4412</v>
      </c>
      <c r="L65" s="130">
        <v>3175</v>
      </c>
      <c r="M65" s="130">
        <v>745.90692856136491</v>
      </c>
      <c r="N65" s="130">
        <v>2112</v>
      </c>
      <c r="O65" s="130">
        <v>272</v>
      </c>
      <c r="P65" s="119"/>
      <c r="Q65" s="119"/>
      <c r="R65" s="131"/>
      <c r="S65" s="124">
        <f t="shared" ref="S65" si="88">ROUND((N65-2100)/N65*100,2)</f>
        <v>0.56999999999999995</v>
      </c>
      <c r="T65" s="124">
        <f t="shared" ref="T65" si="89">ROUND((N65-2100)/N65*100,2)</f>
        <v>0.56999999999999995</v>
      </c>
      <c r="U65" s="124">
        <f t="shared" si="0"/>
        <v>0.72</v>
      </c>
      <c r="V65" s="131">
        <f t="shared" si="1"/>
        <v>12.879</v>
      </c>
      <c r="W65" s="145">
        <f t="shared" si="2"/>
        <v>0.56999999999999995</v>
      </c>
      <c r="Z65" s="126">
        <v>2995</v>
      </c>
      <c r="AA65" s="126">
        <v>4432</v>
      </c>
      <c r="AB65" s="126">
        <v>5310</v>
      </c>
      <c r="AC65" s="126">
        <v>6313</v>
      </c>
      <c r="AD65" s="126">
        <v>7428</v>
      </c>
      <c r="AE65" s="126">
        <v>8677</v>
      </c>
      <c r="AF65" s="126">
        <v>6430</v>
      </c>
      <c r="AG65" s="179">
        <v>661.69979243723662</v>
      </c>
      <c r="AH65" s="126">
        <v>2128</v>
      </c>
      <c r="AI65" s="126">
        <v>345</v>
      </c>
      <c r="AJ65" s="126"/>
      <c r="AK65" s="126"/>
      <c r="AL65" s="128"/>
    </row>
    <row r="66" spans="1:38" ht="15.75" customHeight="1">
      <c r="A66" s="119"/>
      <c r="B66" s="129"/>
      <c r="C66" s="119"/>
      <c r="D66" s="130" t="s">
        <v>256</v>
      </c>
      <c r="E66" s="130">
        <v>2</v>
      </c>
      <c r="F66" s="130">
        <v>9943</v>
      </c>
      <c r="G66" s="130">
        <v>14391</v>
      </c>
      <c r="H66" s="130">
        <v>17146</v>
      </c>
      <c r="I66" s="130">
        <v>20298</v>
      </c>
      <c r="J66" s="130">
        <v>23875</v>
      </c>
      <c r="K66" s="130">
        <v>27923</v>
      </c>
      <c r="L66" s="130">
        <v>20644</v>
      </c>
      <c r="M66" s="130">
        <v>745.79981169446023</v>
      </c>
      <c r="N66" s="130">
        <v>13996</v>
      </c>
      <c r="O66" s="130">
        <v>321</v>
      </c>
      <c r="P66" s="119"/>
      <c r="Q66" s="119"/>
      <c r="R66" s="131"/>
      <c r="S66" s="124">
        <f t="shared" ref="S66" si="90">ROUND((N66-14000)/N66*100,2)</f>
        <v>-0.03</v>
      </c>
      <c r="T66" s="124">
        <f t="shared" ref="T66" si="91">ROUND((N66-14000)/N66*100,2)</f>
        <v>-0.03</v>
      </c>
      <c r="U66" s="124">
        <f t="shared" si="0"/>
        <v>1.68</v>
      </c>
      <c r="V66" s="131">
        <f t="shared" si="1"/>
        <v>2.294</v>
      </c>
      <c r="W66" s="145">
        <f t="shared" si="2"/>
        <v>0.03</v>
      </c>
      <c r="Z66" s="130">
        <v>20604</v>
      </c>
      <c r="AA66" s="130">
        <v>30101</v>
      </c>
      <c r="AB66" s="130">
        <v>36030</v>
      </c>
      <c r="AC66" s="130">
        <v>43020</v>
      </c>
      <c r="AD66" s="130">
        <v>50593</v>
      </c>
      <c r="AE66" s="130">
        <v>57818</v>
      </c>
      <c r="AF66" s="130">
        <v>44025</v>
      </c>
      <c r="AG66" s="180">
        <v>659.92610317547826</v>
      </c>
      <c r="AH66" s="130">
        <v>14681</v>
      </c>
      <c r="AI66" s="130">
        <v>352</v>
      </c>
      <c r="AJ66" s="130">
        <v>654</v>
      </c>
      <c r="AK66" s="130">
        <v>14067</v>
      </c>
      <c r="AL66" s="131">
        <v>348</v>
      </c>
    </row>
    <row r="67" spans="1:38" ht="15.75" customHeight="1">
      <c r="A67" s="119"/>
      <c r="B67" s="129"/>
      <c r="C67" s="119"/>
      <c r="D67" s="119"/>
      <c r="E67" s="130">
        <v>3</v>
      </c>
      <c r="F67" s="130">
        <v>28774</v>
      </c>
      <c r="G67" s="130">
        <v>41021</v>
      </c>
      <c r="H67" s="130">
        <v>48834</v>
      </c>
      <c r="I67" s="130">
        <v>57086</v>
      </c>
      <c r="J67" s="130">
        <v>63693</v>
      </c>
      <c r="K67" s="130" t="s">
        <v>257</v>
      </c>
      <c r="L67" s="130">
        <v>57071</v>
      </c>
      <c r="M67" s="130">
        <v>763.25256815269222</v>
      </c>
      <c r="N67" s="130">
        <v>44933</v>
      </c>
      <c r="O67" s="130">
        <v>434</v>
      </c>
      <c r="P67" s="119"/>
      <c r="Q67" s="119"/>
      <c r="R67" s="131"/>
      <c r="S67" s="124">
        <f t="shared" ref="S67" si="92">ROUND((N67-45000)/N67*100,2)</f>
        <v>-0.15</v>
      </c>
      <c r="T67" s="124">
        <f t="shared" ref="T67" si="93">ROUND((N67-45000)/N67*100,2)</f>
        <v>-0.15</v>
      </c>
      <c r="U67" s="124">
        <f t="shared" ref="U67:U130" si="94">ROUND((L67-I67)/L67*100,2)</f>
        <v>-0.03</v>
      </c>
      <c r="V67" s="131">
        <f t="shared" ref="V67:V130" si="95">ROUND(O67/N67*100,3)</f>
        <v>0.96599999999999997</v>
      </c>
      <c r="W67" s="145">
        <f t="shared" ref="W67:W130" si="96">ABS(T67)</f>
        <v>0.15</v>
      </c>
      <c r="X67" s="8" t="s">
        <v>258</v>
      </c>
      <c r="Z67" s="130">
        <v>59225</v>
      </c>
      <c r="AA67" s="130">
        <v>71350</v>
      </c>
      <c r="AB67" s="130">
        <v>85132</v>
      </c>
      <c r="AC67" s="130" t="s">
        <v>34</v>
      </c>
      <c r="AD67" s="119"/>
      <c r="AE67" s="119"/>
      <c r="AF67" s="119"/>
      <c r="AG67" s="163">
        <v>665.26879077030787</v>
      </c>
      <c r="AH67" s="130">
        <v>45178</v>
      </c>
      <c r="AI67" s="130">
        <v>450</v>
      </c>
      <c r="AJ67" s="119"/>
      <c r="AK67" s="119"/>
      <c r="AL67" s="131"/>
    </row>
    <row r="68" spans="1:38" ht="15.75" customHeight="1">
      <c r="A68" s="119"/>
      <c r="B68" s="129" t="s">
        <v>508</v>
      </c>
      <c r="C68" s="158" t="s">
        <v>558</v>
      </c>
      <c r="D68" s="124" t="s">
        <v>259</v>
      </c>
      <c r="E68" s="130">
        <v>1</v>
      </c>
      <c r="F68" s="130">
        <v>1248</v>
      </c>
      <c r="G68" s="130">
        <v>1887</v>
      </c>
      <c r="H68" s="130">
        <v>2252</v>
      </c>
      <c r="I68" s="130">
        <v>2660</v>
      </c>
      <c r="J68" s="130">
        <v>3126</v>
      </c>
      <c r="K68" s="130">
        <v>3644</v>
      </c>
      <c r="L68" s="130">
        <v>2680</v>
      </c>
      <c r="M68" s="130">
        <v>765.13323589977665</v>
      </c>
      <c r="N68" s="130">
        <v>2112</v>
      </c>
      <c r="O68" s="130">
        <v>264</v>
      </c>
      <c r="P68" s="119"/>
      <c r="Q68" s="119"/>
      <c r="R68" s="131"/>
      <c r="S68" s="124">
        <f t="shared" ref="S68" si="97">ROUND((N68-2100)/N68*100,2)</f>
        <v>0.56999999999999995</v>
      </c>
      <c r="T68" s="124">
        <f t="shared" ref="T68" si="98">ROUND((N68-2100)/N68*100,2)</f>
        <v>0.56999999999999995</v>
      </c>
      <c r="U68" s="124">
        <f t="shared" si="94"/>
        <v>0.75</v>
      </c>
      <c r="V68" s="131">
        <f t="shared" si="95"/>
        <v>12.5</v>
      </c>
      <c r="W68" s="145">
        <f t="shared" si="96"/>
        <v>0.56999999999999995</v>
      </c>
    </row>
    <row r="69" spans="1:38" ht="15.75" customHeight="1">
      <c r="A69" s="119"/>
      <c r="B69" s="129"/>
      <c r="C69" s="119"/>
      <c r="D69" s="130" t="s">
        <v>260</v>
      </c>
      <c r="E69" s="130">
        <v>2</v>
      </c>
      <c r="F69" s="130">
        <v>8975</v>
      </c>
      <c r="G69" s="130">
        <v>12512</v>
      </c>
      <c r="H69" s="130">
        <v>14615</v>
      </c>
      <c r="I69" s="130">
        <v>16944</v>
      </c>
      <c r="J69" s="130">
        <v>19542</v>
      </c>
      <c r="K69" s="130">
        <v>22440</v>
      </c>
      <c r="L69" s="130">
        <v>17042</v>
      </c>
      <c r="M69" s="130">
        <v>768.15150915127185</v>
      </c>
      <c r="N69" s="130">
        <v>13980</v>
      </c>
      <c r="O69" s="130">
        <v>312</v>
      </c>
      <c r="P69" s="119"/>
      <c r="Q69" s="119"/>
      <c r="R69" s="131"/>
      <c r="S69" s="124">
        <f t="shared" ref="S69" si="99">ROUND((N69-14000)/N69*100,2)</f>
        <v>-0.14000000000000001</v>
      </c>
      <c r="T69" s="124">
        <f t="shared" ref="T69" si="100">ROUND((N69-14000)/N69*100,2)</f>
        <v>-0.14000000000000001</v>
      </c>
      <c r="U69" s="124">
        <f t="shared" si="94"/>
        <v>0.57999999999999996</v>
      </c>
      <c r="V69" s="131">
        <f t="shared" si="95"/>
        <v>2.2320000000000002</v>
      </c>
      <c r="W69" s="145">
        <f t="shared" si="96"/>
        <v>0.14000000000000001</v>
      </c>
    </row>
    <row r="70" spans="1:38" ht="15.75" customHeight="1">
      <c r="A70" s="119"/>
      <c r="B70" s="129"/>
      <c r="C70" s="119"/>
      <c r="D70" s="119"/>
      <c r="E70" s="130">
        <v>3</v>
      </c>
      <c r="F70" s="130">
        <v>24850</v>
      </c>
      <c r="G70" s="130">
        <v>33760</v>
      </c>
      <c r="H70" s="130">
        <v>38714</v>
      </c>
      <c r="I70" s="130">
        <v>44363</v>
      </c>
      <c r="J70" s="130">
        <v>50804</v>
      </c>
      <c r="K70" s="130">
        <v>57032</v>
      </c>
      <c r="L70" s="130">
        <v>44325</v>
      </c>
      <c r="M70" s="124">
        <v>802.38808038983279</v>
      </c>
      <c r="N70" s="130">
        <v>44804</v>
      </c>
      <c r="O70" s="130">
        <v>395</v>
      </c>
      <c r="P70" s="130">
        <v>803</v>
      </c>
      <c r="Q70" s="130">
        <v>45098</v>
      </c>
      <c r="R70" s="131">
        <v>388</v>
      </c>
      <c r="S70" s="124">
        <f t="shared" ref="S70" si="101">ROUND((N70-45000)/N70*100,2)</f>
        <v>-0.44</v>
      </c>
      <c r="T70" s="124">
        <f>ROUND((Q70-45000)/Q70*100,2)</f>
        <v>0.22</v>
      </c>
      <c r="U70" s="124">
        <f t="shared" si="94"/>
        <v>-0.09</v>
      </c>
      <c r="V70" s="131">
        <f t="shared" si="95"/>
        <v>0.88200000000000001</v>
      </c>
      <c r="W70" s="145">
        <f t="shared" si="96"/>
        <v>0.22</v>
      </c>
    </row>
    <row r="71" spans="1:38" ht="15.75" customHeight="1">
      <c r="A71" s="119"/>
      <c r="B71" s="129" t="s">
        <v>509</v>
      </c>
      <c r="C71" s="158" t="s">
        <v>559</v>
      </c>
      <c r="D71" s="124" t="s">
        <v>261</v>
      </c>
      <c r="E71" s="130">
        <v>1</v>
      </c>
      <c r="F71" s="130">
        <v>1163</v>
      </c>
      <c r="G71" s="130">
        <v>1746</v>
      </c>
      <c r="H71" s="130">
        <v>2070</v>
      </c>
      <c r="I71" s="130">
        <v>2432</v>
      </c>
      <c r="J71" s="130">
        <v>2835</v>
      </c>
      <c r="K71" s="130">
        <v>3274</v>
      </c>
      <c r="L71" s="130">
        <v>2436</v>
      </c>
      <c r="M71" s="130">
        <v>776.74423485530281</v>
      </c>
      <c r="N71" s="130">
        <v>2093</v>
      </c>
      <c r="O71" s="130">
        <v>287</v>
      </c>
      <c r="P71" s="119"/>
      <c r="Q71" s="119"/>
      <c r="R71" s="131"/>
      <c r="S71" s="124">
        <f t="shared" ref="S71" si="102">ROUND((N71-2100)/N71*100,2)</f>
        <v>-0.33</v>
      </c>
      <c r="T71" s="124">
        <f>ROUND((N71-2100)/N71*100,2)</f>
        <v>-0.33</v>
      </c>
      <c r="U71" s="124">
        <f t="shared" si="94"/>
        <v>0.16</v>
      </c>
      <c r="V71" s="131">
        <f t="shared" si="95"/>
        <v>13.712</v>
      </c>
      <c r="W71" s="145">
        <f t="shared" si="96"/>
        <v>0.33</v>
      </c>
    </row>
    <row r="72" spans="1:38" ht="15.75" customHeight="1">
      <c r="A72" s="119"/>
      <c r="B72" s="129"/>
      <c r="C72" s="119"/>
      <c r="D72" s="130" t="s">
        <v>262</v>
      </c>
      <c r="E72" s="130">
        <v>2</v>
      </c>
      <c r="F72" s="130">
        <v>8556</v>
      </c>
      <c r="G72" s="130">
        <v>11715</v>
      </c>
      <c r="H72" s="130">
        <v>13550</v>
      </c>
      <c r="I72" s="130">
        <v>15600</v>
      </c>
      <c r="J72" s="130">
        <v>17855</v>
      </c>
      <c r="K72" s="130">
        <v>20287</v>
      </c>
      <c r="L72" s="130">
        <v>15656</v>
      </c>
      <c r="M72" s="130">
        <v>780.75091641092683</v>
      </c>
      <c r="N72" s="130">
        <v>14028</v>
      </c>
      <c r="O72" s="130">
        <v>325</v>
      </c>
      <c r="P72" s="119"/>
      <c r="Q72" s="119"/>
      <c r="R72" s="131"/>
      <c r="S72" s="124">
        <f t="shared" ref="S72" si="103">ROUND((N72-14000)/N72*100,2)</f>
        <v>0.2</v>
      </c>
      <c r="T72" s="124">
        <f>ROUND((N72-14000)/N72*100,2)</f>
        <v>0.2</v>
      </c>
      <c r="U72" s="124">
        <f t="shared" si="94"/>
        <v>0.36</v>
      </c>
      <c r="V72" s="131">
        <f t="shared" si="95"/>
        <v>2.3170000000000002</v>
      </c>
      <c r="W72" s="145">
        <f t="shared" si="96"/>
        <v>0.2</v>
      </c>
    </row>
    <row r="73" spans="1:38" ht="15.75" customHeight="1">
      <c r="A73" s="119"/>
      <c r="B73" s="129"/>
      <c r="C73" s="119"/>
      <c r="D73" s="119"/>
      <c r="E73" s="130">
        <v>3</v>
      </c>
      <c r="F73" s="130">
        <v>23443</v>
      </c>
      <c r="G73" s="130">
        <v>31154</v>
      </c>
      <c r="H73" s="130">
        <v>35393</v>
      </c>
      <c r="I73" s="130">
        <v>40010</v>
      </c>
      <c r="J73" s="130">
        <v>45247</v>
      </c>
      <c r="K73" s="130">
        <v>50956</v>
      </c>
      <c r="L73" s="130">
        <v>40113</v>
      </c>
      <c r="M73" s="130">
        <v>823.21915758676653</v>
      </c>
      <c r="N73" s="130">
        <v>44896</v>
      </c>
      <c r="O73" s="130">
        <v>394</v>
      </c>
      <c r="P73" s="119"/>
      <c r="Q73" s="119"/>
      <c r="R73" s="131"/>
      <c r="S73" s="124">
        <f t="shared" ref="S73" si="104">ROUND((N73-45000)/N73*100,2)</f>
        <v>-0.23</v>
      </c>
      <c r="T73" s="124">
        <f>ROUND((N73-45000)/N73*100,2)</f>
        <v>-0.23</v>
      </c>
      <c r="U73" s="124">
        <f t="shared" si="94"/>
        <v>0.26</v>
      </c>
      <c r="V73" s="131">
        <f t="shared" si="95"/>
        <v>0.878</v>
      </c>
      <c r="W73" s="145"/>
    </row>
    <row r="74" spans="1:38" ht="15.75" customHeight="1">
      <c r="A74" s="119"/>
      <c r="B74" s="129" t="s">
        <v>510</v>
      </c>
      <c r="C74" s="158" t="s">
        <v>560</v>
      </c>
      <c r="D74" s="124" t="s">
        <v>263</v>
      </c>
      <c r="E74" s="130">
        <v>1</v>
      </c>
      <c r="F74" s="130">
        <v>1238</v>
      </c>
      <c r="G74" s="130">
        <v>1857</v>
      </c>
      <c r="H74" s="130">
        <v>2210</v>
      </c>
      <c r="I74" s="130">
        <v>2610</v>
      </c>
      <c r="J74" s="130">
        <v>3056</v>
      </c>
      <c r="K74" s="130">
        <v>3545</v>
      </c>
      <c r="L74" s="130">
        <v>2595</v>
      </c>
      <c r="M74" s="130">
        <v>767.4518654908652</v>
      </c>
      <c r="N74" s="130">
        <v>2092</v>
      </c>
      <c r="O74" s="130">
        <v>260</v>
      </c>
      <c r="P74" s="119"/>
      <c r="Q74" s="119"/>
      <c r="R74" s="131"/>
      <c r="S74" s="124">
        <f t="shared" ref="S74" si="105">ROUND((N74-2100)/N74*100,2)</f>
        <v>-0.38</v>
      </c>
      <c r="T74" s="124">
        <f t="shared" ref="T74" si="106">ROUND((N74-2100)/N74*100,2)</f>
        <v>-0.38</v>
      </c>
      <c r="U74" s="124">
        <f t="shared" si="94"/>
        <v>-0.57999999999999996</v>
      </c>
      <c r="V74" s="131">
        <f t="shared" si="95"/>
        <v>12.428000000000001</v>
      </c>
      <c r="W74" s="145">
        <f t="shared" si="96"/>
        <v>0.38</v>
      </c>
    </row>
    <row r="75" spans="1:38" ht="15.75" customHeight="1">
      <c r="A75" s="119"/>
      <c r="B75" s="129"/>
      <c r="C75" s="119"/>
      <c r="D75" s="130" t="s">
        <v>264</v>
      </c>
      <c r="E75" s="130">
        <v>2</v>
      </c>
      <c r="F75" s="130">
        <v>9170</v>
      </c>
      <c r="G75" s="130">
        <v>12653</v>
      </c>
      <c r="H75" s="130">
        <v>14698</v>
      </c>
      <c r="I75" s="130">
        <v>16990</v>
      </c>
      <c r="J75" s="130">
        <v>19495</v>
      </c>
      <c r="K75" s="130">
        <v>22216</v>
      </c>
      <c r="L75" s="130">
        <v>16902</v>
      </c>
      <c r="M75" s="130">
        <v>766.29401991515124</v>
      </c>
      <c r="N75" s="130">
        <v>13945</v>
      </c>
      <c r="O75" s="130">
        <v>304</v>
      </c>
      <c r="P75" s="119"/>
      <c r="Q75" s="119"/>
      <c r="R75" s="131"/>
      <c r="S75" s="124">
        <f t="shared" ref="S75" si="107">ROUND((N75-14000)/N75*100,2)</f>
        <v>-0.39</v>
      </c>
      <c r="T75" s="124">
        <f t="shared" ref="T75" si="108">ROUND((N75-14000)/N75*100,2)</f>
        <v>-0.39</v>
      </c>
      <c r="U75" s="124">
        <f t="shared" si="94"/>
        <v>-0.52</v>
      </c>
      <c r="V75" s="131">
        <f t="shared" si="95"/>
        <v>2.1800000000000002</v>
      </c>
      <c r="W75" s="145">
        <f t="shared" si="96"/>
        <v>0.39</v>
      </c>
    </row>
    <row r="76" spans="1:38" ht="15.75" customHeight="1">
      <c r="A76" s="119"/>
      <c r="B76" s="129"/>
      <c r="C76" s="119"/>
      <c r="D76" s="119"/>
      <c r="E76" s="130">
        <v>3</v>
      </c>
      <c r="F76" s="130">
        <v>24503</v>
      </c>
      <c r="G76" s="130">
        <v>32488</v>
      </c>
      <c r="H76" s="130">
        <v>37087</v>
      </c>
      <c r="I76" s="130">
        <v>42052</v>
      </c>
      <c r="J76" s="130">
        <v>47442</v>
      </c>
      <c r="K76" s="130">
        <v>53193</v>
      </c>
      <c r="L76" s="130">
        <v>42036</v>
      </c>
      <c r="M76" s="130">
        <v>813.54798056485288</v>
      </c>
      <c r="N76" s="130">
        <v>44924</v>
      </c>
      <c r="O76" s="130">
        <v>367</v>
      </c>
      <c r="P76" s="119"/>
      <c r="Q76" s="119"/>
      <c r="R76" s="131"/>
      <c r="S76" s="124">
        <f t="shared" ref="S76" si="109">ROUND((N76-45000)/N76*100,2)</f>
        <v>-0.17</v>
      </c>
      <c r="T76" s="124">
        <f>ROUND((N76-45000)/N76*100,2)</f>
        <v>-0.17</v>
      </c>
      <c r="U76" s="124">
        <f t="shared" si="94"/>
        <v>-0.04</v>
      </c>
      <c r="V76" s="131">
        <f t="shared" si="95"/>
        <v>0.81699999999999995</v>
      </c>
      <c r="W76" s="145">
        <f t="shared" si="96"/>
        <v>0.17</v>
      </c>
    </row>
    <row r="77" spans="1:38" ht="15.75" customHeight="1">
      <c r="A77" s="119"/>
      <c r="B77" s="129" t="s">
        <v>511</v>
      </c>
      <c r="C77" s="158" t="s">
        <v>561</v>
      </c>
      <c r="D77" s="124" t="s">
        <v>265</v>
      </c>
      <c r="E77" s="130">
        <v>1</v>
      </c>
      <c r="F77" s="130">
        <v>1495</v>
      </c>
      <c r="G77" s="130">
        <v>2153</v>
      </c>
      <c r="H77" s="130">
        <v>2552</v>
      </c>
      <c r="I77" s="130">
        <v>2995</v>
      </c>
      <c r="J77" s="130">
        <v>3488</v>
      </c>
      <c r="K77" s="130">
        <v>4036</v>
      </c>
      <c r="L77" s="130">
        <v>3006</v>
      </c>
      <c r="M77" s="130">
        <v>745.71764791807573</v>
      </c>
      <c r="N77" s="130">
        <v>2090</v>
      </c>
      <c r="O77" s="130">
        <v>744</v>
      </c>
      <c r="P77" s="119"/>
      <c r="Q77" s="119"/>
      <c r="R77" s="131"/>
      <c r="S77" s="124">
        <f t="shared" ref="S77" si="110">ROUND((N77-2100)/N77*100,2)</f>
        <v>-0.48</v>
      </c>
      <c r="T77" s="124">
        <f t="shared" ref="T77:T80" si="111">ROUND((N77-2100)/N77*100,2)</f>
        <v>-0.48</v>
      </c>
      <c r="U77" s="124">
        <f t="shared" si="94"/>
        <v>0.37</v>
      </c>
      <c r="V77" s="131">
        <f t="shared" si="95"/>
        <v>35.597999999999999</v>
      </c>
      <c r="W77" s="145">
        <f t="shared" si="96"/>
        <v>0.48</v>
      </c>
    </row>
    <row r="78" spans="1:38" ht="15.75" customHeight="1">
      <c r="A78" s="119"/>
      <c r="B78" s="129"/>
      <c r="C78" s="119"/>
      <c r="D78" s="119"/>
      <c r="E78" s="130">
        <v>2</v>
      </c>
      <c r="F78" s="130">
        <v>10077</v>
      </c>
      <c r="G78" s="130">
        <v>13843</v>
      </c>
      <c r="H78" s="130">
        <v>16038</v>
      </c>
      <c r="I78" s="130">
        <v>18483</v>
      </c>
      <c r="J78" s="130">
        <v>21211</v>
      </c>
      <c r="K78" s="130">
        <v>24217</v>
      </c>
      <c r="L78" s="130">
        <v>18500</v>
      </c>
      <c r="M78" s="130">
        <v>752.24754320693955</v>
      </c>
      <c r="N78" s="130">
        <v>14020</v>
      </c>
      <c r="O78" s="130">
        <v>303</v>
      </c>
      <c r="P78" s="119"/>
      <c r="Q78" s="119"/>
      <c r="R78" s="131"/>
      <c r="S78" s="124">
        <f t="shared" ref="S78" si="112">ROUND((N78-14000)/N78*100,2)</f>
        <v>0.14000000000000001</v>
      </c>
      <c r="T78" s="124">
        <f t="shared" ref="T78" si="113">ROUND((N78-14000)/N78*100,2)</f>
        <v>0.14000000000000001</v>
      </c>
      <c r="U78" s="124">
        <f t="shared" si="94"/>
        <v>0.09</v>
      </c>
      <c r="V78" s="131">
        <f t="shared" si="95"/>
        <v>2.161</v>
      </c>
      <c r="W78" s="145">
        <f t="shared" si="96"/>
        <v>0.14000000000000001</v>
      </c>
    </row>
    <row r="79" spans="1:38" ht="15.75" customHeight="1">
      <c r="A79" s="119"/>
      <c r="B79" s="129"/>
      <c r="C79" s="119"/>
      <c r="D79" s="119"/>
      <c r="E79" s="130">
        <v>3</v>
      </c>
      <c r="F79" s="130">
        <v>26292</v>
      </c>
      <c r="G79" s="130">
        <v>35100</v>
      </c>
      <c r="H79" s="130">
        <v>40127</v>
      </c>
      <c r="I79" s="130">
        <v>45605</v>
      </c>
      <c r="J79" s="130">
        <v>51567</v>
      </c>
      <c r="K79" s="130">
        <v>57665</v>
      </c>
      <c r="L79" s="130">
        <v>45650</v>
      </c>
      <c r="M79" s="130">
        <v>797.34873224657974</v>
      </c>
      <c r="N79" s="130">
        <v>45010</v>
      </c>
      <c r="O79" s="130">
        <v>376</v>
      </c>
      <c r="P79" s="119"/>
      <c r="Q79" s="119"/>
      <c r="R79" s="131"/>
      <c r="S79" s="124">
        <f t="shared" ref="S79" si="114">ROUND((N79-45000)/N79*100,2)</f>
        <v>0.02</v>
      </c>
      <c r="T79" s="124">
        <f t="shared" ref="T79" si="115">ROUND((N79-45000)/N79*100,2)</f>
        <v>0.02</v>
      </c>
      <c r="U79" s="124">
        <f t="shared" si="94"/>
        <v>0.1</v>
      </c>
      <c r="V79" s="131">
        <f t="shared" si="95"/>
        <v>0.83499999999999996</v>
      </c>
      <c r="W79" s="145">
        <f t="shared" si="96"/>
        <v>0.02</v>
      </c>
    </row>
    <row r="80" spans="1:38" ht="15.75" customHeight="1">
      <c r="A80" s="119"/>
      <c r="B80" s="129" t="s">
        <v>512</v>
      </c>
      <c r="C80" s="158" t="s">
        <v>562</v>
      </c>
      <c r="D80" s="124" t="s">
        <v>266</v>
      </c>
      <c r="E80" s="130">
        <v>1</v>
      </c>
      <c r="F80" s="130">
        <v>1390</v>
      </c>
      <c r="G80" s="130">
        <v>2028</v>
      </c>
      <c r="H80" s="130">
        <v>2402</v>
      </c>
      <c r="I80" s="130">
        <v>2828</v>
      </c>
      <c r="J80" s="130">
        <v>3264</v>
      </c>
      <c r="K80" s="130">
        <v>3763</v>
      </c>
      <c r="L80" s="130">
        <v>2818</v>
      </c>
      <c r="M80" s="130">
        <v>755.20859430114615</v>
      </c>
      <c r="N80" s="130">
        <v>2104</v>
      </c>
      <c r="O80" s="130">
        <v>288</v>
      </c>
      <c r="P80" s="119"/>
      <c r="Q80" s="119"/>
      <c r="R80" s="131"/>
      <c r="S80" s="124">
        <f t="shared" ref="S80" si="116">ROUND((N80-2100)/N80*100,2)</f>
        <v>0.19</v>
      </c>
      <c r="T80" s="124">
        <f t="shared" si="111"/>
        <v>0.19</v>
      </c>
      <c r="U80" s="124">
        <f t="shared" si="94"/>
        <v>-0.35</v>
      </c>
      <c r="V80" s="131">
        <f t="shared" si="95"/>
        <v>13.688000000000001</v>
      </c>
      <c r="W80" s="145">
        <f t="shared" si="96"/>
        <v>0.19</v>
      </c>
    </row>
    <row r="81" spans="1:23" ht="15.75" customHeight="1">
      <c r="A81" s="119"/>
      <c r="B81" s="129"/>
      <c r="C81" s="119"/>
      <c r="D81" s="130" t="s">
        <v>267</v>
      </c>
      <c r="E81" s="130">
        <v>2</v>
      </c>
      <c r="F81" s="130">
        <v>9434</v>
      </c>
      <c r="G81" s="130">
        <v>12773</v>
      </c>
      <c r="H81" s="130">
        <v>14000</v>
      </c>
      <c r="I81" s="130">
        <v>16753</v>
      </c>
      <c r="J81" s="130">
        <v>18979</v>
      </c>
      <c r="K81" s="130">
        <v>21333</v>
      </c>
      <c r="L81" s="130">
        <v>16804</v>
      </c>
      <c r="M81" s="130">
        <v>770.6225078975375</v>
      </c>
      <c r="N81" s="130">
        <v>14350</v>
      </c>
      <c r="O81" s="130">
        <v>327</v>
      </c>
      <c r="P81" s="130">
        <v>767</v>
      </c>
      <c r="Q81" s="130">
        <v>14060</v>
      </c>
      <c r="R81" s="131">
        <v>322</v>
      </c>
      <c r="S81" s="124">
        <f t="shared" ref="S81" si="117">ROUND((N81-14000)/N81*100,2)</f>
        <v>2.44</v>
      </c>
      <c r="T81" s="124">
        <f>ROUND((Q81-14000)/Q81*100,2)</f>
        <v>0.43</v>
      </c>
      <c r="U81" s="124">
        <f t="shared" si="94"/>
        <v>0.3</v>
      </c>
      <c r="V81" s="131">
        <f t="shared" si="95"/>
        <v>2.2789999999999999</v>
      </c>
      <c r="W81" s="145">
        <f t="shared" si="96"/>
        <v>0.43</v>
      </c>
    </row>
    <row r="82" spans="1:23" ht="15.75" customHeight="1">
      <c r="A82" s="119"/>
      <c r="B82" s="129"/>
      <c r="C82" s="119"/>
      <c r="D82" s="119"/>
      <c r="E82" s="130">
        <v>3</v>
      </c>
      <c r="F82" s="130">
        <v>24085</v>
      </c>
      <c r="G82" s="130">
        <v>31660</v>
      </c>
      <c r="H82" s="130">
        <v>35900</v>
      </c>
      <c r="I82" s="130">
        <v>40490</v>
      </c>
      <c r="J82" s="130">
        <v>45423</v>
      </c>
      <c r="K82" s="130">
        <v>50760</v>
      </c>
      <c r="L82" s="130">
        <v>40566</v>
      </c>
      <c r="M82" s="130">
        <v>822.35523189006767</v>
      </c>
      <c r="N82" s="130">
        <v>44908</v>
      </c>
      <c r="O82" s="130">
        <v>396</v>
      </c>
      <c r="P82" s="119"/>
      <c r="Q82" s="119"/>
      <c r="R82" s="131"/>
      <c r="S82" s="124">
        <f t="shared" ref="S82" si="118">ROUND((N82-45000)/N82*100,2)</f>
        <v>-0.2</v>
      </c>
      <c r="T82" s="124">
        <f t="shared" ref="T82" si="119">ROUND((N82-45000)/N82*100,2)</f>
        <v>-0.2</v>
      </c>
      <c r="U82" s="124">
        <f t="shared" si="94"/>
        <v>0.19</v>
      </c>
      <c r="V82" s="131">
        <f t="shared" si="95"/>
        <v>0.88200000000000001</v>
      </c>
      <c r="W82" s="145">
        <f t="shared" si="96"/>
        <v>0.2</v>
      </c>
    </row>
    <row r="83" spans="1:23" ht="15.75" customHeight="1">
      <c r="A83" s="119"/>
      <c r="B83" s="129" t="s">
        <v>513</v>
      </c>
      <c r="C83" s="158" t="s">
        <v>563</v>
      </c>
      <c r="D83" s="124" t="s">
        <v>268</v>
      </c>
      <c r="E83" s="130">
        <v>1</v>
      </c>
      <c r="F83" s="130">
        <v>951</v>
      </c>
      <c r="G83" s="130">
        <v>1502</v>
      </c>
      <c r="H83" s="130">
        <v>1814</v>
      </c>
      <c r="I83" s="130">
        <v>2158</v>
      </c>
      <c r="J83" s="130">
        <v>2382</v>
      </c>
      <c r="K83" s="130">
        <v>2990</v>
      </c>
      <c r="L83" s="130">
        <v>2191</v>
      </c>
      <c r="M83" s="130">
        <v>800.27514565295962</v>
      </c>
      <c r="N83" s="130">
        <v>2160</v>
      </c>
      <c r="O83" s="130">
        <v>261</v>
      </c>
      <c r="P83" s="130">
        <v>798</v>
      </c>
      <c r="Q83" s="130">
        <v>2120</v>
      </c>
      <c r="R83" s="131">
        <v>264</v>
      </c>
      <c r="S83" s="124">
        <f t="shared" ref="S83" si="120">ROUND((N83-2100)/N83*100,2)</f>
        <v>2.78</v>
      </c>
      <c r="T83" s="124">
        <f>ROUND((Q83-2100)/Q83*100,2)</f>
        <v>0.94</v>
      </c>
      <c r="U83" s="124">
        <f t="shared" si="94"/>
        <v>1.51</v>
      </c>
      <c r="V83" s="131">
        <f t="shared" si="95"/>
        <v>12.083</v>
      </c>
      <c r="W83" s="145"/>
    </row>
    <row r="84" spans="1:23" ht="15.75" customHeight="1">
      <c r="A84" s="119"/>
      <c r="B84" s="129"/>
      <c r="C84" s="119"/>
      <c r="D84" s="130" t="s">
        <v>269</v>
      </c>
      <c r="E84" s="130">
        <v>2</v>
      </c>
      <c r="F84" s="130">
        <v>6906</v>
      </c>
      <c r="G84" s="130">
        <v>9807</v>
      </c>
      <c r="H84" s="130">
        <v>11572</v>
      </c>
      <c r="I84" s="130">
        <v>13527</v>
      </c>
      <c r="J84" s="130">
        <v>15737</v>
      </c>
      <c r="K84" s="130">
        <v>18214</v>
      </c>
      <c r="L84" s="130">
        <v>13707</v>
      </c>
      <c r="M84" s="130">
        <v>806.208047673946</v>
      </c>
      <c r="N84" s="130">
        <v>14057</v>
      </c>
      <c r="O84" s="130">
        <v>319</v>
      </c>
      <c r="P84" s="119"/>
      <c r="Q84" s="119"/>
      <c r="R84" s="131"/>
      <c r="S84" s="124">
        <f t="shared" ref="S84" si="121">ROUND((N84-14000)/N84*100,2)</f>
        <v>0.41</v>
      </c>
      <c r="T84" s="124">
        <f t="shared" ref="T84" si="122">ROUND((N84-14000)/N84*100,2)</f>
        <v>0.41</v>
      </c>
      <c r="U84" s="124">
        <f t="shared" si="94"/>
        <v>1.31</v>
      </c>
      <c r="V84" s="131">
        <f t="shared" si="95"/>
        <v>2.2690000000000001</v>
      </c>
      <c r="W84" s="145">
        <f t="shared" si="96"/>
        <v>0.41</v>
      </c>
    </row>
    <row r="85" spans="1:23" ht="15.75" customHeight="1">
      <c r="A85" s="119"/>
      <c r="B85" s="129"/>
      <c r="C85" s="119"/>
      <c r="D85" s="119"/>
      <c r="E85" s="130">
        <v>3</v>
      </c>
      <c r="F85" s="130">
        <v>19566</v>
      </c>
      <c r="G85" s="130">
        <v>27551</v>
      </c>
      <c r="H85" s="130">
        <v>32368</v>
      </c>
      <c r="I85" s="130">
        <v>37610</v>
      </c>
      <c r="J85" s="130">
        <v>43376</v>
      </c>
      <c r="K85" s="130">
        <v>49993</v>
      </c>
      <c r="L85" s="130">
        <v>37831</v>
      </c>
      <c r="M85" s="130">
        <v>830.57094323962997</v>
      </c>
      <c r="N85" s="130">
        <v>44760</v>
      </c>
      <c r="O85" s="130">
        <v>396</v>
      </c>
      <c r="P85" s="130">
        <v>830</v>
      </c>
      <c r="Q85" s="130">
        <v>44900</v>
      </c>
      <c r="R85" s="131">
        <v>402</v>
      </c>
      <c r="S85" s="124">
        <f t="shared" ref="S85" si="123">ROUND((N85-45000)/N85*100,2)</f>
        <v>-0.54</v>
      </c>
      <c r="T85" s="124">
        <f>ROUND((Q85-45000)/Q85*100,2)</f>
        <v>-0.22</v>
      </c>
      <c r="U85" s="124">
        <f t="shared" si="94"/>
        <v>0.57999999999999996</v>
      </c>
      <c r="V85" s="131">
        <f t="shared" si="95"/>
        <v>0.88500000000000001</v>
      </c>
      <c r="W85" s="145">
        <f t="shared" si="96"/>
        <v>0.22</v>
      </c>
    </row>
    <row r="86" spans="1:23" ht="15.75" customHeight="1">
      <c r="A86" s="119"/>
      <c r="B86" s="129" t="s">
        <v>514</v>
      </c>
      <c r="C86" s="158" t="s">
        <v>564</v>
      </c>
      <c r="D86" s="124" t="s">
        <v>270</v>
      </c>
      <c r="E86" s="130">
        <v>1</v>
      </c>
      <c r="F86" s="130">
        <v>1307</v>
      </c>
      <c r="G86" s="130">
        <v>2002</v>
      </c>
      <c r="H86" s="130">
        <v>2410</v>
      </c>
      <c r="I86" s="130">
        <v>2864</v>
      </c>
      <c r="J86" s="130">
        <v>3370</v>
      </c>
      <c r="K86" s="130">
        <v>3975</v>
      </c>
      <c r="L86" s="130">
        <v>2907</v>
      </c>
      <c r="M86" s="130">
        <v>756.92069542766797</v>
      </c>
      <c r="N86" s="130">
        <v>2119</v>
      </c>
      <c r="O86" s="130">
        <v>272</v>
      </c>
      <c r="P86" s="119"/>
      <c r="Q86" s="119"/>
      <c r="R86" s="131"/>
      <c r="S86" s="124">
        <f t="shared" ref="S86" si="124">ROUND((N86-2100)/N86*100,2)</f>
        <v>0.9</v>
      </c>
      <c r="T86" s="124">
        <f t="shared" ref="T86" si="125">ROUND((N86-2100)/N86*100,2)</f>
        <v>0.9</v>
      </c>
      <c r="U86" s="124">
        <f t="shared" si="94"/>
        <v>1.48</v>
      </c>
      <c r="V86" s="131">
        <f t="shared" si="95"/>
        <v>12.836</v>
      </c>
      <c r="W86" s="145">
        <f t="shared" si="96"/>
        <v>0.9</v>
      </c>
    </row>
    <row r="87" spans="1:23" ht="15.75" customHeight="1">
      <c r="A87" s="119"/>
      <c r="B87" s="129"/>
      <c r="C87" s="119"/>
      <c r="D87" s="130" t="s">
        <v>271</v>
      </c>
      <c r="E87" s="130">
        <v>2</v>
      </c>
      <c r="F87" s="130">
        <v>9598</v>
      </c>
      <c r="G87" s="130">
        <v>13828</v>
      </c>
      <c r="H87" s="130">
        <v>16380</v>
      </c>
      <c r="I87" s="130">
        <v>19353</v>
      </c>
      <c r="J87" s="130">
        <v>22705</v>
      </c>
      <c r="K87" s="130">
        <v>26570</v>
      </c>
      <c r="L87" s="130">
        <v>19520</v>
      </c>
      <c r="M87" s="130">
        <v>751.7442815503307</v>
      </c>
      <c r="N87" s="130">
        <v>13959</v>
      </c>
      <c r="O87" s="130">
        <v>323</v>
      </c>
      <c r="P87" s="119"/>
      <c r="Q87" s="119"/>
      <c r="R87" s="131"/>
      <c r="S87" s="124">
        <f t="shared" ref="S87" si="126">ROUND((N87-14000)/N87*100,2)</f>
        <v>-0.28999999999999998</v>
      </c>
      <c r="T87" s="124">
        <f t="shared" ref="T87:T96" si="127">ROUND((N87-14000)/N87*100,2)</f>
        <v>-0.28999999999999998</v>
      </c>
      <c r="U87" s="124">
        <f t="shared" si="94"/>
        <v>0.86</v>
      </c>
      <c r="V87" s="131">
        <f t="shared" si="95"/>
        <v>2.3140000000000001</v>
      </c>
      <c r="W87" s="145">
        <f t="shared" si="96"/>
        <v>0.28999999999999998</v>
      </c>
    </row>
    <row r="88" spans="1:23" ht="15.75" customHeight="1">
      <c r="A88" s="119"/>
      <c r="B88" s="129"/>
      <c r="C88" s="119"/>
      <c r="D88" s="119"/>
      <c r="E88" s="130">
        <v>3</v>
      </c>
      <c r="F88" s="130">
        <v>28041</v>
      </c>
      <c r="G88" s="130">
        <v>39772</v>
      </c>
      <c r="H88" s="130">
        <v>47110</v>
      </c>
      <c r="I88" s="130">
        <v>54950</v>
      </c>
      <c r="J88" s="130">
        <v>61421</v>
      </c>
      <c r="K88" s="130" t="s">
        <v>257</v>
      </c>
      <c r="L88" s="130">
        <v>55182</v>
      </c>
      <c r="M88" s="130">
        <v>768.00441937150833</v>
      </c>
      <c r="N88" s="130">
        <v>44998</v>
      </c>
      <c r="O88" s="130">
        <v>433</v>
      </c>
      <c r="P88" s="119"/>
      <c r="Q88" s="119"/>
      <c r="R88" s="131"/>
      <c r="S88" s="124">
        <f t="shared" ref="S88" si="128">ROUND((N88-45000)/N88*100,2)</f>
        <v>0</v>
      </c>
      <c r="T88" s="124">
        <f>ROUND((N88-45000)/N88*100,4)</f>
        <v>-4.4000000000000003E-3</v>
      </c>
      <c r="U88" s="124">
        <f t="shared" si="94"/>
        <v>0.42</v>
      </c>
      <c r="V88" s="131">
        <f t="shared" si="95"/>
        <v>0.96199999999999997</v>
      </c>
      <c r="W88" s="145">
        <f t="shared" si="96"/>
        <v>4.4000000000000003E-3</v>
      </c>
    </row>
    <row r="89" spans="1:23" ht="15.75" customHeight="1">
      <c r="A89" s="119"/>
      <c r="B89" s="129" t="s">
        <v>515</v>
      </c>
      <c r="C89" s="158" t="s">
        <v>565</v>
      </c>
      <c r="D89" s="124" t="s">
        <v>272</v>
      </c>
      <c r="E89" s="130">
        <v>1</v>
      </c>
      <c r="F89" s="130">
        <v>1085</v>
      </c>
      <c r="G89" s="130">
        <v>1681</v>
      </c>
      <c r="H89" s="130">
        <v>2054</v>
      </c>
      <c r="I89" s="130">
        <v>2390</v>
      </c>
      <c r="J89" s="130">
        <v>2843</v>
      </c>
      <c r="K89" s="130">
        <v>3336</v>
      </c>
      <c r="L89" s="130">
        <v>2322</v>
      </c>
      <c r="M89" s="130">
        <v>779.21858810046854</v>
      </c>
      <c r="N89" s="130">
        <v>2136</v>
      </c>
      <c r="O89" s="130">
        <v>299</v>
      </c>
      <c r="P89" s="119"/>
      <c r="Q89" s="119"/>
      <c r="R89" s="131"/>
      <c r="S89" s="124">
        <f t="shared" ref="S89" si="129">ROUND((N89-2100)/N89*100,2)</f>
        <v>1.69</v>
      </c>
      <c r="T89" s="124">
        <f t="shared" ref="T89:T95" si="130">ROUND((N89-2100)/N89*100,2)</f>
        <v>1.69</v>
      </c>
      <c r="U89" s="124">
        <f t="shared" si="94"/>
        <v>-2.93</v>
      </c>
      <c r="V89" s="131">
        <f t="shared" si="95"/>
        <v>13.997999999999999</v>
      </c>
      <c r="W89" s="145">
        <f t="shared" si="96"/>
        <v>1.69</v>
      </c>
    </row>
    <row r="90" spans="1:23" ht="15.75" customHeight="1">
      <c r="A90" s="119"/>
      <c r="B90" s="129"/>
      <c r="C90" s="119"/>
      <c r="D90" s="130" t="s">
        <v>273</v>
      </c>
      <c r="E90" s="130">
        <v>2</v>
      </c>
      <c r="F90" s="130">
        <v>7521</v>
      </c>
      <c r="G90" s="130">
        <v>10680</v>
      </c>
      <c r="H90" s="130">
        <v>12675</v>
      </c>
      <c r="I90" s="130">
        <v>14885</v>
      </c>
      <c r="J90" s="130">
        <v>17268</v>
      </c>
      <c r="K90" s="130">
        <v>19957</v>
      </c>
      <c r="L90" s="130">
        <v>14924</v>
      </c>
      <c r="M90" s="130">
        <v>791.25139201345371</v>
      </c>
      <c r="N90" s="130">
        <v>14321</v>
      </c>
      <c r="O90" s="130">
        <v>353</v>
      </c>
      <c r="P90" s="130">
        <v>789</v>
      </c>
      <c r="Q90" s="130">
        <v>14059</v>
      </c>
      <c r="R90" s="131">
        <v>347</v>
      </c>
      <c r="S90" s="124">
        <f t="shared" ref="S90" si="131">ROUND((N90-14000)/N90*100,2)</f>
        <v>2.2400000000000002</v>
      </c>
      <c r="T90" s="124">
        <f>ROUND((Q90-14000)/Q90*100,2)</f>
        <v>0.42</v>
      </c>
      <c r="U90" s="124">
        <f t="shared" si="94"/>
        <v>0.26</v>
      </c>
      <c r="V90" s="131">
        <f t="shared" si="95"/>
        <v>2.4649999999999999</v>
      </c>
      <c r="W90" s="145">
        <f t="shared" si="96"/>
        <v>0.42</v>
      </c>
    </row>
    <row r="91" spans="1:23" ht="15.75" customHeight="1" thickBot="1">
      <c r="A91" s="119"/>
      <c r="B91" s="132"/>
      <c r="C91" s="159"/>
      <c r="D91" s="133"/>
      <c r="E91" s="133">
        <v>3</v>
      </c>
      <c r="F91" s="133">
        <v>19937</v>
      </c>
      <c r="G91" s="133">
        <v>27403</v>
      </c>
      <c r="H91" s="133">
        <v>31976</v>
      </c>
      <c r="I91" s="133">
        <v>37200</v>
      </c>
      <c r="J91" s="133">
        <v>43070</v>
      </c>
      <c r="K91" s="133">
        <v>50060</v>
      </c>
      <c r="L91" s="133">
        <v>38860</v>
      </c>
      <c r="M91" s="133">
        <v>831.85792455473029</v>
      </c>
      <c r="N91" s="133">
        <v>45260</v>
      </c>
      <c r="O91" s="133">
        <v>460</v>
      </c>
      <c r="P91" s="133">
        <v>831</v>
      </c>
      <c r="Q91" s="133">
        <v>44941</v>
      </c>
      <c r="R91" s="134">
        <v>462</v>
      </c>
      <c r="S91" s="124">
        <f t="shared" ref="S91" si="132">ROUND((N91-45000)/N91*100,2)</f>
        <v>0.56999999999999995</v>
      </c>
      <c r="T91" s="124">
        <f>ROUND((Q91-45000)/Q91*100,2)</f>
        <v>-0.13</v>
      </c>
      <c r="U91" s="124">
        <f t="shared" si="94"/>
        <v>4.2699999999999996</v>
      </c>
      <c r="V91" s="131">
        <f t="shared" si="95"/>
        <v>1.016</v>
      </c>
      <c r="W91" s="145">
        <f t="shared" si="96"/>
        <v>0.13</v>
      </c>
    </row>
    <row r="92" spans="1:23" ht="15.75" customHeight="1" thickBot="1">
      <c r="A92" s="155" t="s">
        <v>274</v>
      </c>
      <c r="B92" s="129" t="s">
        <v>526</v>
      </c>
      <c r="C92" s="124" t="s">
        <v>516</v>
      </c>
      <c r="D92" s="124" t="s">
        <v>275</v>
      </c>
      <c r="E92" s="124">
        <v>1</v>
      </c>
      <c r="F92" s="124">
        <v>1258</v>
      </c>
      <c r="G92" s="124">
        <v>1953</v>
      </c>
      <c r="H92" s="124">
        <v>2364</v>
      </c>
      <c r="I92" s="124">
        <v>2820</v>
      </c>
      <c r="J92" s="124">
        <v>3334</v>
      </c>
      <c r="K92" s="124">
        <v>3903</v>
      </c>
      <c r="L92" s="124">
        <v>2927</v>
      </c>
      <c r="M92" s="124">
        <v>758.23675300747823</v>
      </c>
      <c r="N92" s="124">
        <v>2086</v>
      </c>
      <c r="O92" s="124">
        <v>298</v>
      </c>
      <c r="P92" s="124"/>
      <c r="Q92" s="124"/>
      <c r="R92" s="131"/>
      <c r="S92" s="129">
        <f t="shared" ref="S92" si="133">ROUND((N92-2100)/N92*100,2)</f>
        <v>-0.67</v>
      </c>
      <c r="T92" s="124">
        <f t="shared" si="130"/>
        <v>-0.67</v>
      </c>
      <c r="U92" s="124">
        <f t="shared" si="94"/>
        <v>3.66</v>
      </c>
      <c r="V92" s="131">
        <f t="shared" si="95"/>
        <v>14.286</v>
      </c>
      <c r="W92" s="145">
        <f t="shared" si="96"/>
        <v>0.67</v>
      </c>
    </row>
    <row r="93" spans="1:23" ht="15.75" customHeight="1">
      <c r="A93" s="119"/>
      <c r="B93" s="129"/>
      <c r="C93" s="119"/>
      <c r="D93" s="146">
        <v>45401</v>
      </c>
      <c r="E93" s="130">
        <v>2</v>
      </c>
      <c r="F93" s="130">
        <v>9140</v>
      </c>
      <c r="G93" s="130">
        <v>13073</v>
      </c>
      <c r="H93" s="130">
        <v>15454</v>
      </c>
      <c r="I93" s="130">
        <v>18183</v>
      </c>
      <c r="J93" s="130">
        <v>21305</v>
      </c>
      <c r="K93" s="130">
        <v>24793</v>
      </c>
      <c r="L93" s="130">
        <v>18421</v>
      </c>
      <c r="M93" s="130">
        <v>759.47132672559167</v>
      </c>
      <c r="N93" s="130">
        <v>13928</v>
      </c>
      <c r="O93" s="130">
        <v>343</v>
      </c>
      <c r="P93" s="119"/>
      <c r="Q93" s="119"/>
      <c r="R93" s="131"/>
      <c r="S93" s="129">
        <f t="shared" ref="S93" si="134">ROUND((N93-14000)/N93*100,2)</f>
        <v>-0.52</v>
      </c>
      <c r="T93" s="124">
        <f t="shared" si="127"/>
        <v>-0.52</v>
      </c>
      <c r="U93" s="124">
        <f t="shared" si="94"/>
        <v>1.29</v>
      </c>
      <c r="V93" s="131">
        <f t="shared" si="95"/>
        <v>2.4630000000000001</v>
      </c>
      <c r="W93" s="145">
        <f t="shared" si="96"/>
        <v>0.52</v>
      </c>
    </row>
    <row r="94" spans="1:23" ht="15.75" customHeight="1">
      <c r="A94" s="119"/>
      <c r="B94" s="129"/>
      <c r="C94" s="119"/>
      <c r="D94" s="119"/>
      <c r="E94" s="130">
        <v>3</v>
      </c>
      <c r="F94" s="130">
        <v>26354</v>
      </c>
      <c r="G94" s="130">
        <v>37184</v>
      </c>
      <c r="H94" s="130">
        <v>44176</v>
      </c>
      <c r="I94" s="130">
        <v>52275</v>
      </c>
      <c r="J94" s="130">
        <v>60529</v>
      </c>
      <c r="K94" s="130" t="s">
        <v>257</v>
      </c>
      <c r="L94" s="130">
        <v>52439</v>
      </c>
      <c r="M94" s="130">
        <v>778.00334383318511</v>
      </c>
      <c r="N94" s="130">
        <v>44973</v>
      </c>
      <c r="O94" s="130">
        <v>452</v>
      </c>
      <c r="P94" s="119"/>
      <c r="Q94" s="119"/>
      <c r="R94" s="131"/>
      <c r="S94" s="129">
        <f t="shared" ref="S94" si="135">ROUND((N94-45000)/N94*100,2)</f>
        <v>-0.06</v>
      </c>
      <c r="T94" s="124">
        <f>ROUND((N94-45000)/N94*100,4)</f>
        <v>-0.06</v>
      </c>
      <c r="U94" s="124">
        <f t="shared" si="94"/>
        <v>0.31</v>
      </c>
      <c r="V94" s="131">
        <f t="shared" si="95"/>
        <v>1.0049999999999999</v>
      </c>
      <c r="W94" s="145">
        <f t="shared" si="96"/>
        <v>0.06</v>
      </c>
    </row>
    <row r="95" spans="1:23" ht="15.75" customHeight="1">
      <c r="A95" s="119"/>
      <c r="B95" s="129" t="s">
        <v>527</v>
      </c>
      <c r="C95" s="119" t="s">
        <v>517</v>
      </c>
      <c r="D95" s="119"/>
      <c r="E95" s="130">
        <v>1</v>
      </c>
      <c r="F95" s="130">
        <v>1310</v>
      </c>
      <c r="G95" s="130">
        <v>1988</v>
      </c>
      <c r="H95" s="130">
        <v>2379</v>
      </c>
      <c r="I95" s="130">
        <v>2874</v>
      </c>
      <c r="J95" s="130">
        <v>3333</v>
      </c>
      <c r="K95" s="130">
        <v>3895</v>
      </c>
      <c r="L95" s="130">
        <v>2770</v>
      </c>
      <c r="M95" s="130">
        <v>757.42950591534941</v>
      </c>
      <c r="N95" s="130">
        <v>2100</v>
      </c>
      <c r="O95" s="130">
        <v>265</v>
      </c>
      <c r="P95" s="119"/>
      <c r="Q95" s="119"/>
      <c r="R95" s="131"/>
      <c r="S95" s="129">
        <f t="shared" ref="S95" si="136">ROUND((N95-2100)/N95*100,2)</f>
        <v>0</v>
      </c>
      <c r="T95" s="124">
        <f t="shared" si="130"/>
        <v>0</v>
      </c>
      <c r="U95" s="124">
        <f t="shared" si="94"/>
        <v>-3.75</v>
      </c>
      <c r="V95" s="131">
        <f t="shared" si="95"/>
        <v>12.619</v>
      </c>
      <c r="W95" s="145">
        <f t="shared" si="96"/>
        <v>0</v>
      </c>
    </row>
    <row r="96" spans="1:23" ht="15.75" customHeight="1">
      <c r="A96" s="119"/>
      <c r="B96" s="129"/>
      <c r="C96" s="119"/>
      <c r="D96" s="119"/>
      <c r="E96" s="130">
        <v>2</v>
      </c>
      <c r="F96" s="130">
        <v>9430</v>
      </c>
      <c r="G96" s="130">
        <v>13445</v>
      </c>
      <c r="H96" s="130">
        <v>15899</v>
      </c>
      <c r="I96" s="130">
        <v>18706</v>
      </c>
      <c r="J96" s="130">
        <v>21859</v>
      </c>
      <c r="K96" s="130">
        <v>25450</v>
      </c>
      <c r="L96" s="130">
        <v>18441</v>
      </c>
      <c r="M96" s="130">
        <v>755.75873027101807</v>
      </c>
      <c r="N96" s="130">
        <v>13944</v>
      </c>
      <c r="O96" s="130">
        <v>314</v>
      </c>
      <c r="P96" s="119"/>
      <c r="Q96" s="119"/>
      <c r="R96" s="131"/>
      <c r="S96" s="129">
        <f t="shared" ref="S96" si="137">ROUND((N96-14000)/N96*100,2)</f>
        <v>-0.4</v>
      </c>
      <c r="T96" s="124">
        <f t="shared" si="127"/>
        <v>-0.4</v>
      </c>
      <c r="U96" s="124">
        <f t="shared" si="94"/>
        <v>-1.44</v>
      </c>
      <c r="V96" s="131">
        <f t="shared" si="95"/>
        <v>2.2519999999999998</v>
      </c>
      <c r="W96" s="145">
        <f t="shared" si="96"/>
        <v>0.4</v>
      </c>
    </row>
    <row r="97" spans="1:23" ht="15.75" customHeight="1">
      <c r="A97" s="119"/>
      <c r="B97" s="129"/>
      <c r="C97" s="119"/>
      <c r="D97" s="119"/>
      <c r="E97" s="130">
        <v>3</v>
      </c>
      <c r="F97" s="130">
        <v>27266</v>
      </c>
      <c r="G97" s="130">
        <v>38431</v>
      </c>
      <c r="H97" s="130">
        <v>45465</v>
      </c>
      <c r="I97" s="130">
        <v>53322</v>
      </c>
      <c r="J97" s="130">
        <v>60121</v>
      </c>
      <c r="K97" s="130" t="s">
        <v>34</v>
      </c>
      <c r="L97" s="130">
        <v>53203</v>
      </c>
      <c r="M97" s="130">
        <v>774.18978439553075</v>
      </c>
      <c r="N97" s="130">
        <v>45293</v>
      </c>
      <c r="O97" s="130">
        <v>424</v>
      </c>
      <c r="P97" s="119"/>
      <c r="Q97" s="119"/>
      <c r="R97" s="131"/>
      <c r="S97" s="129">
        <f t="shared" ref="S97" si="138">ROUND((N97-45000)/N97*100,2)</f>
        <v>0.65</v>
      </c>
      <c r="T97" s="124">
        <f>ROUND((N97-45000)/N97*100,4)</f>
        <v>0.64690000000000003</v>
      </c>
      <c r="U97" s="124">
        <f t="shared" si="94"/>
        <v>-0.22</v>
      </c>
      <c r="V97" s="131">
        <f t="shared" si="95"/>
        <v>0.93600000000000005</v>
      </c>
      <c r="W97" s="145">
        <f t="shared" si="96"/>
        <v>0.64690000000000003</v>
      </c>
    </row>
    <row r="98" spans="1:23" ht="15.75" customHeight="1">
      <c r="A98" s="119"/>
      <c r="B98" s="129" t="s">
        <v>528</v>
      </c>
      <c r="C98" s="119" t="s">
        <v>518</v>
      </c>
      <c r="D98" s="130" t="s">
        <v>276</v>
      </c>
      <c r="E98" s="130">
        <v>1</v>
      </c>
      <c r="F98" s="130">
        <v>1118</v>
      </c>
      <c r="G98" s="130">
        <v>1749</v>
      </c>
      <c r="H98" s="130">
        <v>2092</v>
      </c>
      <c r="I98" s="130">
        <v>2484</v>
      </c>
      <c r="J98" s="130">
        <v>2926</v>
      </c>
      <c r="K98" s="130">
        <v>3436</v>
      </c>
      <c r="L98" s="130">
        <v>2410</v>
      </c>
      <c r="M98" s="130">
        <v>775.28902756300226</v>
      </c>
      <c r="N98" s="130">
        <v>2073</v>
      </c>
      <c r="O98" s="130">
        <v>262</v>
      </c>
      <c r="P98" s="119"/>
      <c r="Q98" s="119"/>
      <c r="R98" s="131"/>
      <c r="S98" s="129">
        <f t="shared" ref="S98" si="139">ROUND((N98-2100)/N98*100,2)</f>
        <v>-1.3</v>
      </c>
      <c r="T98" s="124">
        <f t="shared" ref="T98" si="140">ROUND((N98-2100)/N98*100,2)</f>
        <v>-1.3</v>
      </c>
      <c r="U98" s="124">
        <f t="shared" si="94"/>
        <v>-3.07</v>
      </c>
      <c r="V98" s="131">
        <f t="shared" si="95"/>
        <v>12.638999999999999</v>
      </c>
      <c r="W98" s="145">
        <f t="shared" si="96"/>
        <v>1.3</v>
      </c>
    </row>
    <row r="99" spans="1:23" ht="15.75" customHeight="1">
      <c r="A99" s="119"/>
      <c r="B99" s="129"/>
      <c r="C99" s="119"/>
      <c r="D99" s="119"/>
      <c r="E99" s="130">
        <v>2</v>
      </c>
      <c r="F99" s="130">
        <v>8001</v>
      </c>
      <c r="G99" s="130">
        <v>11419</v>
      </c>
      <c r="H99" s="130">
        <v>13474</v>
      </c>
      <c r="I99" s="130">
        <v>15769</v>
      </c>
      <c r="J99" s="130">
        <v>18334</v>
      </c>
      <c r="K99" s="130">
        <v>21182</v>
      </c>
      <c r="L99" s="130">
        <v>15661</v>
      </c>
      <c r="M99" s="130">
        <v>780.96869680070085</v>
      </c>
      <c r="N99" s="130">
        <v>14066</v>
      </c>
      <c r="O99" s="130">
        <v>309</v>
      </c>
      <c r="P99" s="119"/>
      <c r="Q99" s="119"/>
      <c r="R99" s="131"/>
      <c r="S99" s="129">
        <f t="shared" ref="S99" si="141">ROUND((N99-14000)/N99*100,2)</f>
        <v>0.47</v>
      </c>
      <c r="T99" s="124">
        <f t="shared" ref="T99" si="142">ROUND((N99-14000)/N99*100,2)</f>
        <v>0.47</v>
      </c>
      <c r="U99" s="124">
        <f t="shared" si="94"/>
        <v>-0.69</v>
      </c>
      <c r="V99" s="131">
        <f t="shared" si="95"/>
        <v>2.1970000000000001</v>
      </c>
      <c r="W99" s="145">
        <f t="shared" si="96"/>
        <v>0.47</v>
      </c>
    </row>
    <row r="100" spans="1:23" ht="15.75" customHeight="1">
      <c r="A100" s="119"/>
      <c r="B100" s="129"/>
      <c r="C100" s="119"/>
      <c r="D100" s="119"/>
      <c r="E100" s="130">
        <v>3</v>
      </c>
      <c r="F100" s="130">
        <v>22807</v>
      </c>
      <c r="G100" s="130">
        <v>31857</v>
      </c>
      <c r="H100" s="130">
        <v>37023</v>
      </c>
      <c r="I100" s="130">
        <v>42445</v>
      </c>
      <c r="J100" s="130">
        <v>48767</v>
      </c>
      <c r="K100" s="130">
        <v>55249</v>
      </c>
      <c r="L100" s="130">
        <v>42248</v>
      </c>
      <c r="M100" s="130">
        <v>810.02574461294921</v>
      </c>
      <c r="N100" s="130">
        <v>44980</v>
      </c>
      <c r="O100" s="130">
        <v>394</v>
      </c>
      <c r="P100" s="119"/>
      <c r="Q100" s="119"/>
      <c r="R100" s="131"/>
      <c r="S100" s="129">
        <f t="shared" ref="S100" si="143">ROUND((N100-45000)/N100*100,2)</f>
        <v>-0.04</v>
      </c>
      <c r="T100" s="124">
        <f t="shared" ref="T100" si="144">ROUND((N100-45000)/N100*100,2)</f>
        <v>-0.04</v>
      </c>
      <c r="U100" s="124">
        <f t="shared" si="94"/>
        <v>-0.47</v>
      </c>
      <c r="V100" s="131">
        <f t="shared" si="95"/>
        <v>0.876</v>
      </c>
      <c r="W100" s="145">
        <f t="shared" si="96"/>
        <v>0.04</v>
      </c>
    </row>
    <row r="101" spans="1:23" ht="15.75" customHeight="1">
      <c r="A101" s="119"/>
      <c r="B101" s="129" t="s">
        <v>529</v>
      </c>
      <c r="C101" s="119" t="s">
        <v>519</v>
      </c>
      <c r="D101" s="130" t="s">
        <v>277</v>
      </c>
      <c r="E101" s="130">
        <v>1</v>
      </c>
      <c r="F101" s="130">
        <v>1390</v>
      </c>
      <c r="G101" s="130">
        <v>1927</v>
      </c>
      <c r="H101" s="130">
        <v>2234</v>
      </c>
      <c r="I101" s="130">
        <v>2578</v>
      </c>
      <c r="J101" s="130">
        <v>2951</v>
      </c>
      <c r="K101" s="130">
        <v>3361</v>
      </c>
      <c r="L101" s="130">
        <v>2651</v>
      </c>
      <c r="M101" s="130">
        <v>764.28546471806931</v>
      </c>
      <c r="N101" s="130">
        <v>2100</v>
      </c>
      <c r="O101" s="130">
        <v>295</v>
      </c>
      <c r="P101" s="119"/>
      <c r="Q101" s="119"/>
      <c r="R101" s="131"/>
      <c r="S101" s="129">
        <f t="shared" ref="S101" si="145">ROUND((N101-2100)/N101*100,2)</f>
        <v>0</v>
      </c>
      <c r="T101" s="124">
        <f t="shared" ref="T101:T107" si="146">ROUND((N101-2100)/N101*100,2)</f>
        <v>0</v>
      </c>
      <c r="U101" s="124">
        <f t="shared" si="94"/>
        <v>2.75</v>
      </c>
      <c r="V101" s="131">
        <f t="shared" si="95"/>
        <v>14.048</v>
      </c>
      <c r="W101" s="145">
        <f t="shared" si="96"/>
        <v>0</v>
      </c>
    </row>
    <row r="102" spans="1:23" ht="15.75" customHeight="1">
      <c r="A102" s="119"/>
      <c r="B102" s="129"/>
      <c r="C102" s="119"/>
      <c r="D102" s="119"/>
      <c r="E102" s="130">
        <v>2</v>
      </c>
      <c r="F102" s="130">
        <v>9784</v>
      </c>
      <c r="G102" s="130">
        <v>13080</v>
      </c>
      <c r="H102" s="130">
        <v>14940</v>
      </c>
      <c r="I102" s="130">
        <v>16999</v>
      </c>
      <c r="J102" s="130">
        <v>19203</v>
      </c>
      <c r="K102" s="130">
        <v>21587</v>
      </c>
      <c r="L102" s="130">
        <v>17538</v>
      </c>
      <c r="M102" s="130">
        <v>762.35721796464588</v>
      </c>
      <c r="N102" s="130">
        <v>13905</v>
      </c>
      <c r="O102" s="130">
        <v>328</v>
      </c>
      <c r="P102" s="119"/>
      <c r="Q102" s="119"/>
      <c r="R102" s="131"/>
      <c r="S102" s="129">
        <f t="shared" ref="S102" si="147">ROUND((N102-14000)/N102*100,2)</f>
        <v>-0.68</v>
      </c>
      <c r="T102" s="124">
        <f t="shared" ref="T102" si="148">ROUND((N102-14000)/N102*100,2)</f>
        <v>-0.68</v>
      </c>
      <c r="U102" s="124">
        <f t="shared" si="94"/>
        <v>3.07</v>
      </c>
      <c r="V102" s="131">
        <f t="shared" si="95"/>
        <v>2.359</v>
      </c>
      <c r="W102" s="145">
        <f t="shared" si="96"/>
        <v>0.68</v>
      </c>
    </row>
    <row r="103" spans="1:23" ht="15.75" customHeight="1">
      <c r="A103" s="119"/>
      <c r="B103" s="129"/>
      <c r="C103" s="119"/>
      <c r="D103" s="119"/>
      <c r="E103" s="130">
        <v>3</v>
      </c>
      <c r="F103" s="130">
        <v>26903</v>
      </c>
      <c r="G103" s="130">
        <v>35210</v>
      </c>
      <c r="H103" s="130">
        <v>39848</v>
      </c>
      <c r="I103" s="130">
        <v>44856</v>
      </c>
      <c r="J103" s="130">
        <v>50149</v>
      </c>
      <c r="K103" s="130">
        <v>55250</v>
      </c>
      <c r="L103" s="130">
        <v>46417</v>
      </c>
      <c r="M103" s="130">
        <v>800.97365124212206</v>
      </c>
      <c r="N103" s="130">
        <v>44740</v>
      </c>
      <c r="O103" s="130">
        <v>418</v>
      </c>
      <c r="P103" s="119"/>
      <c r="Q103" s="119"/>
      <c r="R103" s="131"/>
      <c r="S103" s="129">
        <f t="shared" ref="S103" si="149">ROUND((N103-45000)/N103*100,2)</f>
        <v>-0.57999999999999996</v>
      </c>
      <c r="T103" s="124">
        <f t="shared" ref="T103:T109" si="150">ROUND((N103-45000)/N103*100,2)</f>
        <v>-0.57999999999999996</v>
      </c>
      <c r="U103" s="124">
        <f t="shared" si="94"/>
        <v>3.36</v>
      </c>
      <c r="V103" s="131">
        <f t="shared" si="95"/>
        <v>0.93400000000000005</v>
      </c>
      <c r="W103" s="145">
        <f t="shared" si="96"/>
        <v>0.57999999999999996</v>
      </c>
    </row>
    <row r="104" spans="1:23" ht="15.75" customHeight="1">
      <c r="A104" s="119"/>
      <c r="B104" s="129" t="s">
        <v>530</v>
      </c>
      <c r="C104" s="119" t="s">
        <v>520</v>
      </c>
      <c r="D104" s="130" t="s">
        <v>278</v>
      </c>
      <c r="E104" s="130">
        <v>1</v>
      </c>
      <c r="F104" s="130">
        <v>1322</v>
      </c>
      <c r="G104" s="130">
        <v>1984</v>
      </c>
      <c r="H104" s="130">
        <v>2365</v>
      </c>
      <c r="I104" s="130">
        <v>2797</v>
      </c>
      <c r="J104" s="130">
        <v>3280</v>
      </c>
      <c r="K104" s="130">
        <v>3820</v>
      </c>
      <c r="L104" s="130">
        <v>2751</v>
      </c>
      <c r="M104" s="130">
        <v>758.0374097940504</v>
      </c>
      <c r="N104" s="130">
        <v>2094</v>
      </c>
      <c r="O104" s="130">
        <v>263</v>
      </c>
      <c r="P104" s="119"/>
      <c r="Q104" s="119"/>
      <c r="R104" s="131"/>
      <c r="S104" s="129">
        <f t="shared" ref="S104" si="151">ROUND((N104-2100)/N104*100,2)</f>
        <v>-0.28999999999999998</v>
      </c>
      <c r="T104" s="124">
        <f t="shared" ref="T104" si="152">ROUND((N104-2100)/N104*100,2)</f>
        <v>-0.28999999999999998</v>
      </c>
      <c r="U104" s="124">
        <f t="shared" si="94"/>
        <v>-1.67</v>
      </c>
      <c r="V104" s="131">
        <f t="shared" si="95"/>
        <v>12.56</v>
      </c>
      <c r="W104" s="145">
        <f t="shared" si="96"/>
        <v>0.28999999999999998</v>
      </c>
    </row>
    <row r="105" spans="1:23" ht="15.75" customHeight="1">
      <c r="A105" s="119"/>
      <c r="B105" s="129"/>
      <c r="C105" s="119"/>
      <c r="D105" s="119"/>
      <c r="E105" s="130">
        <v>2</v>
      </c>
      <c r="F105" s="130">
        <v>9419</v>
      </c>
      <c r="G105" s="130">
        <v>13094</v>
      </c>
      <c r="H105" s="130">
        <v>15282</v>
      </c>
      <c r="I105" s="130">
        <v>17732</v>
      </c>
      <c r="J105" s="130">
        <v>20454</v>
      </c>
      <c r="K105" s="130">
        <v>23502</v>
      </c>
      <c r="L105" s="130">
        <v>17627</v>
      </c>
      <c r="M105" s="130">
        <v>760.54899533913135</v>
      </c>
      <c r="N105" s="130">
        <v>13920</v>
      </c>
      <c r="O105" s="130">
        <v>305</v>
      </c>
      <c r="P105" s="119"/>
      <c r="Q105" s="119"/>
      <c r="R105" s="131"/>
      <c r="S105" s="129">
        <f t="shared" ref="S105" si="153">ROUND((N105-14000)/N105*100,2)</f>
        <v>-0.56999999999999995</v>
      </c>
      <c r="T105" s="124">
        <f t="shared" ref="T105" si="154">ROUND((N105-14000)/N105*100,2)</f>
        <v>-0.56999999999999995</v>
      </c>
      <c r="U105" s="124">
        <f t="shared" si="94"/>
        <v>-0.6</v>
      </c>
      <c r="V105" s="131">
        <f t="shared" si="95"/>
        <v>2.1909999999999998</v>
      </c>
      <c r="W105" s="145">
        <f t="shared" si="96"/>
        <v>0.56999999999999995</v>
      </c>
    </row>
    <row r="106" spans="1:23" ht="15.75" customHeight="1">
      <c r="A106" s="119"/>
      <c r="B106" s="129"/>
      <c r="C106" s="119"/>
      <c r="D106" s="119"/>
      <c r="E106" s="130">
        <v>3</v>
      </c>
      <c r="F106" s="130">
        <v>25738</v>
      </c>
      <c r="G106" s="130">
        <v>34568</v>
      </c>
      <c r="H106" s="130">
        <v>39965</v>
      </c>
      <c r="I106" s="130">
        <v>45924</v>
      </c>
      <c r="J106" s="130">
        <v>52663</v>
      </c>
      <c r="K106" s="130">
        <v>59178</v>
      </c>
      <c r="L106" s="130">
        <v>45880</v>
      </c>
      <c r="M106" s="130">
        <v>796.30916761632534</v>
      </c>
      <c r="N106" s="130">
        <v>44774</v>
      </c>
      <c r="O106" s="130">
        <v>389</v>
      </c>
      <c r="P106" s="119"/>
      <c r="Q106" s="119"/>
      <c r="R106" s="131"/>
      <c r="S106" s="129">
        <f t="shared" ref="S106" si="155">ROUND((N106-45000)/N106*100,2)</f>
        <v>-0.5</v>
      </c>
      <c r="T106" s="124">
        <f t="shared" si="150"/>
        <v>-0.5</v>
      </c>
      <c r="U106" s="124">
        <f t="shared" si="94"/>
        <v>-0.1</v>
      </c>
      <c r="V106" s="131">
        <f t="shared" si="95"/>
        <v>0.86899999999999999</v>
      </c>
      <c r="W106" s="145">
        <f t="shared" si="96"/>
        <v>0.5</v>
      </c>
    </row>
    <row r="107" spans="1:23" ht="15.75" customHeight="1">
      <c r="A107" s="119"/>
      <c r="B107" s="129" t="s">
        <v>531</v>
      </c>
      <c r="C107" s="119" t="s">
        <v>521</v>
      </c>
      <c r="D107" s="130" t="s">
        <v>279</v>
      </c>
      <c r="E107" s="130">
        <v>1</v>
      </c>
      <c r="F107" s="130">
        <v>1143</v>
      </c>
      <c r="G107" s="130">
        <v>1727</v>
      </c>
      <c r="H107" s="130">
        <v>2065</v>
      </c>
      <c r="I107" s="130">
        <v>2448</v>
      </c>
      <c r="J107" s="130">
        <v>2881</v>
      </c>
      <c r="K107" s="130">
        <v>3367</v>
      </c>
      <c r="L107" s="130">
        <v>2402</v>
      </c>
      <c r="M107" s="130">
        <v>777.17303879135136</v>
      </c>
      <c r="N107" s="130">
        <v>2090</v>
      </c>
      <c r="O107" s="130">
        <v>268</v>
      </c>
      <c r="P107" s="119"/>
      <c r="Q107" s="119"/>
      <c r="R107" s="131"/>
      <c r="S107" s="129">
        <f t="shared" ref="S107" si="156">ROUND((N107-2100)/N107*100,2)</f>
        <v>-0.48</v>
      </c>
      <c r="T107" s="124">
        <f t="shared" si="146"/>
        <v>-0.48</v>
      </c>
      <c r="U107" s="124">
        <f t="shared" si="94"/>
        <v>-1.92</v>
      </c>
      <c r="V107" s="131">
        <f t="shared" si="95"/>
        <v>12.823</v>
      </c>
      <c r="W107" s="145">
        <f t="shared" si="96"/>
        <v>0.48</v>
      </c>
    </row>
    <row r="108" spans="1:23" ht="15.75" customHeight="1">
      <c r="A108" s="119"/>
      <c r="B108" s="129"/>
      <c r="C108" s="119"/>
      <c r="D108" s="119"/>
      <c r="E108" s="130">
        <v>2</v>
      </c>
      <c r="F108" s="130">
        <v>8165</v>
      </c>
      <c r="G108" s="130">
        <v>11594</v>
      </c>
      <c r="H108" s="130">
        <v>13607</v>
      </c>
      <c r="I108" s="130">
        <v>15973</v>
      </c>
      <c r="J108" s="130">
        <v>18585</v>
      </c>
      <c r="K108" s="130">
        <v>21518</v>
      </c>
      <c r="L108" s="130">
        <v>15794</v>
      </c>
      <c r="M108" s="130">
        <v>779.31759978806178</v>
      </c>
      <c r="N108" s="130">
        <v>13963</v>
      </c>
      <c r="O108" s="130">
        <v>305</v>
      </c>
      <c r="P108" s="119"/>
      <c r="Q108" s="119"/>
      <c r="R108" s="131"/>
      <c r="S108" s="129">
        <f t="shared" ref="S108" si="157">ROUND((N108-14000)/N108*100,2)</f>
        <v>-0.26</v>
      </c>
      <c r="T108" s="124">
        <f t="shared" ref="T108" si="158">ROUND((N108-14000)/N108*100,2)</f>
        <v>-0.26</v>
      </c>
      <c r="U108" s="124">
        <f t="shared" si="94"/>
        <v>-1.1299999999999999</v>
      </c>
      <c r="V108" s="131">
        <f t="shared" si="95"/>
        <v>2.1840000000000002</v>
      </c>
      <c r="W108" s="145">
        <f t="shared" si="96"/>
        <v>0.26</v>
      </c>
    </row>
    <row r="109" spans="1:23" ht="15.75" customHeight="1">
      <c r="A109" s="119"/>
      <c r="B109" s="129"/>
      <c r="C109" s="119"/>
      <c r="D109" s="119"/>
      <c r="E109" s="130">
        <v>3</v>
      </c>
      <c r="F109" s="130">
        <v>22836</v>
      </c>
      <c r="G109" s="130">
        <v>31699</v>
      </c>
      <c r="H109" s="130">
        <v>37159</v>
      </c>
      <c r="I109" s="130">
        <v>43296</v>
      </c>
      <c r="J109" s="130">
        <v>50200</v>
      </c>
      <c r="K109" s="130">
        <v>57290</v>
      </c>
      <c r="L109" s="130">
        <v>43194</v>
      </c>
      <c r="M109" s="130">
        <v>806.79696608296967</v>
      </c>
      <c r="N109" s="130">
        <v>44947</v>
      </c>
      <c r="O109" s="130">
        <v>404</v>
      </c>
      <c r="P109" s="119"/>
      <c r="Q109" s="119"/>
      <c r="R109" s="131"/>
      <c r="S109" s="129">
        <f t="shared" ref="S109" si="159">ROUND((N109-45000)/N109*100,2)</f>
        <v>-0.12</v>
      </c>
      <c r="T109" s="124">
        <f t="shared" si="150"/>
        <v>-0.12</v>
      </c>
      <c r="U109" s="124">
        <f t="shared" si="94"/>
        <v>-0.24</v>
      </c>
      <c r="V109" s="131">
        <f t="shared" si="95"/>
        <v>0.89900000000000002</v>
      </c>
      <c r="W109" s="145">
        <f t="shared" si="96"/>
        <v>0.12</v>
      </c>
    </row>
    <row r="110" spans="1:23" ht="15.75" customHeight="1">
      <c r="A110" s="119"/>
      <c r="B110" s="129" t="s">
        <v>532</v>
      </c>
      <c r="C110" s="119" t="s">
        <v>522</v>
      </c>
      <c r="D110" s="130" t="s">
        <v>280</v>
      </c>
      <c r="E110" s="130">
        <v>1</v>
      </c>
      <c r="F110" s="130">
        <v>1739</v>
      </c>
      <c r="G110" s="130">
        <v>2515</v>
      </c>
      <c r="H110" s="130">
        <v>2982</v>
      </c>
      <c r="I110" s="130">
        <v>3510</v>
      </c>
      <c r="J110" s="130">
        <v>4095</v>
      </c>
      <c r="K110" s="130">
        <v>4764</v>
      </c>
      <c r="L110" s="130">
        <v>3479</v>
      </c>
      <c r="M110" s="130">
        <v>724.72163303104878</v>
      </c>
      <c r="N110" s="130">
        <v>2095</v>
      </c>
      <c r="O110" s="130">
        <v>296</v>
      </c>
      <c r="P110" s="119"/>
      <c r="Q110" s="119"/>
      <c r="R110" s="131"/>
      <c r="S110" s="129">
        <f t="shared" ref="S110" si="160">ROUND((N110-2100)/N110*100,2)</f>
        <v>-0.24</v>
      </c>
      <c r="T110" s="124">
        <f t="shared" ref="T110:T122" si="161">ROUND((N110-2100)/N110*100,2)</f>
        <v>-0.24</v>
      </c>
      <c r="U110" s="124">
        <f t="shared" si="94"/>
        <v>-0.89</v>
      </c>
      <c r="V110" s="131">
        <f t="shared" si="95"/>
        <v>14.129</v>
      </c>
      <c r="W110" s="145">
        <f t="shared" si="96"/>
        <v>0.24</v>
      </c>
    </row>
    <row r="111" spans="1:23" ht="15.75" customHeight="1">
      <c r="A111" s="119"/>
      <c r="B111" s="129"/>
      <c r="C111" s="119"/>
      <c r="D111" s="119"/>
      <c r="E111" s="130">
        <v>2</v>
      </c>
      <c r="F111" s="130">
        <v>11293</v>
      </c>
      <c r="G111" s="130">
        <v>15521</v>
      </c>
      <c r="H111" s="130">
        <v>18002</v>
      </c>
      <c r="I111" s="130">
        <v>20777</v>
      </c>
      <c r="J111" s="130">
        <v>23813</v>
      </c>
      <c r="K111" s="130">
        <v>27186</v>
      </c>
      <c r="L111" s="130">
        <v>20717</v>
      </c>
      <c r="M111" s="130">
        <v>733.18911129219168</v>
      </c>
      <c r="N111" s="130">
        <v>13977</v>
      </c>
      <c r="O111" s="130">
        <v>320</v>
      </c>
      <c r="P111" s="119"/>
      <c r="Q111" s="119"/>
      <c r="R111" s="131"/>
      <c r="S111" s="129">
        <f t="shared" ref="S111" si="162">ROUND((N111-14000)/N111*100,2)</f>
        <v>-0.16</v>
      </c>
      <c r="T111" s="124">
        <f t="shared" ref="T111:T123" si="163">ROUND((N111-14000)/N111*100,2)</f>
        <v>-0.16</v>
      </c>
      <c r="U111" s="124">
        <f t="shared" si="94"/>
        <v>-0.28999999999999998</v>
      </c>
      <c r="V111" s="131">
        <f t="shared" si="95"/>
        <v>2.2890000000000001</v>
      </c>
      <c r="W111" s="145">
        <f t="shared" si="96"/>
        <v>0.16</v>
      </c>
    </row>
    <row r="112" spans="1:23" ht="15.75" customHeight="1">
      <c r="A112" s="119"/>
      <c r="B112" s="129"/>
      <c r="C112" s="119"/>
      <c r="D112" s="119"/>
      <c r="E112" s="130">
        <v>3</v>
      </c>
      <c r="F112" s="130">
        <v>28816</v>
      </c>
      <c r="G112" s="130">
        <v>38126</v>
      </c>
      <c r="H112" s="130">
        <v>43570</v>
      </c>
      <c r="I112" s="130">
        <v>49563</v>
      </c>
      <c r="J112" s="130">
        <v>55859</v>
      </c>
      <c r="K112" s="130">
        <v>61394</v>
      </c>
      <c r="L112" s="130">
        <v>49535</v>
      </c>
      <c r="M112" s="130">
        <v>780.84921970957294</v>
      </c>
      <c r="N112" s="130">
        <v>44855</v>
      </c>
      <c r="O112" s="130">
        <v>382</v>
      </c>
      <c r="P112" s="119"/>
      <c r="Q112" s="119"/>
      <c r="R112" s="131"/>
      <c r="S112" s="129">
        <f t="shared" ref="S112" si="164">ROUND((N112-45000)/N112*100,2)</f>
        <v>-0.32</v>
      </c>
      <c r="T112" s="124">
        <f t="shared" ref="T112" si="165">ROUND((N112-45000)/N112*100,2)</f>
        <v>-0.32</v>
      </c>
      <c r="U112" s="124">
        <f t="shared" si="94"/>
        <v>-0.06</v>
      </c>
      <c r="V112" s="131">
        <f t="shared" si="95"/>
        <v>0.85199999999999998</v>
      </c>
      <c r="W112" s="145">
        <f t="shared" si="96"/>
        <v>0.32</v>
      </c>
    </row>
    <row r="113" spans="1:23" ht="15.75" customHeight="1">
      <c r="A113" s="119"/>
      <c r="B113" s="129" t="s">
        <v>533</v>
      </c>
      <c r="C113" s="119" t="s">
        <v>523</v>
      </c>
      <c r="D113" s="130" t="s">
        <v>281</v>
      </c>
      <c r="E113" s="130">
        <v>1</v>
      </c>
      <c r="F113" s="130">
        <v>1285</v>
      </c>
      <c r="G113" s="130">
        <v>1970</v>
      </c>
      <c r="H113" s="130">
        <v>2365</v>
      </c>
      <c r="I113" s="130">
        <v>2814</v>
      </c>
      <c r="J113" s="130">
        <v>3316</v>
      </c>
      <c r="K113" s="130">
        <v>3876</v>
      </c>
      <c r="L113" s="130">
        <v>2700</v>
      </c>
      <c r="M113" s="130">
        <v>758.67470459438346</v>
      </c>
      <c r="N113" s="130">
        <v>2093</v>
      </c>
      <c r="O113" s="130">
        <v>260</v>
      </c>
      <c r="P113" s="119"/>
      <c r="Q113" s="119"/>
      <c r="R113" s="131"/>
      <c r="S113" s="129">
        <f t="shared" ref="S113:S122" si="166">ROUND((N113-2100)/N113*100,2)</f>
        <v>-0.33</v>
      </c>
      <c r="T113" s="124">
        <f t="shared" ref="T113" si="167">ROUND((N113-2100)/N113*100,2)</f>
        <v>-0.33</v>
      </c>
      <c r="U113" s="124">
        <f t="shared" si="94"/>
        <v>-4.22</v>
      </c>
      <c r="V113" s="131">
        <f t="shared" si="95"/>
        <v>12.422000000000001</v>
      </c>
      <c r="W113" s="145">
        <f t="shared" si="96"/>
        <v>0.33</v>
      </c>
    </row>
    <row r="114" spans="1:23" ht="15.75" customHeight="1">
      <c r="A114" s="119"/>
      <c r="B114" s="129"/>
      <c r="C114" s="119"/>
      <c r="D114" s="119"/>
      <c r="E114" s="130">
        <v>2</v>
      </c>
      <c r="F114" s="130">
        <v>8937</v>
      </c>
      <c r="G114" s="130">
        <v>12726</v>
      </c>
      <c r="H114" s="130">
        <v>15018</v>
      </c>
      <c r="I114" s="130">
        <v>17640</v>
      </c>
      <c r="J114" s="130">
        <v>20626</v>
      </c>
      <c r="K114" s="130">
        <v>23807</v>
      </c>
      <c r="L114" s="130">
        <v>17290</v>
      </c>
      <c r="M114" s="130">
        <v>763.95287750971886</v>
      </c>
      <c r="N114" s="130">
        <v>13956</v>
      </c>
      <c r="O114" s="130">
        <v>309</v>
      </c>
      <c r="P114" s="119"/>
      <c r="Q114" s="119"/>
      <c r="R114" s="131"/>
      <c r="S114" s="129">
        <f t="shared" ref="S114:S123" si="168">ROUND((N114-14000)/N114*100,2)</f>
        <v>-0.32</v>
      </c>
      <c r="T114" s="124">
        <f t="shared" ref="T114" si="169">ROUND((N114-14000)/N114*100,2)</f>
        <v>-0.32</v>
      </c>
      <c r="U114" s="124">
        <f t="shared" si="94"/>
        <v>-2.02</v>
      </c>
      <c r="V114" s="131">
        <f t="shared" si="95"/>
        <v>2.214</v>
      </c>
      <c r="W114" s="145">
        <f t="shared" si="96"/>
        <v>0.32</v>
      </c>
    </row>
    <row r="115" spans="1:23" ht="15.75" customHeight="1">
      <c r="A115" s="119"/>
      <c r="B115" s="129"/>
      <c r="C115" s="119"/>
      <c r="D115" s="119"/>
      <c r="E115" s="130">
        <v>3</v>
      </c>
      <c r="F115" s="130">
        <v>25408</v>
      </c>
      <c r="G115" s="130">
        <v>36060</v>
      </c>
      <c r="H115" s="130">
        <v>42338</v>
      </c>
      <c r="I115" s="130">
        <v>49738</v>
      </c>
      <c r="J115" s="130">
        <v>57007</v>
      </c>
      <c r="K115" s="130">
        <v>63085</v>
      </c>
      <c r="L115" s="130">
        <v>49182</v>
      </c>
      <c r="M115" s="130">
        <v>784.19570053536631</v>
      </c>
      <c r="N115" s="130">
        <v>44645</v>
      </c>
      <c r="O115" s="130">
        <v>415</v>
      </c>
      <c r="P115" s="130">
        <v>785.7</v>
      </c>
      <c r="Q115" s="130">
        <v>45089</v>
      </c>
      <c r="R115" s="131">
        <v>421</v>
      </c>
      <c r="S115" s="129">
        <f t="shared" ref="S115" si="170">ROUND((N115-45000)/N115*100,2)</f>
        <v>-0.8</v>
      </c>
      <c r="T115" s="124">
        <f t="shared" ref="T115" si="171">ROUND((N115-45000)/N115*100,2)</f>
        <v>-0.8</v>
      </c>
      <c r="U115" s="124">
        <f t="shared" si="94"/>
        <v>-1.1299999999999999</v>
      </c>
      <c r="V115" s="131">
        <f t="shared" si="95"/>
        <v>0.93</v>
      </c>
      <c r="W115" s="145">
        <f t="shared" si="96"/>
        <v>0.8</v>
      </c>
    </row>
    <row r="116" spans="1:23" ht="15.75" customHeight="1">
      <c r="A116" s="119"/>
      <c r="B116" s="129" t="s">
        <v>534</v>
      </c>
      <c r="C116" s="119" t="s">
        <v>524</v>
      </c>
      <c r="D116" s="130" t="s">
        <v>282</v>
      </c>
      <c r="E116" s="130">
        <v>1</v>
      </c>
      <c r="F116" s="130">
        <v>1292</v>
      </c>
      <c r="G116" s="130">
        <v>1989</v>
      </c>
      <c r="H116" s="130">
        <v>2392</v>
      </c>
      <c r="I116" s="130">
        <v>2845</v>
      </c>
      <c r="J116" s="130">
        <v>3356</v>
      </c>
      <c r="K116" s="130">
        <v>3924</v>
      </c>
      <c r="L116" s="130">
        <v>2856</v>
      </c>
      <c r="M116" s="130">
        <v>757.25561531976791</v>
      </c>
      <c r="N116" s="130">
        <v>2100</v>
      </c>
      <c r="O116" s="130">
        <v>270</v>
      </c>
      <c r="P116" s="119"/>
      <c r="Q116" s="119"/>
      <c r="R116" s="131"/>
      <c r="S116" s="129">
        <f t="shared" ref="S116" si="172">ROUND((N116-2100)/N116*100,2)</f>
        <v>0</v>
      </c>
      <c r="T116" s="124">
        <f t="shared" ref="T116" si="173">ROUND((N116-2100)/N116*100,2)</f>
        <v>0</v>
      </c>
      <c r="U116" s="124">
        <f t="shared" si="94"/>
        <v>0.39</v>
      </c>
      <c r="V116" s="131">
        <f t="shared" si="95"/>
        <v>12.856999999999999</v>
      </c>
      <c r="W116" s="145">
        <f t="shared" si="96"/>
        <v>0</v>
      </c>
    </row>
    <row r="117" spans="1:23" ht="15.75" customHeight="1">
      <c r="A117" s="119"/>
      <c r="B117" s="129"/>
      <c r="C117" s="119"/>
      <c r="D117" s="119"/>
      <c r="E117" s="130">
        <v>2</v>
      </c>
      <c r="F117" s="130">
        <v>9093</v>
      </c>
      <c r="G117" s="130">
        <v>12782</v>
      </c>
      <c r="H117" s="130">
        <v>14946</v>
      </c>
      <c r="I117" s="130">
        <v>17353</v>
      </c>
      <c r="J117" s="130">
        <v>19968</v>
      </c>
      <c r="K117" s="130">
        <v>22870</v>
      </c>
      <c r="L117" s="130">
        <v>17397</v>
      </c>
      <c r="M117" s="130">
        <v>764.39082251824232</v>
      </c>
      <c r="N117" s="130">
        <v>14506</v>
      </c>
      <c r="O117" s="130">
        <v>314</v>
      </c>
      <c r="P117" s="130">
        <v>762</v>
      </c>
      <c r="Q117" s="130">
        <v>14178</v>
      </c>
      <c r="R117" s="131">
        <v>311</v>
      </c>
      <c r="S117" s="129">
        <f t="shared" ref="S117" si="174">ROUND((N117-14000)/N117*100,2)</f>
        <v>3.49</v>
      </c>
      <c r="T117" s="124">
        <f>ROUND((Q117-14000)/Q117*100,2)</f>
        <v>1.26</v>
      </c>
      <c r="U117" s="124">
        <f t="shared" si="94"/>
        <v>0.25</v>
      </c>
      <c r="V117" s="131">
        <f t="shared" si="95"/>
        <v>2.165</v>
      </c>
      <c r="W117" s="145">
        <f t="shared" si="96"/>
        <v>1.26</v>
      </c>
    </row>
    <row r="118" spans="1:23" ht="15.75" customHeight="1">
      <c r="A118" s="119"/>
      <c r="B118" s="129"/>
      <c r="C118" s="119"/>
      <c r="D118" s="119"/>
      <c r="E118" s="130">
        <v>3</v>
      </c>
      <c r="F118" s="130">
        <v>24767</v>
      </c>
      <c r="G118" s="130">
        <v>33468</v>
      </c>
      <c r="H118" s="130">
        <v>38544</v>
      </c>
      <c r="I118" s="130">
        <v>44253</v>
      </c>
      <c r="J118" s="130">
        <v>50448</v>
      </c>
      <c r="K118" s="130">
        <v>56834</v>
      </c>
      <c r="L118" s="130">
        <v>44430</v>
      </c>
      <c r="M118" s="130">
        <v>802.53879415860638</v>
      </c>
      <c r="N118" s="130">
        <v>45143</v>
      </c>
      <c r="O118" s="130">
        <v>389</v>
      </c>
      <c r="P118" s="119"/>
      <c r="Q118" s="119"/>
      <c r="R118" s="131"/>
      <c r="S118" s="129">
        <f t="shared" ref="S118" si="175">ROUND((N118-45000)/N118*100,2)</f>
        <v>0.32</v>
      </c>
      <c r="T118" s="124">
        <f>ROUND((N118-45000)/N118*100,2)</f>
        <v>0.32</v>
      </c>
      <c r="U118" s="124">
        <f t="shared" si="94"/>
        <v>0.4</v>
      </c>
      <c r="V118" s="131">
        <f t="shared" si="95"/>
        <v>0.86199999999999999</v>
      </c>
      <c r="W118" s="145">
        <f t="shared" si="96"/>
        <v>0.32</v>
      </c>
    </row>
    <row r="119" spans="1:23" ht="15.75" customHeight="1">
      <c r="A119" s="119"/>
      <c r="B119" s="129" t="s">
        <v>535</v>
      </c>
      <c r="C119" s="119" t="s">
        <v>525</v>
      </c>
      <c r="D119" s="130" t="s">
        <v>283</v>
      </c>
      <c r="E119" s="130">
        <v>1</v>
      </c>
      <c r="F119" s="130">
        <v>1496</v>
      </c>
      <c r="G119" s="130">
        <v>2140</v>
      </c>
      <c r="H119" s="130">
        <v>2525</v>
      </c>
      <c r="I119" s="130">
        <v>2948</v>
      </c>
      <c r="J119" s="130">
        <v>3436</v>
      </c>
      <c r="K119" s="130">
        <v>3967</v>
      </c>
      <c r="L119" s="130">
        <v>2954</v>
      </c>
      <c r="M119" s="130">
        <v>746.94350519989177</v>
      </c>
      <c r="N119" s="130">
        <v>2094</v>
      </c>
      <c r="O119" s="130">
        <v>300</v>
      </c>
      <c r="P119" s="119"/>
      <c r="Q119" s="119"/>
      <c r="R119" s="131"/>
      <c r="S119" s="129">
        <f t="shared" ref="S119" si="176">ROUND((N119-2100)/N119*100,2)</f>
        <v>-0.28999999999999998</v>
      </c>
      <c r="T119" s="124">
        <f t="shared" ref="T119" si="177">ROUND((N119-2100)/N119*100,2)</f>
        <v>-0.28999999999999998</v>
      </c>
      <c r="U119" s="124">
        <f t="shared" si="94"/>
        <v>0.2</v>
      </c>
      <c r="V119" s="131">
        <f t="shared" si="95"/>
        <v>14.327</v>
      </c>
      <c r="W119" s="145">
        <f t="shared" si="96"/>
        <v>0.28999999999999998</v>
      </c>
    </row>
    <row r="120" spans="1:23" ht="15.75" customHeight="1">
      <c r="A120" s="119"/>
      <c r="B120" s="129"/>
      <c r="C120" s="119"/>
      <c r="D120" s="119"/>
      <c r="E120" s="130">
        <v>2</v>
      </c>
      <c r="F120" s="130">
        <v>10006</v>
      </c>
      <c r="G120" s="130">
        <v>13613</v>
      </c>
      <c r="H120" s="130">
        <v>16658</v>
      </c>
      <c r="I120" s="130">
        <v>17829</v>
      </c>
      <c r="J120" s="130">
        <v>20109</v>
      </c>
      <c r="K120" s="130">
        <v>22575</v>
      </c>
      <c r="L120" s="130">
        <v>17788</v>
      </c>
      <c r="M120" s="130">
        <v>748.6781122703751</v>
      </c>
      <c r="N120" s="130">
        <v>13484</v>
      </c>
      <c r="O120" s="130">
        <v>503</v>
      </c>
      <c r="P120" s="130">
        <v>753</v>
      </c>
      <c r="Q120" s="130">
        <v>13810</v>
      </c>
      <c r="R120" s="131">
        <v>511</v>
      </c>
      <c r="S120" s="129">
        <f t="shared" ref="S120" si="178">ROUND((N120-14000)/N120*100,2)</f>
        <v>-3.83</v>
      </c>
      <c r="T120" s="124">
        <f>ROUND((Q120-14000)/Q120*100,2)</f>
        <v>-1.38</v>
      </c>
      <c r="U120" s="124">
        <f t="shared" si="94"/>
        <v>-0.23</v>
      </c>
      <c r="V120" s="131">
        <f t="shared" si="95"/>
        <v>3.73</v>
      </c>
      <c r="W120" s="145">
        <f t="shared" si="96"/>
        <v>1.38</v>
      </c>
    </row>
    <row r="121" spans="1:23" ht="15.75" customHeight="1" thickBot="1">
      <c r="A121" s="119"/>
      <c r="B121" s="129"/>
      <c r="C121" s="119"/>
      <c r="D121" s="124"/>
      <c r="E121" s="124">
        <v>3</v>
      </c>
      <c r="F121" s="124">
        <v>29945</v>
      </c>
      <c r="G121" s="124">
        <v>34283</v>
      </c>
      <c r="H121" s="124">
        <v>39025</v>
      </c>
      <c r="I121" s="124">
        <v>44188</v>
      </c>
      <c r="J121" s="124">
        <v>49763</v>
      </c>
      <c r="K121" s="124">
        <v>55730</v>
      </c>
      <c r="L121" s="124">
        <v>44208</v>
      </c>
      <c r="M121" s="124">
        <v>806.89086712255744</v>
      </c>
      <c r="N121" s="124">
        <v>45578</v>
      </c>
      <c r="O121" s="124">
        <v>415</v>
      </c>
      <c r="P121" s="124">
        <v>804</v>
      </c>
      <c r="Q121" s="124">
        <v>45012</v>
      </c>
      <c r="R121" s="131">
        <v>417</v>
      </c>
      <c r="S121" s="129">
        <f t="shared" ref="S121" si="179">ROUND((N121-45000)/N121*100,2)</f>
        <v>1.27</v>
      </c>
      <c r="T121" s="124">
        <f>ROUND((Q121-45000)/Q121*100,2)</f>
        <v>0.03</v>
      </c>
      <c r="U121" s="124">
        <f t="shared" si="94"/>
        <v>0.05</v>
      </c>
      <c r="V121" s="131">
        <f t="shared" si="95"/>
        <v>0.91100000000000003</v>
      </c>
      <c r="W121" s="145">
        <f t="shared" si="96"/>
        <v>0.03</v>
      </c>
    </row>
    <row r="122" spans="1:23" ht="15.75" customHeight="1" thickBot="1">
      <c r="A122" s="155" t="s">
        <v>284</v>
      </c>
      <c r="B122" s="125" t="s">
        <v>536</v>
      </c>
      <c r="C122" s="126" t="s">
        <v>285</v>
      </c>
      <c r="D122" s="127" t="s">
        <v>286</v>
      </c>
      <c r="E122" s="126">
        <v>1</v>
      </c>
      <c r="F122" s="126">
        <v>1613</v>
      </c>
      <c r="G122" s="126">
        <v>2436</v>
      </c>
      <c r="H122" s="126">
        <v>2941</v>
      </c>
      <c r="I122" s="127">
        <v>3520</v>
      </c>
      <c r="J122" s="126">
        <v>4173</v>
      </c>
      <c r="K122" s="126">
        <v>4883</v>
      </c>
      <c r="L122" s="126">
        <v>3523</v>
      </c>
      <c r="M122" s="126">
        <v>730.44791701841154</v>
      </c>
      <c r="N122" s="126">
        <v>2075</v>
      </c>
      <c r="O122" s="126">
        <v>303</v>
      </c>
      <c r="P122" s="126"/>
      <c r="Q122" s="126"/>
      <c r="R122" s="128"/>
      <c r="S122" s="124">
        <f t="shared" si="166"/>
        <v>-1.2</v>
      </c>
      <c r="T122" s="124">
        <f t="shared" si="161"/>
        <v>-1.2</v>
      </c>
      <c r="U122" s="124">
        <f t="shared" si="94"/>
        <v>0.09</v>
      </c>
      <c r="V122" s="131">
        <f t="shared" si="95"/>
        <v>14.602</v>
      </c>
      <c r="W122" s="145">
        <f t="shared" si="96"/>
        <v>1.2</v>
      </c>
    </row>
    <row r="123" spans="1:23" ht="15.75" customHeight="1">
      <c r="A123" s="119"/>
      <c r="B123" s="129"/>
      <c r="C123" s="119"/>
      <c r="D123" s="124" t="s">
        <v>287</v>
      </c>
      <c r="E123" s="130">
        <v>2</v>
      </c>
      <c r="F123" s="130">
        <v>11176</v>
      </c>
      <c r="G123" s="130">
        <v>16003</v>
      </c>
      <c r="H123" s="130">
        <v>18933</v>
      </c>
      <c r="I123" s="130">
        <v>22286</v>
      </c>
      <c r="J123" s="130">
        <v>26067</v>
      </c>
      <c r="K123" s="130">
        <v>30342</v>
      </c>
      <c r="L123" s="130">
        <v>22217</v>
      </c>
      <c r="M123" s="130">
        <v>730.32695525707823</v>
      </c>
      <c r="N123" s="130">
        <v>13879</v>
      </c>
      <c r="O123" s="130">
        <v>344</v>
      </c>
      <c r="P123" s="119"/>
      <c r="Q123" s="119"/>
      <c r="R123" s="131"/>
      <c r="S123" s="124">
        <f t="shared" si="168"/>
        <v>-0.87</v>
      </c>
      <c r="T123" s="124">
        <f t="shared" si="163"/>
        <v>-0.87</v>
      </c>
      <c r="U123" s="124">
        <f t="shared" si="94"/>
        <v>-0.31</v>
      </c>
      <c r="V123" s="131">
        <f t="shared" si="95"/>
        <v>2.4790000000000001</v>
      </c>
      <c r="W123" s="145">
        <f t="shared" si="96"/>
        <v>0.87</v>
      </c>
    </row>
    <row r="124" spans="1:23" ht="15.75" customHeight="1">
      <c r="A124" s="119"/>
      <c r="B124" s="129"/>
      <c r="C124" s="119"/>
      <c r="D124" s="119"/>
      <c r="E124" s="130">
        <v>3</v>
      </c>
      <c r="F124" s="130">
        <v>30702</v>
      </c>
      <c r="G124" s="130">
        <v>42984</v>
      </c>
      <c r="H124" s="130">
        <v>50718</v>
      </c>
      <c r="I124" s="130">
        <v>59128</v>
      </c>
      <c r="J124" s="130" t="s">
        <v>288</v>
      </c>
      <c r="K124" s="130" t="s">
        <v>288</v>
      </c>
      <c r="L124" s="130">
        <v>58874</v>
      </c>
      <c r="M124" s="130">
        <v>756.65461248007989</v>
      </c>
      <c r="N124" s="130">
        <v>44866</v>
      </c>
      <c r="O124" s="130">
        <v>426</v>
      </c>
      <c r="P124" s="119"/>
      <c r="Q124" s="119"/>
      <c r="R124" s="131"/>
      <c r="S124" s="124">
        <f t="shared" ref="S124" si="180">ROUND((N124-45000)/N124*100,2)</f>
        <v>-0.3</v>
      </c>
      <c r="T124" s="124">
        <f t="shared" ref="T124" si="181">ROUND((N124-45000)/N124*100,2)</f>
        <v>-0.3</v>
      </c>
      <c r="U124" s="124">
        <f t="shared" si="94"/>
        <v>-0.43</v>
      </c>
      <c r="V124" s="131">
        <f t="shared" si="95"/>
        <v>0.94899999999999995</v>
      </c>
      <c r="W124" s="145">
        <f t="shared" si="96"/>
        <v>0.3</v>
      </c>
    </row>
    <row r="125" spans="1:23" ht="15.75" customHeight="1">
      <c r="A125" s="119"/>
      <c r="B125" s="129" t="s">
        <v>537</v>
      </c>
      <c r="C125" s="130" t="s">
        <v>289</v>
      </c>
      <c r="D125" s="130" t="s">
        <v>290</v>
      </c>
      <c r="E125" s="130">
        <v>1</v>
      </c>
      <c r="F125" s="130">
        <v>1455</v>
      </c>
      <c r="G125" s="130">
        <v>2156</v>
      </c>
      <c r="H125" s="130">
        <v>2579</v>
      </c>
      <c r="I125" s="130">
        <v>3058</v>
      </c>
      <c r="J125" s="130">
        <v>3589</v>
      </c>
      <c r="K125" s="130">
        <v>4187</v>
      </c>
      <c r="L125" s="130">
        <v>3081</v>
      </c>
      <c r="M125" s="130">
        <v>745.37232064369573</v>
      </c>
      <c r="N125" s="130">
        <v>2085</v>
      </c>
      <c r="O125" s="130">
        <v>271</v>
      </c>
      <c r="P125" s="119"/>
      <c r="Q125" s="119"/>
      <c r="R125" s="131"/>
      <c r="S125" s="124">
        <f t="shared" ref="S125:S188" si="182">ROUND((N125-2100)/N125*100,2)</f>
        <v>-0.72</v>
      </c>
      <c r="T125" s="124">
        <f t="shared" ref="T125:T182" si="183">ROUND((N125-2100)/N125*100,2)</f>
        <v>-0.72</v>
      </c>
      <c r="U125" s="124">
        <f t="shared" si="94"/>
        <v>0.75</v>
      </c>
      <c r="V125" s="131">
        <f t="shared" si="95"/>
        <v>12.997999999999999</v>
      </c>
      <c r="W125" s="145">
        <f t="shared" si="96"/>
        <v>0.72</v>
      </c>
    </row>
    <row r="126" spans="1:23" ht="15.75" customHeight="1">
      <c r="A126" s="119"/>
      <c r="B126" s="129"/>
      <c r="C126" s="119"/>
      <c r="D126" s="119"/>
      <c r="E126" s="130">
        <v>2</v>
      </c>
      <c r="F126" s="130">
        <v>9823</v>
      </c>
      <c r="G126" s="130">
        <v>13813</v>
      </c>
      <c r="H126" s="130">
        <v>16184</v>
      </c>
      <c r="I126" s="130">
        <v>18831</v>
      </c>
      <c r="J126" s="130">
        <v>21806</v>
      </c>
      <c r="K126" s="130">
        <v>25107</v>
      </c>
      <c r="L126" s="130">
        <v>18874</v>
      </c>
      <c r="M126" s="130">
        <v>751.75092906946986</v>
      </c>
      <c r="N126" s="130">
        <v>13955</v>
      </c>
      <c r="O126" s="130">
        <v>311</v>
      </c>
      <c r="P126" s="119"/>
      <c r="Q126" s="119"/>
      <c r="R126" s="131"/>
      <c r="S126" s="124">
        <f t="shared" ref="S126:S189" si="184">ROUND((N126-14000)/N126*100,2)</f>
        <v>-0.32</v>
      </c>
      <c r="T126" s="124">
        <f t="shared" ref="T126:T189" si="185">ROUND((N126-14000)/N126*100,2)</f>
        <v>-0.32</v>
      </c>
      <c r="U126" s="124">
        <f t="shared" si="94"/>
        <v>0.23</v>
      </c>
      <c r="V126" s="131">
        <f t="shared" si="95"/>
        <v>2.2290000000000001</v>
      </c>
      <c r="W126" s="145">
        <f t="shared" si="96"/>
        <v>0.32</v>
      </c>
    </row>
    <row r="127" spans="1:23" ht="15.75" customHeight="1">
      <c r="A127" s="119"/>
      <c r="B127" s="129"/>
      <c r="C127" s="119"/>
      <c r="D127" s="119"/>
      <c r="E127" s="130">
        <v>3</v>
      </c>
      <c r="F127" s="130">
        <v>26696</v>
      </c>
      <c r="G127" s="130">
        <v>36725</v>
      </c>
      <c r="H127" s="130">
        <v>42586</v>
      </c>
      <c r="I127" s="130">
        <v>49529</v>
      </c>
      <c r="J127" s="130">
        <v>56667</v>
      </c>
      <c r="K127" s="130">
        <v>62654</v>
      </c>
      <c r="L127" s="130">
        <v>49685</v>
      </c>
      <c r="M127" s="130">
        <v>783.24552186320761</v>
      </c>
      <c r="N127" s="130">
        <v>44861</v>
      </c>
      <c r="O127" s="130">
        <v>394</v>
      </c>
      <c r="P127" s="119"/>
      <c r="Q127" s="119"/>
      <c r="R127" s="131"/>
      <c r="S127" s="124">
        <f t="shared" ref="S127:S190" si="186">ROUND((N127-45000)/N127*100,2)</f>
        <v>-0.31</v>
      </c>
      <c r="T127" s="124">
        <f t="shared" ref="T127:T190" si="187">ROUND((N127-45000)/N127*100,2)</f>
        <v>-0.31</v>
      </c>
      <c r="U127" s="124">
        <f t="shared" si="94"/>
        <v>0.31</v>
      </c>
      <c r="V127" s="131">
        <f t="shared" si="95"/>
        <v>0.878</v>
      </c>
      <c r="W127" s="145">
        <f t="shared" si="96"/>
        <v>0.31</v>
      </c>
    </row>
    <row r="128" spans="1:23" ht="15.75" customHeight="1">
      <c r="A128" s="119"/>
      <c r="B128" s="129" t="s">
        <v>538</v>
      </c>
      <c r="C128" s="130" t="s">
        <v>291</v>
      </c>
      <c r="D128" s="130" t="s">
        <v>292</v>
      </c>
      <c r="E128" s="130">
        <v>1</v>
      </c>
      <c r="F128" s="130">
        <v>1365</v>
      </c>
      <c r="G128" s="130">
        <v>2070</v>
      </c>
      <c r="H128" s="130">
        <v>2477</v>
      </c>
      <c r="I128" s="130">
        <v>2953</v>
      </c>
      <c r="J128" s="130">
        <v>3471</v>
      </c>
      <c r="K128" s="130">
        <v>4066</v>
      </c>
      <c r="L128" s="130">
        <v>2951</v>
      </c>
      <c r="M128" s="130">
        <v>751.33720939448096</v>
      </c>
      <c r="N128" s="130">
        <v>2084</v>
      </c>
      <c r="O128" s="130">
        <v>263</v>
      </c>
      <c r="P128" s="119"/>
      <c r="Q128" s="119"/>
      <c r="R128" s="131"/>
      <c r="S128" s="124">
        <f t="shared" si="182"/>
        <v>-0.77</v>
      </c>
      <c r="T128" s="124">
        <f t="shared" si="183"/>
        <v>-0.77</v>
      </c>
      <c r="U128" s="124">
        <f t="shared" si="94"/>
        <v>-7.0000000000000007E-2</v>
      </c>
      <c r="V128" s="131">
        <f t="shared" si="95"/>
        <v>12.62</v>
      </c>
      <c r="W128" s="145">
        <f t="shared" si="96"/>
        <v>0.77</v>
      </c>
    </row>
    <row r="129" spans="1:34" ht="15.75" customHeight="1">
      <c r="A129" s="119"/>
      <c r="B129" s="129"/>
      <c r="C129" s="119"/>
      <c r="D129" s="119"/>
      <c r="E129" s="130">
        <v>2</v>
      </c>
      <c r="F129" s="130">
        <v>9557</v>
      </c>
      <c r="G129" s="130">
        <v>13377</v>
      </c>
      <c r="H129" s="130">
        <v>15672</v>
      </c>
      <c r="I129" s="130">
        <v>18138</v>
      </c>
      <c r="J129" s="130">
        <v>20849</v>
      </c>
      <c r="K129" s="130">
        <v>23800</v>
      </c>
      <c r="L129" s="130">
        <v>18147</v>
      </c>
      <c r="M129" s="130">
        <v>755.98458823920237</v>
      </c>
      <c r="N129" s="130">
        <v>13752</v>
      </c>
      <c r="O129" s="130">
        <v>304</v>
      </c>
      <c r="P129" s="119"/>
      <c r="Q129" s="119"/>
      <c r="R129" s="131"/>
      <c r="S129" s="124">
        <f t="shared" si="184"/>
        <v>-1.8</v>
      </c>
      <c r="T129" s="124">
        <f t="shared" si="185"/>
        <v>-1.8</v>
      </c>
      <c r="U129" s="124">
        <f t="shared" si="94"/>
        <v>0.05</v>
      </c>
      <c r="V129" s="131">
        <f t="shared" si="95"/>
        <v>2.2109999999999999</v>
      </c>
      <c r="W129" s="145">
        <f t="shared" si="96"/>
        <v>1.8</v>
      </c>
    </row>
    <row r="130" spans="1:34" ht="15.75" customHeight="1">
      <c r="A130" s="119"/>
      <c r="B130" s="129"/>
      <c r="C130" s="119"/>
      <c r="D130" s="119"/>
      <c r="E130" s="130">
        <v>3</v>
      </c>
      <c r="F130" s="130">
        <v>25935</v>
      </c>
      <c r="G130" s="130">
        <v>35136</v>
      </c>
      <c r="H130" s="130">
        <v>40312</v>
      </c>
      <c r="I130" s="130">
        <v>46249</v>
      </c>
      <c r="J130" s="130">
        <v>52624</v>
      </c>
      <c r="K130" s="130">
        <v>58354</v>
      </c>
      <c r="L130" s="130">
        <v>46286</v>
      </c>
      <c r="M130" s="130">
        <v>793.91779324520473</v>
      </c>
      <c r="N130" s="130">
        <v>44498</v>
      </c>
      <c r="O130" s="130">
        <v>382</v>
      </c>
      <c r="P130" s="130">
        <v>796</v>
      </c>
      <c r="Q130" s="130">
        <v>45028</v>
      </c>
      <c r="R130" s="131">
        <v>386</v>
      </c>
      <c r="S130" s="124">
        <f t="shared" si="186"/>
        <v>-1.1299999999999999</v>
      </c>
      <c r="T130" s="124">
        <f>ROUND((Q130-45000)/Q130*100,2)</f>
        <v>0.06</v>
      </c>
      <c r="U130" s="124">
        <f t="shared" si="94"/>
        <v>0.08</v>
      </c>
      <c r="V130" s="131">
        <f t="shared" si="95"/>
        <v>0.85799999999999998</v>
      </c>
      <c r="W130" s="145">
        <f t="shared" si="96"/>
        <v>0.06</v>
      </c>
      <c r="Y130" s="8" t="s">
        <v>293</v>
      </c>
    </row>
    <row r="131" spans="1:34" ht="15.75" customHeight="1">
      <c r="A131" s="119"/>
      <c r="B131" s="129" t="s">
        <v>539</v>
      </c>
      <c r="C131" s="130" t="s">
        <v>294</v>
      </c>
      <c r="D131" s="119"/>
      <c r="E131" s="130">
        <v>1</v>
      </c>
      <c r="F131" s="130">
        <v>1516</v>
      </c>
      <c r="G131" s="130">
        <v>2196</v>
      </c>
      <c r="H131" s="130">
        <v>2599</v>
      </c>
      <c r="I131" s="130">
        <v>3052</v>
      </c>
      <c r="J131" s="130">
        <v>3558</v>
      </c>
      <c r="K131" s="130">
        <v>4125</v>
      </c>
      <c r="L131" s="130">
        <v>3061</v>
      </c>
      <c r="M131" s="130">
        <v>742.67778345889906</v>
      </c>
      <c r="N131" s="130">
        <v>2086</v>
      </c>
      <c r="O131" s="130">
        <v>291</v>
      </c>
      <c r="P131" s="119"/>
      <c r="Q131" s="119"/>
      <c r="R131" s="131"/>
      <c r="S131" s="124">
        <f t="shared" si="182"/>
        <v>-0.67</v>
      </c>
      <c r="T131" s="124">
        <f t="shared" si="183"/>
        <v>-0.67</v>
      </c>
      <c r="U131" s="124">
        <f t="shared" ref="U131:U194" si="188">ROUND((L131-I131)/L131*100,2)</f>
        <v>0.28999999999999998</v>
      </c>
      <c r="V131" s="131">
        <f t="shared" ref="V131:V194" si="189">ROUND(O131/N131*100,3)</f>
        <v>13.95</v>
      </c>
      <c r="W131" s="145">
        <f t="shared" ref="W131:W194" si="190">ABS(T131)</f>
        <v>0.67</v>
      </c>
    </row>
    <row r="132" spans="1:34" ht="15.75" customHeight="1">
      <c r="A132" s="119"/>
      <c r="B132" s="129"/>
      <c r="C132" s="119"/>
      <c r="D132" s="119"/>
      <c r="E132" s="130">
        <v>2</v>
      </c>
      <c r="F132" s="130">
        <v>10387</v>
      </c>
      <c r="G132" s="130">
        <v>14223</v>
      </c>
      <c r="H132" s="130">
        <v>16458</v>
      </c>
      <c r="I132" s="130">
        <v>18930</v>
      </c>
      <c r="J132" s="130">
        <v>21640</v>
      </c>
      <c r="K132" s="130">
        <v>24628</v>
      </c>
      <c r="L132" s="130">
        <v>18945</v>
      </c>
      <c r="M132" s="130">
        <v>746.3121395445188</v>
      </c>
      <c r="N132" s="130">
        <v>13824</v>
      </c>
      <c r="O132" s="130">
        <v>324</v>
      </c>
      <c r="P132" s="119"/>
      <c r="Q132" s="119"/>
      <c r="R132" s="131"/>
      <c r="S132" s="124">
        <f t="shared" si="184"/>
        <v>-1.27</v>
      </c>
      <c r="T132" s="124">
        <f t="shared" si="185"/>
        <v>-1.27</v>
      </c>
      <c r="U132" s="124">
        <f t="shared" si="188"/>
        <v>0.08</v>
      </c>
      <c r="V132" s="131">
        <f t="shared" si="189"/>
        <v>2.3439999999999999</v>
      </c>
      <c r="W132" s="145">
        <f t="shared" si="190"/>
        <v>1.27</v>
      </c>
    </row>
    <row r="133" spans="1:34" ht="15.75" customHeight="1">
      <c r="A133" s="119"/>
      <c r="B133" s="129"/>
      <c r="C133" s="119"/>
      <c r="D133" s="119"/>
      <c r="E133" s="130">
        <v>3</v>
      </c>
      <c r="F133" s="130">
        <v>27450</v>
      </c>
      <c r="G133" s="130">
        <v>36064</v>
      </c>
      <c r="H133" s="130">
        <v>41152</v>
      </c>
      <c r="I133" s="130">
        <v>46675</v>
      </c>
      <c r="J133" s="130">
        <v>52673</v>
      </c>
      <c r="K133" s="130">
        <v>58336</v>
      </c>
      <c r="L133" s="130">
        <v>46757</v>
      </c>
      <c r="M133" s="130">
        <v>792.51948672442222</v>
      </c>
      <c r="N133" s="130">
        <v>44711</v>
      </c>
      <c r="O133" s="130">
        <v>388</v>
      </c>
      <c r="P133" s="119"/>
      <c r="Q133" s="119"/>
      <c r="R133" s="131"/>
      <c r="S133" s="124">
        <f t="shared" si="186"/>
        <v>-0.65</v>
      </c>
      <c r="T133" s="124">
        <f t="shared" si="187"/>
        <v>-0.65</v>
      </c>
      <c r="U133" s="124">
        <f t="shared" si="188"/>
        <v>0.18</v>
      </c>
      <c r="V133" s="131">
        <f t="shared" si="189"/>
        <v>0.86799999999999999</v>
      </c>
      <c r="W133" s="145">
        <f t="shared" si="190"/>
        <v>0.65</v>
      </c>
    </row>
    <row r="134" spans="1:34" ht="15.75" customHeight="1">
      <c r="A134" s="119"/>
      <c r="B134" s="129" t="s">
        <v>540</v>
      </c>
      <c r="C134" s="130" t="s">
        <v>295</v>
      </c>
      <c r="D134" s="130" t="s">
        <v>296</v>
      </c>
      <c r="E134" s="130">
        <v>1</v>
      </c>
      <c r="F134" s="130">
        <v>1296</v>
      </c>
      <c r="G134" s="130">
        <v>1922</v>
      </c>
      <c r="H134" s="130">
        <v>2275</v>
      </c>
      <c r="I134" s="130">
        <v>2681</v>
      </c>
      <c r="J134" s="130">
        <v>3124</v>
      </c>
      <c r="K134" s="130">
        <v>3627</v>
      </c>
      <c r="L134" s="130">
        <v>2738</v>
      </c>
      <c r="M134" s="130">
        <v>762.64872084504736</v>
      </c>
      <c r="N134" s="130">
        <v>2090</v>
      </c>
      <c r="O134" s="130">
        <v>264</v>
      </c>
      <c r="P134" s="119"/>
      <c r="Q134" s="119"/>
      <c r="R134" s="131"/>
      <c r="S134" s="124">
        <f t="shared" si="182"/>
        <v>-0.48</v>
      </c>
      <c r="T134" s="124">
        <f t="shared" si="183"/>
        <v>-0.48</v>
      </c>
      <c r="U134" s="124">
        <f t="shared" si="188"/>
        <v>2.08</v>
      </c>
      <c r="V134" s="131">
        <f t="shared" si="189"/>
        <v>12.632</v>
      </c>
      <c r="W134" s="145">
        <f t="shared" si="190"/>
        <v>0.48</v>
      </c>
    </row>
    <row r="135" spans="1:34" ht="15.75" customHeight="1">
      <c r="A135" s="119"/>
      <c r="B135" s="129"/>
      <c r="C135" s="119"/>
      <c r="D135" s="130" t="s">
        <v>297</v>
      </c>
      <c r="E135" s="130">
        <v>2</v>
      </c>
      <c r="F135" s="130">
        <v>9291</v>
      </c>
      <c r="G135" s="130">
        <v>12755</v>
      </c>
      <c r="H135" s="130">
        <v>14771</v>
      </c>
      <c r="I135" s="130">
        <v>17006</v>
      </c>
      <c r="J135" s="130">
        <v>19469</v>
      </c>
      <c r="K135" s="130">
        <v>22152</v>
      </c>
      <c r="L135" s="130">
        <v>17188</v>
      </c>
      <c r="M135" s="130">
        <v>764.76037121828767</v>
      </c>
      <c r="N135" s="130">
        <v>13874</v>
      </c>
      <c r="O135" s="130">
        <v>303</v>
      </c>
      <c r="P135" s="119"/>
      <c r="Q135" s="119"/>
      <c r="R135" s="131"/>
      <c r="S135" s="124">
        <f t="shared" si="184"/>
        <v>-0.91</v>
      </c>
      <c r="T135" s="124">
        <f t="shared" si="185"/>
        <v>-0.91</v>
      </c>
      <c r="U135" s="124">
        <f t="shared" si="188"/>
        <v>1.06</v>
      </c>
      <c r="V135" s="131">
        <f t="shared" si="189"/>
        <v>2.1840000000000002</v>
      </c>
      <c r="W135" s="145">
        <f t="shared" si="190"/>
        <v>0.91</v>
      </c>
    </row>
    <row r="136" spans="1:34" ht="15.75" customHeight="1">
      <c r="A136" s="119"/>
      <c r="B136" s="129"/>
      <c r="C136" s="119"/>
      <c r="D136" s="156">
        <v>0.64583333333333337</v>
      </c>
      <c r="E136" s="130">
        <v>3</v>
      </c>
      <c r="F136" s="130">
        <v>25069</v>
      </c>
      <c r="G136" s="130">
        <v>33230</v>
      </c>
      <c r="H136" s="130">
        <v>38048</v>
      </c>
      <c r="I136" s="130">
        <v>43330</v>
      </c>
      <c r="J136" s="130">
        <v>49072</v>
      </c>
      <c r="K136" s="130">
        <v>55245</v>
      </c>
      <c r="L136" s="130">
        <v>43523</v>
      </c>
      <c r="M136" s="130">
        <v>806.74180722844073</v>
      </c>
      <c r="N136" s="130">
        <v>44739</v>
      </c>
      <c r="O136" s="130">
        <v>379</v>
      </c>
      <c r="P136" s="119"/>
      <c r="Q136" s="119"/>
      <c r="R136" s="131"/>
      <c r="S136" s="124">
        <f t="shared" si="186"/>
        <v>-0.57999999999999996</v>
      </c>
      <c r="T136" s="124">
        <f t="shared" si="187"/>
        <v>-0.57999999999999996</v>
      </c>
      <c r="U136" s="124">
        <f t="shared" si="188"/>
        <v>0.44</v>
      </c>
      <c r="V136" s="131">
        <f t="shared" si="189"/>
        <v>0.84699999999999998</v>
      </c>
      <c r="W136" s="145">
        <f t="shared" si="190"/>
        <v>0.57999999999999996</v>
      </c>
    </row>
    <row r="137" spans="1:34" ht="15.75" customHeight="1">
      <c r="A137" s="119"/>
      <c r="B137" s="172" t="s">
        <v>541</v>
      </c>
      <c r="C137" s="173" t="s">
        <v>298</v>
      </c>
      <c r="D137" s="119"/>
      <c r="E137" s="130">
        <v>1</v>
      </c>
      <c r="F137" s="119">
        <v>1057</v>
      </c>
      <c r="G137" s="119">
        <v>1556</v>
      </c>
      <c r="H137" s="119">
        <v>1849</v>
      </c>
      <c r="I137" s="119">
        <v>2178</v>
      </c>
      <c r="J137" s="119">
        <v>2545</v>
      </c>
      <c r="K137" s="119">
        <v>2951</v>
      </c>
      <c r="M137">
        <v>794.2195816783327</v>
      </c>
      <c r="N137" s="119">
        <v>2102</v>
      </c>
      <c r="O137" s="119">
        <v>259</v>
      </c>
      <c r="P137" s="119"/>
      <c r="Q137" s="119"/>
      <c r="R137" s="131"/>
      <c r="S137" s="124">
        <f t="shared" si="182"/>
        <v>0.1</v>
      </c>
      <c r="T137" s="124">
        <f t="shared" si="183"/>
        <v>0.1</v>
      </c>
      <c r="U137" s="124"/>
      <c r="V137" s="131">
        <f t="shared" si="189"/>
        <v>12.321999999999999</v>
      </c>
      <c r="W137" s="145">
        <f t="shared" si="190"/>
        <v>0.1</v>
      </c>
      <c r="Y137" s="130">
        <v>1125</v>
      </c>
      <c r="Z137" s="130">
        <v>1627</v>
      </c>
      <c r="AA137" s="130">
        <v>1906</v>
      </c>
      <c r="AB137" s="130">
        <v>2216</v>
      </c>
      <c r="AC137" s="130">
        <v>2566</v>
      </c>
      <c r="AD137" s="130">
        <v>2945</v>
      </c>
      <c r="AE137" s="130">
        <v>2111</v>
      </c>
      <c r="AF137" s="130">
        <v>790.22533742555356</v>
      </c>
      <c r="AG137" s="130">
        <v>2081</v>
      </c>
      <c r="AH137" s="130">
        <v>269</v>
      </c>
    </row>
    <row r="138" spans="1:34" ht="15.75" customHeight="1">
      <c r="A138" s="119"/>
      <c r="B138" s="129"/>
      <c r="C138" s="119"/>
      <c r="D138" s="119"/>
      <c r="E138" s="130">
        <v>2</v>
      </c>
      <c r="F138">
        <v>7951</v>
      </c>
      <c r="G138">
        <v>10899</v>
      </c>
      <c r="H138">
        <v>12618</v>
      </c>
      <c r="I138">
        <v>14533</v>
      </c>
      <c r="J138">
        <v>16599</v>
      </c>
      <c r="K138">
        <v>18896</v>
      </c>
      <c r="M138">
        <v>793.40527205723868</v>
      </c>
      <c r="N138">
        <v>13960</v>
      </c>
      <c r="O138">
        <v>303</v>
      </c>
      <c r="P138" s="119"/>
      <c r="Q138" s="119"/>
      <c r="R138" s="131"/>
      <c r="S138" s="124">
        <f t="shared" si="184"/>
        <v>-0.28999999999999998</v>
      </c>
      <c r="T138" s="124">
        <f t="shared" si="185"/>
        <v>-0.28999999999999998</v>
      </c>
      <c r="U138" s="124"/>
      <c r="V138" s="131">
        <f t="shared" si="189"/>
        <v>2.17</v>
      </c>
      <c r="W138" s="145">
        <f t="shared" si="190"/>
        <v>0.28999999999999998</v>
      </c>
      <c r="Y138" s="130">
        <v>7604</v>
      </c>
      <c r="Z138" s="130">
        <v>10306</v>
      </c>
      <c r="AA138" s="130">
        <v>11862</v>
      </c>
      <c r="AB138" s="130">
        <v>13548</v>
      </c>
      <c r="AC138" s="130">
        <v>15374</v>
      </c>
      <c r="AD138" s="130">
        <v>17321</v>
      </c>
      <c r="AE138" s="130">
        <v>13329</v>
      </c>
      <c r="AF138" s="130">
        <v>806.17972174254487</v>
      </c>
      <c r="AG138" s="130">
        <v>13964</v>
      </c>
      <c r="AH138" s="130">
        <v>301</v>
      </c>
    </row>
    <row r="139" spans="1:34" ht="15.75" customHeight="1">
      <c r="A139" s="119"/>
      <c r="B139" s="129"/>
      <c r="C139" s="119"/>
      <c r="D139" s="119"/>
      <c r="E139" s="130">
        <v>3</v>
      </c>
      <c r="F139">
        <v>21834</v>
      </c>
      <c r="G139">
        <v>28816</v>
      </c>
      <c r="H139">
        <v>32776</v>
      </c>
      <c r="I139">
        <v>37152</v>
      </c>
      <c r="J139">
        <v>41903</v>
      </c>
      <c r="K139">
        <v>47026</v>
      </c>
      <c r="M139">
        <v>832.78393215223741</v>
      </c>
      <c r="N139">
        <v>43220</v>
      </c>
      <c r="O139">
        <v>354</v>
      </c>
      <c r="P139" s="119">
        <v>840</v>
      </c>
      <c r="Q139" s="119">
        <v>44738</v>
      </c>
      <c r="R139" s="131">
        <v>372</v>
      </c>
      <c r="S139" s="124">
        <f t="shared" si="186"/>
        <v>-4.12</v>
      </c>
      <c r="T139" s="124">
        <f>ROUND((Q139-45000)/Q139*100,2)</f>
        <v>-0.59</v>
      </c>
      <c r="U139" s="124"/>
      <c r="V139" s="131">
        <f t="shared" si="189"/>
        <v>0.81899999999999995</v>
      </c>
      <c r="W139" s="145">
        <f t="shared" si="190"/>
        <v>0.59</v>
      </c>
      <c r="Y139" s="130">
        <v>20096</v>
      </c>
      <c r="Z139" s="130">
        <v>26300</v>
      </c>
      <c r="AA139" s="130">
        <v>29661</v>
      </c>
      <c r="AB139" s="130">
        <v>33034</v>
      </c>
      <c r="AC139" s="130">
        <v>36789</v>
      </c>
      <c r="AD139" s="130">
        <v>40883</v>
      </c>
      <c r="AE139" s="130">
        <v>32794</v>
      </c>
      <c r="AF139" s="151">
        <v>874.01864257379884</v>
      </c>
      <c r="AG139" s="119"/>
      <c r="AH139" s="119"/>
    </row>
    <row r="140" spans="1:34" ht="15.75" customHeight="1">
      <c r="A140" s="119"/>
      <c r="B140" s="129" t="s">
        <v>542</v>
      </c>
      <c r="C140" s="130" t="s">
        <v>299</v>
      </c>
      <c r="D140" s="119"/>
      <c r="E140" s="130">
        <v>1</v>
      </c>
      <c r="F140" s="130">
        <v>1631</v>
      </c>
      <c r="G140" s="130">
        <v>2378</v>
      </c>
      <c r="H140" s="130">
        <v>2875</v>
      </c>
      <c r="I140" s="130">
        <v>3381</v>
      </c>
      <c r="J140" s="130">
        <v>3932</v>
      </c>
      <c r="K140" s="130">
        <v>4557</v>
      </c>
      <c r="L140" s="130">
        <v>3248</v>
      </c>
      <c r="M140" s="130">
        <v>731.30629901878319</v>
      </c>
      <c r="N140" s="130">
        <v>2162</v>
      </c>
      <c r="O140" s="130">
        <v>294</v>
      </c>
      <c r="P140" s="119"/>
      <c r="Q140" s="119"/>
      <c r="R140" s="131"/>
      <c r="S140" s="124">
        <f t="shared" si="182"/>
        <v>2.87</v>
      </c>
      <c r="T140" s="124">
        <f t="shared" si="183"/>
        <v>2.87</v>
      </c>
      <c r="U140" s="124">
        <f t="shared" si="188"/>
        <v>-4.09</v>
      </c>
      <c r="V140" s="131">
        <f t="shared" si="189"/>
        <v>13.599</v>
      </c>
      <c r="W140" s="145">
        <f t="shared" si="190"/>
        <v>2.87</v>
      </c>
    </row>
    <row r="141" spans="1:34" ht="15.75" customHeight="1">
      <c r="A141" s="119"/>
      <c r="B141" s="129"/>
      <c r="C141" s="119"/>
      <c r="D141" s="119"/>
      <c r="E141" s="130">
        <v>2</v>
      </c>
      <c r="F141" s="130">
        <v>10988</v>
      </c>
      <c r="G141" s="130">
        <v>15120</v>
      </c>
      <c r="H141" s="130">
        <v>17545</v>
      </c>
      <c r="I141" s="130">
        <v>20217</v>
      </c>
      <c r="J141" s="130">
        <v>23179</v>
      </c>
      <c r="K141" s="130">
        <v>26414</v>
      </c>
      <c r="L141" s="130">
        <v>20226</v>
      </c>
      <c r="M141" s="130">
        <v>736.59848317867795</v>
      </c>
      <c r="N141" s="130">
        <v>13930</v>
      </c>
      <c r="O141" s="130">
        <v>320</v>
      </c>
      <c r="P141" s="119"/>
      <c r="Q141" s="119"/>
      <c r="R141" s="131"/>
      <c r="S141" s="124">
        <f t="shared" si="184"/>
        <v>-0.5</v>
      </c>
      <c r="T141" s="124">
        <f t="shared" si="185"/>
        <v>-0.5</v>
      </c>
      <c r="U141" s="124">
        <f t="shared" si="188"/>
        <v>0.04</v>
      </c>
      <c r="V141" s="131">
        <f t="shared" si="189"/>
        <v>2.2970000000000002</v>
      </c>
      <c r="W141" s="145">
        <f t="shared" si="190"/>
        <v>0.5</v>
      </c>
    </row>
    <row r="142" spans="1:34" ht="15.75" customHeight="1">
      <c r="A142" s="119"/>
      <c r="B142" s="129"/>
      <c r="C142" s="119"/>
      <c r="D142" s="119"/>
      <c r="E142" s="130">
        <v>3</v>
      </c>
      <c r="F142" s="130">
        <v>28782</v>
      </c>
      <c r="G142" s="130">
        <v>38270</v>
      </c>
      <c r="H142" s="130">
        <v>43725</v>
      </c>
      <c r="I142" s="130">
        <v>49684</v>
      </c>
      <c r="J142" s="130">
        <v>55838</v>
      </c>
      <c r="K142" s="130">
        <v>61108</v>
      </c>
      <c r="L142" s="130">
        <v>49761</v>
      </c>
      <c r="M142" s="130">
        <v>779.25672761966541</v>
      </c>
      <c r="N142" s="130">
        <v>44705</v>
      </c>
      <c r="O142" s="130">
        <v>375</v>
      </c>
      <c r="P142" s="119"/>
      <c r="Q142" s="119"/>
      <c r="R142" s="131"/>
      <c r="S142" s="124">
        <f t="shared" si="186"/>
        <v>-0.66</v>
      </c>
      <c r="T142" s="124">
        <f t="shared" si="187"/>
        <v>-0.66</v>
      </c>
      <c r="U142" s="124">
        <f t="shared" si="188"/>
        <v>0.15</v>
      </c>
      <c r="V142" s="131">
        <f t="shared" si="189"/>
        <v>0.83899999999999997</v>
      </c>
      <c r="W142" s="145">
        <f t="shared" si="190"/>
        <v>0.66</v>
      </c>
    </row>
    <row r="143" spans="1:34" ht="15.75" customHeight="1">
      <c r="A143" s="119"/>
      <c r="B143" s="129" t="s">
        <v>543</v>
      </c>
      <c r="C143" s="130" t="s">
        <v>300</v>
      </c>
      <c r="D143" s="119"/>
      <c r="E143" s="130">
        <v>1</v>
      </c>
      <c r="F143" s="130">
        <v>1231</v>
      </c>
      <c r="G143" s="130">
        <v>1895</v>
      </c>
      <c r="H143" s="130">
        <v>2273</v>
      </c>
      <c r="I143" s="130">
        <v>2707</v>
      </c>
      <c r="J143" s="130">
        <v>3198</v>
      </c>
      <c r="K143" s="130">
        <v>3757</v>
      </c>
      <c r="L143" s="130">
        <v>2685</v>
      </c>
      <c r="M143" s="130">
        <v>763.7561671452645</v>
      </c>
      <c r="N143" s="130">
        <v>2096</v>
      </c>
      <c r="O143" s="130">
        <v>261</v>
      </c>
      <c r="P143" s="119"/>
      <c r="Q143" s="119"/>
      <c r="R143" s="131"/>
      <c r="S143" s="124">
        <f t="shared" si="182"/>
        <v>-0.19</v>
      </c>
      <c r="T143" s="124">
        <f t="shared" si="183"/>
        <v>-0.19</v>
      </c>
      <c r="U143" s="124">
        <f t="shared" si="188"/>
        <v>-0.82</v>
      </c>
      <c r="V143" s="131">
        <f t="shared" si="189"/>
        <v>12.452</v>
      </c>
      <c r="W143" s="145">
        <f t="shared" si="190"/>
        <v>0.19</v>
      </c>
    </row>
    <row r="144" spans="1:34" ht="15.75" customHeight="1">
      <c r="A144" s="119"/>
      <c r="B144" s="129"/>
      <c r="C144" s="119"/>
      <c r="D144" s="119"/>
      <c r="E144" s="130">
        <v>2</v>
      </c>
      <c r="F144" s="130">
        <v>8984</v>
      </c>
      <c r="G144" s="130">
        <v>12850</v>
      </c>
      <c r="H144" s="130">
        <v>15182</v>
      </c>
      <c r="I144" s="130">
        <v>17813</v>
      </c>
      <c r="J144" s="130">
        <v>20772</v>
      </c>
      <c r="K144" s="130">
        <v>24079</v>
      </c>
      <c r="L144" s="130">
        <v>17749</v>
      </c>
      <c r="M144" s="130">
        <v>762.21042392728793</v>
      </c>
      <c r="N144" s="130">
        <v>13966</v>
      </c>
      <c r="O144" s="130">
        <v>311</v>
      </c>
      <c r="P144" s="119"/>
      <c r="Q144" s="119"/>
      <c r="R144" s="131"/>
      <c r="S144" s="124">
        <f t="shared" si="184"/>
        <v>-0.24</v>
      </c>
      <c r="T144" s="124">
        <f t="shared" si="185"/>
        <v>-0.24</v>
      </c>
      <c r="U144" s="124">
        <f t="shared" si="188"/>
        <v>-0.36</v>
      </c>
      <c r="V144" s="131">
        <f t="shared" si="189"/>
        <v>2.2269999999999999</v>
      </c>
      <c r="W144" s="145">
        <f t="shared" si="190"/>
        <v>0.24</v>
      </c>
    </row>
    <row r="145" spans="1:37" ht="15.75" customHeight="1">
      <c r="A145" s="119"/>
      <c r="B145" s="129"/>
      <c r="C145" s="119"/>
      <c r="D145" s="119"/>
      <c r="E145" s="130">
        <v>3</v>
      </c>
      <c r="F145" s="130">
        <v>25797</v>
      </c>
      <c r="G145" s="130">
        <v>35918</v>
      </c>
      <c r="H145" s="130">
        <v>41807</v>
      </c>
      <c r="I145" s="130">
        <v>48549</v>
      </c>
      <c r="J145" s="130">
        <v>55413</v>
      </c>
      <c r="K145" s="130">
        <v>61103</v>
      </c>
      <c r="L145" s="130">
        <v>48393</v>
      </c>
      <c r="M145" s="130">
        <v>786.90173244759876</v>
      </c>
      <c r="N145" s="130">
        <v>44892</v>
      </c>
      <c r="O145" s="130">
        <v>393</v>
      </c>
      <c r="P145" s="119"/>
      <c r="Q145" s="119"/>
      <c r="R145" s="131"/>
      <c r="S145" s="124">
        <f t="shared" si="186"/>
        <v>-0.24</v>
      </c>
      <c r="T145" s="124">
        <f t="shared" si="187"/>
        <v>-0.24</v>
      </c>
      <c r="U145" s="124">
        <f t="shared" si="188"/>
        <v>-0.32</v>
      </c>
      <c r="V145" s="131">
        <f t="shared" si="189"/>
        <v>0.875</v>
      </c>
      <c r="W145" s="145">
        <f t="shared" si="190"/>
        <v>0.24</v>
      </c>
    </row>
    <row r="146" spans="1:37" ht="15.75" customHeight="1">
      <c r="A146" s="119"/>
      <c r="B146" s="129" t="s">
        <v>544</v>
      </c>
      <c r="C146" s="130" t="s">
        <v>301</v>
      </c>
      <c r="D146" s="119"/>
      <c r="E146" s="130">
        <v>1</v>
      </c>
      <c r="F146" s="130">
        <v>1327</v>
      </c>
      <c r="G146" s="130">
        <v>2006</v>
      </c>
      <c r="H146" s="130">
        <v>2404</v>
      </c>
      <c r="I146" s="130">
        <v>2853</v>
      </c>
      <c r="J146" s="130">
        <v>3357</v>
      </c>
      <c r="K146" s="130">
        <v>3918</v>
      </c>
      <c r="L146" s="130">
        <v>2758</v>
      </c>
      <c r="M146" s="130">
        <v>755.43564613992612</v>
      </c>
      <c r="N146" s="130">
        <v>2089</v>
      </c>
      <c r="O146" s="130">
        <v>272</v>
      </c>
      <c r="P146" s="119"/>
      <c r="Q146" s="119"/>
      <c r="R146" s="131"/>
      <c r="S146" s="124">
        <f t="shared" si="182"/>
        <v>-0.53</v>
      </c>
      <c r="T146" s="124">
        <f t="shared" si="183"/>
        <v>-0.53</v>
      </c>
      <c r="U146" s="124">
        <f t="shared" si="188"/>
        <v>-3.44</v>
      </c>
      <c r="V146" s="131">
        <f t="shared" si="189"/>
        <v>13.021000000000001</v>
      </c>
      <c r="W146" s="145">
        <f t="shared" si="190"/>
        <v>0.53</v>
      </c>
    </row>
    <row r="147" spans="1:37" ht="15.75" customHeight="1">
      <c r="A147" s="119"/>
      <c r="B147" s="129"/>
      <c r="C147" s="119"/>
      <c r="D147" s="119"/>
      <c r="E147" s="130">
        <v>2</v>
      </c>
      <c r="F147" s="130">
        <v>9230</v>
      </c>
      <c r="G147" s="130">
        <v>13224</v>
      </c>
      <c r="H147" s="130">
        <v>15677</v>
      </c>
      <c r="I147" s="130">
        <v>18425</v>
      </c>
      <c r="J147" s="130">
        <v>21653</v>
      </c>
      <c r="K147" s="130">
        <v>25302</v>
      </c>
      <c r="L147" s="130">
        <v>18169</v>
      </c>
      <c r="M147" s="130">
        <v>758.04838595627871</v>
      </c>
      <c r="N147" s="130">
        <v>13991</v>
      </c>
      <c r="O147" s="130">
        <v>318</v>
      </c>
      <c r="P147" s="119"/>
      <c r="Q147" s="119"/>
      <c r="R147" s="131"/>
      <c r="S147" s="124">
        <f t="shared" si="184"/>
        <v>-0.06</v>
      </c>
      <c r="T147" s="124">
        <f t="shared" si="185"/>
        <v>-0.06</v>
      </c>
      <c r="U147" s="124">
        <f t="shared" si="188"/>
        <v>-1.41</v>
      </c>
      <c r="V147" s="131">
        <f t="shared" si="189"/>
        <v>2.2730000000000001</v>
      </c>
      <c r="W147" s="145">
        <f t="shared" si="190"/>
        <v>0.06</v>
      </c>
    </row>
    <row r="148" spans="1:37" ht="15.75" customHeight="1">
      <c r="A148" s="119"/>
      <c r="B148" s="129"/>
      <c r="C148" s="119"/>
      <c r="D148" s="119"/>
      <c r="E148" s="130">
        <v>3</v>
      </c>
      <c r="F148" s="130">
        <v>26353</v>
      </c>
      <c r="G148" s="130">
        <v>37315</v>
      </c>
      <c r="H148" s="130">
        <v>44373</v>
      </c>
      <c r="I148" s="130">
        <v>52839</v>
      </c>
      <c r="J148" s="130">
        <v>59975</v>
      </c>
      <c r="K148" s="130" t="s">
        <v>34</v>
      </c>
      <c r="L148" s="130">
        <v>52713</v>
      </c>
      <c r="M148" s="130">
        <v>777.91841588983391</v>
      </c>
      <c r="N148" s="130">
        <v>45611</v>
      </c>
      <c r="O148" s="130">
        <v>426</v>
      </c>
      <c r="P148" s="130">
        <v>776</v>
      </c>
      <c r="Q148" s="130">
        <v>45009</v>
      </c>
      <c r="R148" s="131">
        <v>423</v>
      </c>
      <c r="S148" s="124">
        <f t="shared" si="186"/>
        <v>1.34</v>
      </c>
      <c r="T148" s="124">
        <f>ROUND((Q148-45000)/Q148*100,2)</f>
        <v>0.02</v>
      </c>
      <c r="U148" s="124">
        <f t="shared" si="188"/>
        <v>-0.24</v>
      </c>
      <c r="V148" s="131">
        <f t="shared" si="189"/>
        <v>0.93400000000000005</v>
      </c>
      <c r="W148" s="145">
        <f t="shared" si="190"/>
        <v>0.02</v>
      </c>
    </row>
    <row r="149" spans="1:37" ht="15.75" customHeight="1">
      <c r="A149" s="119"/>
      <c r="B149" s="129" t="s">
        <v>545</v>
      </c>
      <c r="C149" s="130" t="s">
        <v>302</v>
      </c>
      <c r="D149" s="130" t="s">
        <v>303</v>
      </c>
      <c r="E149" s="130">
        <v>1</v>
      </c>
      <c r="F149" s="130">
        <v>1805</v>
      </c>
      <c r="G149" s="130">
        <v>2676</v>
      </c>
      <c r="H149" s="130">
        <v>3221</v>
      </c>
      <c r="I149" s="130">
        <v>3816</v>
      </c>
      <c r="J149" s="130">
        <v>4492</v>
      </c>
      <c r="K149" s="130">
        <v>5231</v>
      </c>
      <c r="L149" s="130">
        <v>4102</v>
      </c>
      <c r="M149" s="130">
        <v>717.45442444806349</v>
      </c>
      <c r="N149" s="130">
        <v>2075</v>
      </c>
      <c r="O149" s="130">
        <v>295</v>
      </c>
      <c r="P149" s="119"/>
      <c r="Q149" s="119"/>
      <c r="R149" s="131"/>
      <c r="S149" s="124">
        <f t="shared" si="182"/>
        <v>-1.2</v>
      </c>
      <c r="T149" s="124">
        <f t="shared" si="183"/>
        <v>-1.2</v>
      </c>
      <c r="U149" s="124">
        <f t="shared" si="188"/>
        <v>6.97</v>
      </c>
      <c r="V149" s="131">
        <f t="shared" si="189"/>
        <v>14.217000000000001</v>
      </c>
      <c r="W149" s="145">
        <f t="shared" si="190"/>
        <v>1.2</v>
      </c>
    </row>
    <row r="150" spans="1:37" ht="15.75" customHeight="1">
      <c r="A150" s="119"/>
      <c r="B150" s="129"/>
      <c r="C150" s="119"/>
      <c r="D150" s="119"/>
      <c r="E150" s="130">
        <v>2</v>
      </c>
      <c r="F150" s="130">
        <v>12178</v>
      </c>
      <c r="G150" s="130">
        <v>17317</v>
      </c>
      <c r="H150" s="130">
        <v>20503</v>
      </c>
      <c r="I150" s="130">
        <v>24120</v>
      </c>
      <c r="J150" s="130">
        <v>28149</v>
      </c>
      <c r="K150" s="130">
        <v>32435</v>
      </c>
      <c r="L150" s="130">
        <v>24901</v>
      </c>
      <c r="M150" s="130">
        <v>718.94958444219708</v>
      </c>
      <c r="N150" s="130">
        <v>13880</v>
      </c>
      <c r="O150" s="130">
        <v>378</v>
      </c>
      <c r="P150" s="119"/>
      <c r="Q150" s="119"/>
      <c r="R150" s="131"/>
      <c r="S150" s="124">
        <f t="shared" si="184"/>
        <v>-0.86</v>
      </c>
      <c r="T150" s="124">
        <f t="shared" si="185"/>
        <v>-0.86</v>
      </c>
      <c r="U150" s="124">
        <f t="shared" si="188"/>
        <v>3.14</v>
      </c>
      <c r="V150" s="131">
        <f t="shared" si="189"/>
        <v>2.7229999999999999</v>
      </c>
      <c r="W150" s="145">
        <f t="shared" si="190"/>
        <v>0.86</v>
      </c>
    </row>
    <row r="151" spans="1:37" ht="15.75" customHeight="1" thickBot="1">
      <c r="A151" s="119"/>
      <c r="B151" s="132"/>
      <c r="C151" s="133"/>
      <c r="D151" s="133"/>
      <c r="E151" s="133">
        <v>3</v>
      </c>
      <c r="F151" s="133">
        <v>33312</v>
      </c>
      <c r="G151" s="133">
        <v>46978</v>
      </c>
      <c r="H151" s="133">
        <v>55367</v>
      </c>
      <c r="I151" s="133">
        <v>63363</v>
      </c>
      <c r="J151" s="133" t="s">
        <v>34</v>
      </c>
      <c r="K151" s="133" t="s">
        <v>34</v>
      </c>
      <c r="L151" s="133">
        <v>63738</v>
      </c>
      <c r="M151" s="133">
        <v>743.33536087661696</v>
      </c>
      <c r="N151" s="133">
        <v>44785</v>
      </c>
      <c r="O151" s="133">
        <v>419</v>
      </c>
      <c r="P151" s="133"/>
      <c r="Q151" s="133"/>
      <c r="R151" s="134"/>
      <c r="S151" s="124">
        <f t="shared" si="186"/>
        <v>-0.48</v>
      </c>
      <c r="T151" s="124">
        <f t="shared" si="187"/>
        <v>-0.48</v>
      </c>
      <c r="U151" s="124">
        <f t="shared" si="188"/>
        <v>0.59</v>
      </c>
      <c r="V151" s="131">
        <f t="shared" si="189"/>
        <v>0.93600000000000005</v>
      </c>
      <c r="W151" s="145">
        <f t="shared" si="190"/>
        <v>0.48</v>
      </c>
    </row>
    <row r="152" spans="1:37" ht="15.75" customHeight="1" thickBot="1">
      <c r="A152" s="155" t="s">
        <v>304</v>
      </c>
      <c r="B152" s="129" t="s">
        <v>305</v>
      </c>
      <c r="C152" s="124" t="s">
        <v>306</v>
      </c>
      <c r="D152" s="124" t="s">
        <v>307</v>
      </c>
      <c r="E152" s="124">
        <v>1</v>
      </c>
      <c r="F152" s="124">
        <v>1138</v>
      </c>
      <c r="G152" s="124">
        <v>1753</v>
      </c>
      <c r="H152" s="124">
        <v>2103</v>
      </c>
      <c r="I152" s="124">
        <v>2498</v>
      </c>
      <c r="J152" s="124">
        <v>2943</v>
      </c>
      <c r="K152" s="124">
        <v>3427</v>
      </c>
      <c r="L152" s="124">
        <v>2430</v>
      </c>
      <c r="M152" s="124">
        <v>774.55409558024166</v>
      </c>
      <c r="N152" s="124">
        <v>2095</v>
      </c>
      <c r="O152" s="124">
        <v>324</v>
      </c>
      <c r="P152" s="124"/>
      <c r="Q152" s="124"/>
      <c r="R152" s="131"/>
      <c r="S152" s="129">
        <f t="shared" si="182"/>
        <v>-0.24</v>
      </c>
      <c r="T152" s="124">
        <f t="shared" si="183"/>
        <v>-0.24</v>
      </c>
      <c r="U152" s="124">
        <f t="shared" si="188"/>
        <v>-2.8</v>
      </c>
      <c r="V152" s="131">
        <f t="shared" si="189"/>
        <v>15.465</v>
      </c>
      <c r="W152" s="145">
        <f t="shared" si="190"/>
        <v>0.24</v>
      </c>
    </row>
    <row r="153" spans="1:37" ht="15.75" customHeight="1">
      <c r="A153" s="119"/>
      <c r="B153" s="129"/>
      <c r="C153" s="146">
        <v>45397</v>
      </c>
      <c r="D153" s="119"/>
      <c r="E153" s="130">
        <v>2</v>
      </c>
      <c r="F153" s="130">
        <v>7891</v>
      </c>
      <c r="G153" s="130">
        <v>11258</v>
      </c>
      <c r="H153" s="130">
        <v>13300</v>
      </c>
      <c r="I153" s="130">
        <v>15574</v>
      </c>
      <c r="J153" s="130">
        <v>18163</v>
      </c>
      <c r="K153" s="130">
        <v>21031</v>
      </c>
      <c r="L153" s="130">
        <v>15415</v>
      </c>
      <c r="M153" s="130">
        <v>782.99614627932158</v>
      </c>
      <c r="N153" s="130">
        <v>13965</v>
      </c>
      <c r="O153" s="130">
        <v>372</v>
      </c>
      <c r="P153" s="119"/>
      <c r="Q153" s="119"/>
      <c r="R153" s="131"/>
      <c r="S153" s="129">
        <f t="shared" si="184"/>
        <v>-0.25</v>
      </c>
      <c r="T153" s="124">
        <f t="shared" si="185"/>
        <v>-0.25</v>
      </c>
      <c r="U153" s="124">
        <f t="shared" si="188"/>
        <v>-1.03</v>
      </c>
      <c r="V153" s="131">
        <f t="shared" si="189"/>
        <v>2.6640000000000001</v>
      </c>
      <c r="W153" s="145">
        <f t="shared" si="190"/>
        <v>0.25</v>
      </c>
    </row>
    <row r="154" spans="1:37" ht="15.75" customHeight="1">
      <c r="A154" s="119"/>
      <c r="B154" s="129"/>
      <c r="C154" s="119"/>
      <c r="D154" s="119"/>
      <c r="E154" s="130">
        <v>3</v>
      </c>
      <c r="F154" s="130">
        <v>22075</v>
      </c>
      <c r="G154" s="130">
        <v>31118</v>
      </c>
      <c r="H154" s="130">
        <v>36366</v>
      </c>
      <c r="I154" s="130">
        <v>42416</v>
      </c>
      <c r="J154" s="130">
        <v>49590</v>
      </c>
      <c r="K154" s="130">
        <v>53372</v>
      </c>
      <c r="L154" s="130">
        <v>42413</v>
      </c>
      <c r="M154" s="130">
        <v>810.73235989259501</v>
      </c>
      <c r="N154" s="130">
        <v>45227</v>
      </c>
      <c r="O154" s="130">
        <v>474</v>
      </c>
      <c r="P154" s="119"/>
      <c r="Q154" s="119"/>
      <c r="R154" s="131"/>
      <c r="S154" s="129">
        <f t="shared" si="186"/>
        <v>0.5</v>
      </c>
      <c r="T154" s="124">
        <f t="shared" si="187"/>
        <v>0.5</v>
      </c>
      <c r="U154" s="124">
        <f t="shared" si="188"/>
        <v>-0.01</v>
      </c>
      <c r="V154" s="131">
        <f t="shared" si="189"/>
        <v>1.048</v>
      </c>
      <c r="W154" s="145">
        <f t="shared" si="190"/>
        <v>0.5</v>
      </c>
    </row>
    <row r="155" spans="1:37" ht="15.75" customHeight="1">
      <c r="A155" s="119"/>
      <c r="B155" s="172" t="s">
        <v>308</v>
      </c>
      <c r="C155" s="173" t="s">
        <v>309</v>
      </c>
      <c r="D155" s="130"/>
      <c r="E155" s="130">
        <v>1</v>
      </c>
      <c r="F155" s="119">
        <v>896</v>
      </c>
      <c r="G155" s="119">
        <v>1268</v>
      </c>
      <c r="H155" s="119">
        <v>1572</v>
      </c>
      <c r="I155" s="119">
        <v>1882</v>
      </c>
      <c r="J155" s="119">
        <v>2220</v>
      </c>
      <c r="K155" s="119">
        <v>2602</v>
      </c>
      <c r="M155">
        <v>817.05403288267019</v>
      </c>
      <c r="N155" s="119">
        <v>2085</v>
      </c>
      <c r="O155" s="119">
        <v>251</v>
      </c>
      <c r="S155" s="129">
        <f t="shared" si="182"/>
        <v>-0.72</v>
      </c>
      <c r="T155" s="124">
        <f t="shared" si="183"/>
        <v>-0.72</v>
      </c>
      <c r="U155" s="124">
        <f>ROUND((AE155-AB155)/AE155*100,2)</f>
        <v>-1.42</v>
      </c>
      <c r="V155" s="131">
        <f t="shared" si="189"/>
        <v>12.038</v>
      </c>
      <c r="W155" s="145">
        <f t="shared" si="190"/>
        <v>0.72</v>
      </c>
      <c r="Y155" s="130">
        <v>797</v>
      </c>
      <c r="Z155" s="130">
        <v>1135</v>
      </c>
      <c r="AA155" s="130">
        <v>1416</v>
      </c>
      <c r="AB155" s="130">
        <v>1717</v>
      </c>
      <c r="AC155" s="130">
        <v>2035</v>
      </c>
      <c r="AD155" s="130">
        <v>2389</v>
      </c>
      <c r="AE155" s="130">
        <v>1693</v>
      </c>
      <c r="AF155" s="130">
        <v>830.11105670671179</v>
      </c>
      <c r="AG155" s="130">
        <v>2110</v>
      </c>
      <c r="AH155" s="130">
        <v>261</v>
      </c>
      <c r="AI155" s="119"/>
      <c r="AJ155" s="119"/>
      <c r="AK155" s="131"/>
    </row>
    <row r="156" spans="1:37" ht="15.75" customHeight="1">
      <c r="A156" s="119"/>
      <c r="B156" s="129"/>
      <c r="C156" s="119"/>
      <c r="D156" s="119"/>
      <c r="E156" s="130">
        <v>2</v>
      </c>
      <c r="F156">
        <v>6243</v>
      </c>
      <c r="G156">
        <v>8972</v>
      </c>
      <c r="H156">
        <v>10645</v>
      </c>
      <c r="I156">
        <v>12546</v>
      </c>
      <c r="J156">
        <v>14677</v>
      </c>
      <c r="K156">
        <v>17127</v>
      </c>
      <c r="M156">
        <v>817.332049988427</v>
      </c>
      <c r="N156" s="119">
        <v>13975</v>
      </c>
      <c r="O156" s="119">
        <v>309</v>
      </c>
      <c r="S156" s="129">
        <f t="shared" si="184"/>
        <v>-0.18</v>
      </c>
      <c r="T156" s="124">
        <f t="shared" si="185"/>
        <v>-0.18</v>
      </c>
      <c r="U156" s="124">
        <f>ROUND((AE156-AB156)/AE156*100,2)</f>
        <v>-0.87</v>
      </c>
      <c r="V156" s="131">
        <f t="shared" si="189"/>
        <v>2.2109999999999999</v>
      </c>
      <c r="W156" s="145">
        <f t="shared" si="190"/>
        <v>0.18</v>
      </c>
      <c r="Y156" s="130">
        <v>5533</v>
      </c>
      <c r="Z156" s="130">
        <v>7968</v>
      </c>
      <c r="AA156" s="130">
        <v>9448</v>
      </c>
      <c r="AB156" s="130">
        <v>11113</v>
      </c>
      <c r="AC156" s="130">
        <v>12982</v>
      </c>
      <c r="AD156" s="130">
        <v>15113</v>
      </c>
      <c r="AE156" s="130">
        <v>11017</v>
      </c>
      <c r="AF156" s="130">
        <v>837.08795621899492</v>
      </c>
      <c r="AG156" s="130">
        <v>14075</v>
      </c>
      <c r="AH156" s="130">
        <v>316</v>
      </c>
      <c r="AI156" s="119"/>
      <c r="AJ156" s="119"/>
      <c r="AK156" s="131"/>
    </row>
    <row r="157" spans="1:37" ht="15.75" customHeight="1">
      <c r="A157" s="119"/>
      <c r="B157" s="129"/>
      <c r="C157" s="119"/>
      <c r="D157" s="119"/>
      <c r="E157" s="130">
        <v>3</v>
      </c>
      <c r="F157">
        <v>18381</v>
      </c>
      <c r="G157">
        <v>26272</v>
      </c>
      <c r="H157">
        <v>31017</v>
      </c>
      <c r="I157">
        <v>36186</v>
      </c>
      <c r="J157">
        <v>42060</v>
      </c>
      <c r="K157">
        <v>48922</v>
      </c>
      <c r="M157">
        <v>835.74151175522047</v>
      </c>
      <c r="N157" s="119">
        <v>44883</v>
      </c>
      <c r="O157" s="119">
        <v>430</v>
      </c>
      <c r="S157" s="129">
        <f t="shared" si="186"/>
        <v>-0.26</v>
      </c>
      <c r="T157" s="124">
        <f t="shared" si="187"/>
        <v>-0.26</v>
      </c>
      <c r="U157" s="124"/>
      <c r="V157" s="131">
        <f t="shared" si="189"/>
        <v>0.95799999999999996</v>
      </c>
      <c r="W157" s="145">
        <f t="shared" si="190"/>
        <v>0.26</v>
      </c>
      <c r="Y157" s="130">
        <v>16010</v>
      </c>
      <c r="Z157" s="130">
        <v>22859</v>
      </c>
      <c r="AA157" s="130">
        <v>27077</v>
      </c>
      <c r="AB157" s="130">
        <v>31887</v>
      </c>
      <c r="AC157" s="130">
        <v>37124</v>
      </c>
      <c r="AD157" s="130">
        <v>42877</v>
      </c>
      <c r="AE157" s="130">
        <v>31793</v>
      </c>
      <c r="AF157" s="130">
        <v>857.75095095643576</v>
      </c>
      <c r="AG157" s="119"/>
      <c r="AH157" s="119"/>
      <c r="AI157" s="130">
        <v>850</v>
      </c>
      <c r="AJ157" s="130">
        <v>42948</v>
      </c>
      <c r="AK157" s="131">
        <v>422</v>
      </c>
    </row>
    <row r="158" spans="1:37" ht="15.75" customHeight="1">
      <c r="A158" s="119"/>
      <c r="B158" s="129" t="s">
        <v>310</v>
      </c>
      <c r="C158" s="130" t="s">
        <v>311</v>
      </c>
      <c r="D158" s="130" t="s">
        <v>312</v>
      </c>
      <c r="E158" s="130">
        <v>1</v>
      </c>
      <c r="F158" s="130">
        <v>1055</v>
      </c>
      <c r="G158" s="130">
        <v>1634</v>
      </c>
      <c r="H158" s="130">
        <v>1963</v>
      </c>
      <c r="I158" s="130">
        <v>2337</v>
      </c>
      <c r="J158" s="130">
        <v>2756</v>
      </c>
      <c r="K158" s="130">
        <v>3226</v>
      </c>
      <c r="L158" s="130">
        <v>2291</v>
      </c>
      <c r="M158" s="130">
        <v>784.17621500123096</v>
      </c>
      <c r="N158" s="130">
        <v>2096</v>
      </c>
      <c r="O158" s="130">
        <v>257</v>
      </c>
      <c r="P158" s="119"/>
      <c r="Q158" s="119"/>
      <c r="R158" s="131"/>
      <c r="S158" s="129">
        <f t="shared" si="182"/>
        <v>-0.19</v>
      </c>
      <c r="T158" s="124">
        <f t="shared" si="183"/>
        <v>-0.19</v>
      </c>
      <c r="U158" s="124">
        <f t="shared" si="188"/>
        <v>-2.0099999999999998</v>
      </c>
      <c r="V158" s="131">
        <f t="shared" si="189"/>
        <v>12.260999999999999</v>
      </c>
      <c r="W158" s="145">
        <f t="shared" si="190"/>
        <v>0.19</v>
      </c>
    </row>
    <row r="159" spans="1:37" ht="15.75" customHeight="1">
      <c r="A159" s="119"/>
      <c r="B159" s="129"/>
      <c r="C159" s="119"/>
      <c r="D159" s="119"/>
      <c r="E159" s="130">
        <v>2</v>
      </c>
      <c r="F159" s="130">
        <v>7657</v>
      </c>
      <c r="G159" s="130">
        <v>10879</v>
      </c>
      <c r="H159" s="130">
        <v>12800</v>
      </c>
      <c r="I159" s="130">
        <v>14960</v>
      </c>
      <c r="J159" s="130">
        <v>17223</v>
      </c>
      <c r="K159" s="130">
        <v>20146</v>
      </c>
      <c r="L159" s="130">
        <v>14941</v>
      </c>
      <c r="M159" s="130">
        <v>789.25159785724782</v>
      </c>
      <c r="N159" s="130">
        <v>14038</v>
      </c>
      <c r="O159" s="130">
        <v>309</v>
      </c>
      <c r="P159" s="119"/>
      <c r="Q159" s="119"/>
      <c r="R159" s="131"/>
      <c r="S159" s="129">
        <f t="shared" si="184"/>
        <v>0.27</v>
      </c>
      <c r="T159" s="124">
        <f t="shared" si="185"/>
        <v>0.27</v>
      </c>
      <c r="U159" s="124">
        <f t="shared" si="188"/>
        <v>-0.13</v>
      </c>
      <c r="V159" s="131">
        <f t="shared" si="189"/>
        <v>2.2010000000000001</v>
      </c>
      <c r="W159" s="145">
        <f t="shared" si="190"/>
        <v>0.27</v>
      </c>
    </row>
    <row r="160" spans="1:37" ht="15.75" customHeight="1">
      <c r="A160" s="119"/>
      <c r="B160" s="129"/>
      <c r="C160" s="119"/>
      <c r="D160" s="119"/>
      <c r="E160" s="130">
        <v>3</v>
      </c>
      <c r="F160" s="130">
        <v>21482</v>
      </c>
      <c r="G160" s="130">
        <v>29961</v>
      </c>
      <c r="H160" s="130">
        <v>35000</v>
      </c>
      <c r="I160" s="130">
        <v>40464</v>
      </c>
      <c r="J160" s="130">
        <v>46560</v>
      </c>
      <c r="K160" s="130">
        <v>53472</v>
      </c>
      <c r="L160" s="130">
        <v>40470</v>
      </c>
      <c r="M160" s="130">
        <v>818.51871274198902</v>
      </c>
      <c r="N160" s="130">
        <v>44797</v>
      </c>
      <c r="O160" s="130">
        <v>397</v>
      </c>
      <c r="P160" s="119"/>
      <c r="Q160" s="119"/>
      <c r="R160" s="131"/>
      <c r="S160" s="129">
        <f t="shared" si="186"/>
        <v>-0.45</v>
      </c>
      <c r="T160" s="124">
        <f t="shared" si="187"/>
        <v>-0.45</v>
      </c>
      <c r="U160" s="124">
        <f t="shared" si="188"/>
        <v>0.01</v>
      </c>
      <c r="V160" s="131">
        <f t="shared" si="189"/>
        <v>0.88600000000000001</v>
      </c>
      <c r="W160" s="145">
        <f t="shared" si="190"/>
        <v>0.45</v>
      </c>
    </row>
    <row r="161" spans="1:23" ht="15.75" customHeight="1">
      <c r="A161" s="119"/>
      <c r="B161" s="129" t="s">
        <v>313</v>
      </c>
      <c r="C161" s="130" t="s">
        <v>314</v>
      </c>
      <c r="D161" s="130" t="s">
        <v>315</v>
      </c>
      <c r="E161" s="130">
        <v>1</v>
      </c>
      <c r="F161" s="130">
        <v>1031</v>
      </c>
      <c r="G161" s="130">
        <v>1532</v>
      </c>
      <c r="H161" s="130">
        <v>1843</v>
      </c>
      <c r="I161" s="130">
        <v>2188</v>
      </c>
      <c r="J161" s="130">
        <v>2570</v>
      </c>
      <c r="K161" s="130">
        <v>2998</v>
      </c>
      <c r="L161" s="130">
        <v>2122</v>
      </c>
      <c r="M161" s="130">
        <v>794.50624491661324</v>
      </c>
      <c r="N161" s="130">
        <v>2097</v>
      </c>
      <c r="O161" s="130">
        <v>283</v>
      </c>
      <c r="P161" s="119"/>
      <c r="Q161" s="119"/>
      <c r="R161" s="131"/>
      <c r="S161" s="129">
        <f t="shared" si="182"/>
        <v>-0.14000000000000001</v>
      </c>
      <c r="T161" s="124">
        <f t="shared" si="183"/>
        <v>-0.14000000000000001</v>
      </c>
      <c r="U161" s="124">
        <f t="shared" si="188"/>
        <v>-3.11</v>
      </c>
      <c r="V161" s="131">
        <f t="shared" si="189"/>
        <v>13.494999999999999</v>
      </c>
      <c r="W161" s="145">
        <f t="shared" si="190"/>
        <v>0.14000000000000001</v>
      </c>
    </row>
    <row r="162" spans="1:23" ht="15.75" customHeight="1">
      <c r="A162" s="119"/>
      <c r="B162" s="129"/>
      <c r="C162" s="119"/>
      <c r="D162" s="119"/>
      <c r="E162" s="130">
        <v>2</v>
      </c>
      <c r="F162" s="130">
        <v>7458</v>
      </c>
      <c r="G162" s="130">
        <v>10515</v>
      </c>
      <c r="H162" s="130">
        <v>12357</v>
      </c>
      <c r="I162" s="130">
        <v>14420</v>
      </c>
      <c r="J162" s="130">
        <v>16746</v>
      </c>
      <c r="K162" s="130">
        <v>19343</v>
      </c>
      <c r="L162" s="130">
        <v>14260</v>
      </c>
      <c r="M162" s="130">
        <v>795.0824032000761</v>
      </c>
      <c r="N162" s="130">
        <v>13971</v>
      </c>
      <c r="O162" s="130">
        <v>323</v>
      </c>
      <c r="P162" s="119"/>
      <c r="Q162" s="119"/>
      <c r="R162" s="131"/>
      <c r="S162" s="129">
        <f t="shared" si="184"/>
        <v>-0.21</v>
      </c>
      <c r="T162" s="124">
        <f t="shared" si="185"/>
        <v>-0.21</v>
      </c>
      <c r="U162" s="124">
        <f t="shared" si="188"/>
        <v>-1.1200000000000001</v>
      </c>
      <c r="V162" s="131">
        <f t="shared" si="189"/>
        <v>2.3119999999999998</v>
      </c>
      <c r="W162" s="145">
        <f t="shared" si="190"/>
        <v>0.21</v>
      </c>
    </row>
    <row r="163" spans="1:23" ht="15.75" customHeight="1">
      <c r="A163" s="119"/>
      <c r="B163" s="129"/>
      <c r="C163" s="119"/>
      <c r="D163" s="119"/>
      <c r="E163" s="130">
        <v>3</v>
      </c>
      <c r="F163" s="130">
        <v>21192</v>
      </c>
      <c r="G163" s="130">
        <v>29397</v>
      </c>
      <c r="H163" s="130">
        <v>34208</v>
      </c>
      <c r="I163" s="130">
        <v>39412</v>
      </c>
      <c r="J163" s="130">
        <v>45693</v>
      </c>
      <c r="K163" s="130">
        <v>52700</v>
      </c>
      <c r="L163" s="130">
        <v>39407</v>
      </c>
      <c r="M163" s="130">
        <v>822.0363200887607</v>
      </c>
      <c r="N163" s="130">
        <v>44898</v>
      </c>
      <c r="O163" s="130">
        <v>418</v>
      </c>
      <c r="P163" s="119"/>
      <c r="Q163" s="119"/>
      <c r="R163" s="131"/>
      <c r="S163" s="129">
        <f t="shared" si="186"/>
        <v>-0.23</v>
      </c>
      <c r="T163" s="124">
        <f t="shared" si="187"/>
        <v>-0.23</v>
      </c>
      <c r="U163" s="124">
        <f t="shared" si="188"/>
        <v>-0.01</v>
      </c>
      <c r="V163" s="131">
        <f t="shared" si="189"/>
        <v>0.93100000000000005</v>
      </c>
      <c r="W163" s="145">
        <f t="shared" si="190"/>
        <v>0.23</v>
      </c>
    </row>
    <row r="164" spans="1:23" ht="15.75" customHeight="1">
      <c r="A164" s="119"/>
      <c r="B164" s="129" t="s">
        <v>316</v>
      </c>
      <c r="C164" s="130" t="s">
        <v>317</v>
      </c>
      <c r="D164" s="130" t="s">
        <v>318</v>
      </c>
      <c r="E164" s="130">
        <v>1</v>
      </c>
      <c r="F164" s="130">
        <v>1029</v>
      </c>
      <c r="G164" s="130">
        <v>1581</v>
      </c>
      <c r="H164" s="130">
        <v>1880</v>
      </c>
      <c r="I164" s="130">
        <v>2214</v>
      </c>
      <c r="J164" s="130">
        <v>2573</v>
      </c>
      <c r="K164" s="130">
        <v>2988</v>
      </c>
      <c r="L164" s="130">
        <v>2168</v>
      </c>
      <c r="M164" s="130">
        <v>791.60953005957867</v>
      </c>
      <c r="N164" s="130">
        <v>2090</v>
      </c>
      <c r="O164" s="130">
        <v>258</v>
      </c>
      <c r="P164" s="119"/>
      <c r="Q164" s="119"/>
      <c r="R164" s="131"/>
      <c r="S164" s="129">
        <f t="shared" si="182"/>
        <v>-0.48</v>
      </c>
      <c r="T164" s="124">
        <f t="shared" si="183"/>
        <v>-0.48</v>
      </c>
      <c r="U164" s="124">
        <f t="shared" si="188"/>
        <v>-2.12</v>
      </c>
      <c r="V164" s="131">
        <f t="shared" si="189"/>
        <v>12.343999999999999</v>
      </c>
      <c r="W164" s="145">
        <f t="shared" si="190"/>
        <v>0.48</v>
      </c>
    </row>
    <row r="165" spans="1:23" ht="15.75" customHeight="1">
      <c r="A165" s="119"/>
      <c r="B165" s="129"/>
      <c r="C165" s="119"/>
      <c r="D165" s="119"/>
      <c r="E165" s="130">
        <v>2</v>
      </c>
      <c r="F165" s="130">
        <v>7400</v>
      </c>
      <c r="G165" s="130">
        <v>10385</v>
      </c>
      <c r="H165" s="130">
        <v>12174</v>
      </c>
      <c r="I165" s="130">
        <v>14158</v>
      </c>
      <c r="J165" s="130">
        <v>16384</v>
      </c>
      <c r="K165" s="130">
        <v>18895</v>
      </c>
      <c r="L165" s="130">
        <v>14003</v>
      </c>
      <c r="M165" s="130">
        <v>798.30241859849707</v>
      </c>
      <c r="N165" s="130">
        <v>13889</v>
      </c>
      <c r="O165" s="130">
        <v>301</v>
      </c>
      <c r="P165" s="119"/>
      <c r="Q165" s="119"/>
      <c r="R165" s="131"/>
      <c r="S165" s="129">
        <f t="shared" si="184"/>
        <v>-0.8</v>
      </c>
      <c r="T165" s="124">
        <f t="shared" si="185"/>
        <v>-0.8</v>
      </c>
      <c r="U165" s="124">
        <f t="shared" si="188"/>
        <v>-1.1100000000000001</v>
      </c>
      <c r="V165" s="131">
        <f t="shared" si="189"/>
        <v>2.1669999999999998</v>
      </c>
      <c r="W165" s="145">
        <f t="shared" si="190"/>
        <v>0.8</v>
      </c>
    </row>
    <row r="166" spans="1:23" ht="15.75" customHeight="1">
      <c r="A166" s="119"/>
      <c r="B166" s="129"/>
      <c r="C166" s="119"/>
      <c r="D166" s="119"/>
      <c r="E166" s="130">
        <v>3</v>
      </c>
      <c r="F166" s="130">
        <v>21109</v>
      </c>
      <c r="G166" s="130">
        <v>29246</v>
      </c>
      <c r="H166" s="130">
        <v>33880</v>
      </c>
      <c r="I166" s="130">
        <v>39474</v>
      </c>
      <c r="J166" s="130">
        <v>45712</v>
      </c>
      <c r="K166" s="130">
        <v>52655</v>
      </c>
      <c r="L166" s="130">
        <v>39414</v>
      </c>
      <c r="M166" s="130">
        <v>822.3212353465068</v>
      </c>
      <c r="N166" s="130">
        <v>44954</v>
      </c>
      <c r="O166" s="130">
        <v>411</v>
      </c>
      <c r="P166" s="119"/>
      <c r="Q166" s="119"/>
      <c r="R166" s="131"/>
      <c r="S166" s="129">
        <f t="shared" si="186"/>
        <v>-0.1</v>
      </c>
      <c r="T166" s="124">
        <f t="shared" si="187"/>
        <v>-0.1</v>
      </c>
      <c r="U166" s="124">
        <f t="shared" si="188"/>
        <v>-0.15</v>
      </c>
      <c r="V166" s="131">
        <f t="shared" si="189"/>
        <v>0.91400000000000003</v>
      </c>
      <c r="W166" s="145">
        <f t="shared" si="190"/>
        <v>0.1</v>
      </c>
    </row>
    <row r="167" spans="1:23" ht="15.75" customHeight="1">
      <c r="A167" s="119"/>
      <c r="B167" s="129" t="s">
        <v>319</v>
      </c>
      <c r="C167" s="130" t="s">
        <v>320</v>
      </c>
      <c r="D167" s="119"/>
      <c r="E167" s="130">
        <v>1</v>
      </c>
      <c r="F167" s="130">
        <v>1086</v>
      </c>
      <c r="G167" s="130">
        <v>1595</v>
      </c>
      <c r="H167" s="130">
        <v>1876</v>
      </c>
      <c r="I167" s="130">
        <v>2193</v>
      </c>
      <c r="J167" s="130">
        <v>2544</v>
      </c>
      <c r="K167" s="130">
        <v>2945</v>
      </c>
      <c r="L167" s="130">
        <v>2175</v>
      </c>
      <c r="M167" s="130">
        <v>792.63382036969529</v>
      </c>
      <c r="N167" s="130">
        <v>2085</v>
      </c>
      <c r="O167" s="130">
        <v>275</v>
      </c>
      <c r="P167" s="119"/>
      <c r="Q167" s="119"/>
      <c r="R167" s="131"/>
      <c r="S167" s="129">
        <f t="shared" si="182"/>
        <v>-0.72</v>
      </c>
      <c r="T167" s="124">
        <f t="shared" si="183"/>
        <v>-0.72</v>
      </c>
      <c r="U167" s="124">
        <f t="shared" si="188"/>
        <v>-0.83</v>
      </c>
      <c r="V167" s="131">
        <f t="shared" si="189"/>
        <v>13.189</v>
      </c>
      <c r="W167" s="145">
        <f t="shared" si="190"/>
        <v>0.72</v>
      </c>
    </row>
    <row r="168" spans="1:23" ht="15.75" customHeight="1">
      <c r="A168" s="119"/>
      <c r="B168" s="129"/>
      <c r="C168" s="119"/>
      <c r="D168" s="119"/>
      <c r="E168" s="130">
        <v>2</v>
      </c>
      <c r="F168" s="130">
        <v>8321</v>
      </c>
      <c r="G168" s="130">
        <v>11519</v>
      </c>
      <c r="H168" s="130">
        <v>13416</v>
      </c>
      <c r="I168" s="130">
        <v>15534</v>
      </c>
      <c r="J168" s="130">
        <v>17874</v>
      </c>
      <c r="K168" s="130">
        <v>20475</v>
      </c>
      <c r="L168" s="130">
        <v>15349</v>
      </c>
      <c r="M168" s="130">
        <v>781.03502146618928</v>
      </c>
      <c r="N168" s="130">
        <v>13781</v>
      </c>
      <c r="O168" s="130">
        <v>324</v>
      </c>
      <c r="P168" s="119"/>
      <c r="Q168" s="119"/>
      <c r="R168" s="131"/>
      <c r="S168" s="129">
        <f t="shared" si="184"/>
        <v>-1.59</v>
      </c>
      <c r="T168" s="124">
        <f t="shared" si="185"/>
        <v>-1.59</v>
      </c>
      <c r="U168" s="124">
        <f t="shared" si="188"/>
        <v>-1.21</v>
      </c>
      <c r="V168" s="131">
        <f t="shared" si="189"/>
        <v>2.351</v>
      </c>
      <c r="W168" s="145">
        <f t="shared" si="190"/>
        <v>1.59</v>
      </c>
    </row>
    <row r="169" spans="1:23" ht="15.75" customHeight="1">
      <c r="A169" s="119"/>
      <c r="B169" s="129"/>
      <c r="C169" s="119"/>
      <c r="D169" s="119"/>
      <c r="E169" s="130">
        <v>3</v>
      </c>
      <c r="F169" s="130">
        <v>23244</v>
      </c>
      <c r="G169" s="130">
        <v>31263</v>
      </c>
      <c r="H169" s="130">
        <v>35883</v>
      </c>
      <c r="I169" s="130">
        <v>40928</v>
      </c>
      <c r="J169" s="130">
        <v>46390</v>
      </c>
      <c r="K169" s="130">
        <v>52298</v>
      </c>
      <c r="L169" s="130">
        <v>40700</v>
      </c>
      <c r="M169" s="130">
        <v>818.53780557409164</v>
      </c>
      <c r="N169" s="130">
        <v>44784</v>
      </c>
      <c r="O169" s="130">
        <v>395</v>
      </c>
      <c r="P169" s="119"/>
      <c r="Q169" s="119"/>
      <c r="R169" s="131"/>
      <c r="S169" s="129">
        <f t="shared" si="186"/>
        <v>-0.48</v>
      </c>
      <c r="T169" s="124">
        <f t="shared" si="187"/>
        <v>-0.48</v>
      </c>
      <c r="U169" s="124">
        <f t="shared" si="188"/>
        <v>-0.56000000000000005</v>
      </c>
      <c r="V169" s="131">
        <f t="shared" si="189"/>
        <v>0.88200000000000001</v>
      </c>
      <c r="W169" s="145">
        <f t="shared" si="190"/>
        <v>0.48</v>
      </c>
    </row>
    <row r="170" spans="1:23" ht="15.75" customHeight="1">
      <c r="A170" s="119"/>
      <c r="B170" s="129" t="s">
        <v>321</v>
      </c>
      <c r="C170" s="130" t="s">
        <v>322</v>
      </c>
      <c r="D170" s="130" t="s">
        <v>323</v>
      </c>
      <c r="E170" s="130">
        <v>1</v>
      </c>
      <c r="F170" s="130">
        <v>1357</v>
      </c>
      <c r="G170" s="130">
        <v>1888</v>
      </c>
      <c r="H170" s="130">
        <v>2185</v>
      </c>
      <c r="I170" s="130">
        <v>2522</v>
      </c>
      <c r="J170" s="130">
        <v>2882</v>
      </c>
      <c r="K170" s="130">
        <v>3284</v>
      </c>
      <c r="L170" s="130">
        <v>2431</v>
      </c>
      <c r="M170" s="130">
        <v>767.03887751150455</v>
      </c>
      <c r="N170" s="130">
        <v>2082</v>
      </c>
      <c r="O170" s="130">
        <v>300</v>
      </c>
      <c r="P170" s="119"/>
      <c r="Q170" s="119"/>
      <c r="R170" s="131"/>
      <c r="S170" s="129">
        <f t="shared" si="182"/>
        <v>-0.86</v>
      </c>
      <c r="T170" s="124">
        <f t="shared" si="183"/>
        <v>-0.86</v>
      </c>
      <c r="U170" s="124">
        <f t="shared" si="188"/>
        <v>-3.74</v>
      </c>
      <c r="V170" s="131">
        <f t="shared" si="189"/>
        <v>14.409000000000001</v>
      </c>
      <c r="W170" s="145">
        <f t="shared" si="190"/>
        <v>0.86</v>
      </c>
    </row>
    <row r="171" spans="1:23" ht="15.75" customHeight="1">
      <c r="A171" s="119"/>
      <c r="B171" s="129"/>
      <c r="C171" s="119"/>
      <c r="D171" s="119"/>
      <c r="E171" s="130">
        <v>2</v>
      </c>
      <c r="F171" s="130">
        <v>9427</v>
      </c>
      <c r="G171" s="130">
        <v>12579</v>
      </c>
      <c r="H171" s="130">
        <v>14368</v>
      </c>
      <c r="I171" s="130">
        <v>16317</v>
      </c>
      <c r="J171" s="130">
        <v>18417</v>
      </c>
      <c r="K171" s="130">
        <v>20640</v>
      </c>
      <c r="L171" s="130">
        <v>16055</v>
      </c>
      <c r="M171" s="130">
        <v>769.0746807413193</v>
      </c>
      <c r="N171" s="130">
        <v>13873</v>
      </c>
      <c r="O171" s="130">
        <v>346</v>
      </c>
      <c r="P171" s="119"/>
      <c r="Q171" s="119"/>
      <c r="R171" s="131"/>
      <c r="S171" s="129">
        <f t="shared" si="184"/>
        <v>-0.92</v>
      </c>
      <c r="T171" s="124">
        <f t="shared" si="185"/>
        <v>-0.92</v>
      </c>
      <c r="U171" s="124">
        <f t="shared" si="188"/>
        <v>-1.63</v>
      </c>
      <c r="V171" s="131">
        <f t="shared" si="189"/>
        <v>2.4940000000000002</v>
      </c>
      <c r="W171" s="145">
        <f t="shared" si="190"/>
        <v>0.92</v>
      </c>
    </row>
    <row r="172" spans="1:23" ht="15.75" customHeight="1">
      <c r="A172" s="119"/>
      <c r="B172" s="129"/>
      <c r="C172" s="119"/>
      <c r="D172" s="119"/>
      <c r="E172" s="130">
        <v>3</v>
      </c>
      <c r="F172" s="130">
        <v>25305</v>
      </c>
      <c r="G172" s="130">
        <v>33121</v>
      </c>
      <c r="H172" s="130">
        <v>37516</v>
      </c>
      <c r="I172" s="130">
        <v>42194</v>
      </c>
      <c r="J172" s="130">
        <v>47194</v>
      </c>
      <c r="K172" s="130">
        <v>52413</v>
      </c>
      <c r="L172" s="130">
        <v>42120</v>
      </c>
      <c r="M172" s="130">
        <v>813.60453280687466</v>
      </c>
      <c r="N172" s="130">
        <v>44962</v>
      </c>
      <c r="O172" s="130">
        <v>423</v>
      </c>
      <c r="P172" s="119"/>
      <c r="Q172" s="119"/>
      <c r="R172" s="131"/>
      <c r="S172" s="129">
        <f t="shared" si="186"/>
        <v>-0.08</v>
      </c>
      <c r="T172" s="124">
        <f t="shared" si="187"/>
        <v>-0.08</v>
      </c>
      <c r="U172" s="124">
        <f t="shared" si="188"/>
        <v>-0.18</v>
      </c>
      <c r="V172" s="131">
        <f t="shared" si="189"/>
        <v>0.94099999999999995</v>
      </c>
      <c r="W172" s="145">
        <f t="shared" si="190"/>
        <v>0.08</v>
      </c>
    </row>
    <row r="173" spans="1:23" ht="15.75" customHeight="1">
      <c r="A173" s="119"/>
      <c r="B173" s="129" t="s">
        <v>324</v>
      </c>
      <c r="C173" s="130" t="s">
        <v>325</v>
      </c>
      <c r="D173" s="130" t="s">
        <v>326</v>
      </c>
      <c r="E173" s="130">
        <v>1</v>
      </c>
      <c r="F173" s="130">
        <v>1113</v>
      </c>
      <c r="G173" s="130">
        <v>1723</v>
      </c>
      <c r="H173" s="130">
        <v>2062</v>
      </c>
      <c r="I173" s="130">
        <v>2440</v>
      </c>
      <c r="J173" s="130">
        <v>2869</v>
      </c>
      <c r="K173" s="130">
        <v>3341</v>
      </c>
      <c r="L173" s="130">
        <v>2397</v>
      </c>
      <c r="M173" s="130">
        <v>777.41894927331009</v>
      </c>
      <c r="N173" s="130">
        <v>2103</v>
      </c>
      <c r="O173" s="130">
        <v>274</v>
      </c>
      <c r="P173" s="119"/>
      <c r="Q173" s="119"/>
      <c r="R173" s="131"/>
      <c r="S173" s="129">
        <f t="shared" si="182"/>
        <v>0.14000000000000001</v>
      </c>
      <c r="T173" s="124">
        <f t="shared" si="183"/>
        <v>0.14000000000000001</v>
      </c>
      <c r="U173" s="124">
        <f t="shared" si="188"/>
        <v>-1.79</v>
      </c>
      <c r="V173" s="131">
        <f t="shared" si="189"/>
        <v>13.029</v>
      </c>
      <c r="W173" s="145">
        <f t="shared" si="190"/>
        <v>0.14000000000000001</v>
      </c>
    </row>
    <row r="174" spans="1:23" ht="15.75" customHeight="1">
      <c r="A174" s="119"/>
      <c r="B174" s="129"/>
      <c r="C174" s="119"/>
      <c r="D174" s="119"/>
      <c r="E174" s="130">
        <v>2</v>
      </c>
      <c r="F174" s="130">
        <v>7834</v>
      </c>
      <c r="G174" s="130">
        <v>11047</v>
      </c>
      <c r="H174" s="130">
        <v>12973</v>
      </c>
      <c r="I174" s="130">
        <v>15147</v>
      </c>
      <c r="J174" s="130">
        <v>17558</v>
      </c>
      <c r="K174" s="130">
        <v>20258</v>
      </c>
      <c r="L174" s="130">
        <v>15074</v>
      </c>
      <c r="M174" s="130">
        <v>787.17699353658747</v>
      </c>
      <c r="N174" s="130">
        <v>13922</v>
      </c>
      <c r="O174" s="130">
        <v>322</v>
      </c>
      <c r="P174" s="119"/>
      <c r="Q174" s="119"/>
      <c r="R174" s="131"/>
      <c r="S174" s="129">
        <f t="shared" si="184"/>
        <v>-0.56000000000000005</v>
      </c>
      <c r="T174" s="124">
        <f t="shared" si="185"/>
        <v>-0.56000000000000005</v>
      </c>
      <c r="U174" s="124">
        <f t="shared" si="188"/>
        <v>-0.48</v>
      </c>
      <c r="V174" s="131">
        <f t="shared" si="189"/>
        <v>2.3130000000000002</v>
      </c>
      <c r="W174" s="145">
        <f t="shared" si="190"/>
        <v>0.56000000000000005</v>
      </c>
    </row>
    <row r="175" spans="1:23" ht="15.75" customHeight="1">
      <c r="A175" s="119"/>
      <c r="B175" s="129"/>
      <c r="C175" s="119"/>
      <c r="D175" s="119"/>
      <c r="E175" s="130">
        <v>3</v>
      </c>
      <c r="F175" s="130">
        <v>21705</v>
      </c>
      <c r="G175" s="130">
        <v>30402</v>
      </c>
      <c r="H175" s="130">
        <v>35669</v>
      </c>
      <c r="I175" s="130">
        <v>41312</v>
      </c>
      <c r="J175" s="130">
        <v>47925</v>
      </c>
      <c r="K175" s="130">
        <v>55135</v>
      </c>
      <c r="L175" s="130">
        <v>41283</v>
      </c>
      <c r="M175" s="130">
        <v>813.65906025774848</v>
      </c>
      <c r="N175" s="130">
        <v>44637</v>
      </c>
      <c r="O175" s="130">
        <v>424</v>
      </c>
      <c r="P175" s="130">
        <v>814.5</v>
      </c>
      <c r="Q175" s="130">
        <v>44957</v>
      </c>
      <c r="R175" s="131">
        <v>422</v>
      </c>
      <c r="S175" s="129">
        <f t="shared" si="186"/>
        <v>-0.81</v>
      </c>
      <c r="T175" s="124">
        <f>ROUND((Q175-45000)/Q175*100,2)</f>
        <v>-0.1</v>
      </c>
      <c r="U175" s="124">
        <f t="shared" si="188"/>
        <v>-7.0000000000000007E-2</v>
      </c>
      <c r="V175" s="131">
        <f t="shared" si="189"/>
        <v>0.95</v>
      </c>
      <c r="W175" s="145">
        <f t="shared" si="190"/>
        <v>0.1</v>
      </c>
    </row>
    <row r="176" spans="1:23" ht="15.75" customHeight="1">
      <c r="A176" s="119"/>
      <c r="B176" s="129" t="s">
        <v>327</v>
      </c>
      <c r="C176" s="130" t="s">
        <v>328</v>
      </c>
      <c r="D176" s="130" t="s">
        <v>329</v>
      </c>
      <c r="E176" s="130">
        <v>1</v>
      </c>
      <c r="F176" s="130">
        <v>1191</v>
      </c>
      <c r="G176" s="130">
        <v>1807</v>
      </c>
      <c r="H176" s="130">
        <v>2151</v>
      </c>
      <c r="I176" s="130">
        <v>2544</v>
      </c>
      <c r="J176" s="130">
        <v>2989</v>
      </c>
      <c r="K176" s="130">
        <v>3483</v>
      </c>
      <c r="L176" s="130">
        <v>2582</v>
      </c>
      <c r="M176" s="130">
        <v>771.29095581302352</v>
      </c>
      <c r="N176" s="130">
        <v>2101</v>
      </c>
      <c r="O176" s="130">
        <v>284</v>
      </c>
      <c r="P176" s="119"/>
      <c r="Q176" s="119"/>
      <c r="R176" s="131"/>
      <c r="S176" s="129">
        <f t="shared" si="182"/>
        <v>0.05</v>
      </c>
      <c r="T176" s="124">
        <f t="shared" si="183"/>
        <v>0.05</v>
      </c>
      <c r="U176" s="124">
        <f t="shared" si="188"/>
        <v>1.47</v>
      </c>
      <c r="V176" s="131">
        <f t="shared" si="189"/>
        <v>13.516999999999999</v>
      </c>
      <c r="W176" s="145">
        <f t="shared" si="190"/>
        <v>0.05</v>
      </c>
    </row>
    <row r="177" spans="1:25" ht="15.75" customHeight="1">
      <c r="A177" s="119"/>
      <c r="B177" s="129"/>
      <c r="C177" s="119"/>
      <c r="D177" s="119"/>
      <c r="E177" s="130">
        <v>2</v>
      </c>
      <c r="F177" s="130">
        <v>8601</v>
      </c>
      <c r="G177" s="130">
        <v>11960</v>
      </c>
      <c r="H177" s="130">
        <v>13941</v>
      </c>
      <c r="I177" s="130">
        <v>16181</v>
      </c>
      <c r="J177" s="130">
        <v>18678</v>
      </c>
      <c r="K177" s="130">
        <v>21446</v>
      </c>
      <c r="L177" s="130">
        <v>16259</v>
      </c>
      <c r="M177" s="130">
        <v>775.41541009350794</v>
      </c>
      <c r="N177" s="130">
        <v>13991</v>
      </c>
      <c r="O177" s="130">
        <v>334</v>
      </c>
      <c r="P177" s="119"/>
      <c r="Q177" s="119"/>
      <c r="R177" s="131"/>
      <c r="S177" s="129">
        <f t="shared" si="184"/>
        <v>-0.06</v>
      </c>
      <c r="T177" s="124">
        <f t="shared" si="185"/>
        <v>-0.06</v>
      </c>
      <c r="U177" s="124">
        <f t="shared" si="188"/>
        <v>0.48</v>
      </c>
      <c r="V177" s="131">
        <f t="shared" si="189"/>
        <v>2.387</v>
      </c>
      <c r="W177" s="145">
        <f t="shared" si="190"/>
        <v>0.06</v>
      </c>
    </row>
    <row r="178" spans="1:25" ht="15.75" customHeight="1">
      <c r="A178" s="119"/>
      <c r="B178" s="129"/>
      <c r="C178" s="119"/>
      <c r="D178" s="119"/>
      <c r="E178" s="130">
        <v>3</v>
      </c>
      <c r="F178" s="130">
        <v>23569</v>
      </c>
      <c r="G178" s="130">
        <v>31918</v>
      </c>
      <c r="H178" s="130">
        <v>36647</v>
      </c>
      <c r="I178" s="130">
        <v>42045</v>
      </c>
      <c r="J178" s="130">
        <v>48114</v>
      </c>
      <c r="K178" s="130">
        <v>54646</v>
      </c>
      <c r="L178" s="130">
        <v>42002</v>
      </c>
      <c r="M178" s="130">
        <v>812.76450848256331</v>
      </c>
      <c r="N178" s="130">
        <v>44978</v>
      </c>
      <c r="O178" s="130">
        <v>405</v>
      </c>
      <c r="P178" s="119"/>
      <c r="Q178" s="119"/>
      <c r="R178" s="131"/>
      <c r="S178" s="129">
        <f t="shared" si="186"/>
        <v>-0.05</v>
      </c>
      <c r="T178" s="124">
        <f t="shared" si="187"/>
        <v>-0.05</v>
      </c>
      <c r="U178" s="124">
        <f t="shared" si="188"/>
        <v>-0.1</v>
      </c>
      <c r="V178" s="131">
        <f t="shared" si="189"/>
        <v>0.9</v>
      </c>
      <c r="W178" s="145">
        <f t="shared" si="190"/>
        <v>0.05</v>
      </c>
    </row>
    <row r="179" spans="1:25" ht="15.75" customHeight="1">
      <c r="A179" s="119"/>
      <c r="B179" s="129" t="s">
        <v>330</v>
      </c>
      <c r="C179" s="130" t="s">
        <v>331</v>
      </c>
      <c r="D179" s="130" t="s">
        <v>332</v>
      </c>
      <c r="E179" s="130">
        <v>1</v>
      </c>
      <c r="F179" s="130">
        <v>1802</v>
      </c>
      <c r="G179" s="130">
        <v>2683</v>
      </c>
      <c r="H179" s="130">
        <v>3222</v>
      </c>
      <c r="I179" s="130">
        <v>3831</v>
      </c>
      <c r="J179" s="130">
        <v>4508</v>
      </c>
      <c r="K179" s="130">
        <v>5262</v>
      </c>
      <c r="L179" s="130">
        <v>3909</v>
      </c>
      <c r="M179" s="130">
        <v>718.27567920047125</v>
      </c>
      <c r="N179" s="130">
        <v>2105</v>
      </c>
      <c r="O179" s="130">
        <v>316</v>
      </c>
      <c r="P179" s="119"/>
      <c r="Q179" s="119"/>
      <c r="R179" s="131"/>
      <c r="S179" s="129">
        <f t="shared" si="182"/>
        <v>0.24</v>
      </c>
      <c r="T179" s="124">
        <f t="shared" si="183"/>
        <v>0.24</v>
      </c>
      <c r="U179" s="124">
        <f t="shared" si="188"/>
        <v>2</v>
      </c>
      <c r="V179" s="131">
        <f t="shared" si="189"/>
        <v>15.012</v>
      </c>
      <c r="W179" s="145">
        <f t="shared" si="190"/>
        <v>0.24</v>
      </c>
    </row>
    <row r="180" spans="1:25" ht="15.75" customHeight="1">
      <c r="A180" s="119"/>
      <c r="B180" s="129"/>
      <c r="C180" s="119"/>
      <c r="D180" s="119"/>
      <c r="E180" s="130">
        <v>2</v>
      </c>
      <c r="F180" s="130">
        <v>12112</v>
      </c>
      <c r="G180" s="130">
        <v>16861</v>
      </c>
      <c r="H180" s="130">
        <v>19638</v>
      </c>
      <c r="I180" s="130">
        <v>22702</v>
      </c>
      <c r="J180" s="130">
        <v>26088</v>
      </c>
      <c r="K180" s="130">
        <v>29556</v>
      </c>
      <c r="L180" s="130">
        <v>22849</v>
      </c>
      <c r="M180" s="130">
        <v>720.94772736247978</v>
      </c>
      <c r="N180" s="130">
        <v>13966</v>
      </c>
      <c r="O180" s="130">
        <v>358</v>
      </c>
      <c r="P180" s="119"/>
      <c r="Q180" s="119"/>
      <c r="R180" s="131"/>
      <c r="S180" s="129">
        <f t="shared" si="184"/>
        <v>-0.24</v>
      </c>
      <c r="T180" s="124">
        <f t="shared" si="185"/>
        <v>-0.24</v>
      </c>
      <c r="U180" s="124">
        <f t="shared" si="188"/>
        <v>0.64</v>
      </c>
      <c r="V180" s="131">
        <f t="shared" si="189"/>
        <v>2.5630000000000002</v>
      </c>
      <c r="W180" s="145">
        <f t="shared" si="190"/>
        <v>0.24</v>
      </c>
    </row>
    <row r="181" spans="1:25" ht="15.75" customHeight="1" thickBot="1">
      <c r="A181" s="119"/>
      <c r="B181" s="132"/>
      <c r="C181" s="133"/>
      <c r="D181" s="133"/>
      <c r="E181" s="133">
        <v>3</v>
      </c>
      <c r="F181" s="133">
        <v>31215</v>
      </c>
      <c r="G181" s="133">
        <v>42257</v>
      </c>
      <c r="H181" s="133">
        <v>48633</v>
      </c>
      <c r="I181" s="133">
        <v>55540</v>
      </c>
      <c r="J181" s="133">
        <v>61913</v>
      </c>
      <c r="K181" s="133" t="s">
        <v>34</v>
      </c>
      <c r="L181" s="133">
        <v>55659</v>
      </c>
      <c r="M181" s="133">
        <v>760.86134985224339</v>
      </c>
      <c r="N181" s="133">
        <v>44934</v>
      </c>
      <c r="O181" s="133">
        <v>425</v>
      </c>
      <c r="P181" s="133"/>
      <c r="Q181" s="133"/>
      <c r="R181" s="134"/>
      <c r="S181" s="129">
        <f t="shared" si="186"/>
        <v>-0.15</v>
      </c>
      <c r="T181" s="124">
        <f t="shared" si="187"/>
        <v>-0.15</v>
      </c>
      <c r="U181" s="124">
        <f t="shared" si="188"/>
        <v>0.21</v>
      </c>
      <c r="V181" s="131">
        <f t="shared" si="189"/>
        <v>0.94599999999999995</v>
      </c>
      <c r="W181" s="145">
        <f t="shared" si="190"/>
        <v>0.15</v>
      </c>
    </row>
    <row r="182" spans="1:25" ht="15.75" customHeight="1" thickBot="1">
      <c r="A182" s="61" t="s">
        <v>333</v>
      </c>
      <c r="B182" s="123" t="s">
        <v>546</v>
      </c>
      <c r="C182" s="160" t="s">
        <v>566</v>
      </c>
      <c r="D182" s="124" t="s">
        <v>334</v>
      </c>
      <c r="E182" s="124">
        <v>1</v>
      </c>
      <c r="F182" s="124">
        <v>1662</v>
      </c>
      <c r="G182" s="124">
        <v>2324</v>
      </c>
      <c r="H182" s="124">
        <v>2716</v>
      </c>
      <c r="I182" s="124">
        <v>3160</v>
      </c>
      <c r="J182" s="124">
        <v>3651</v>
      </c>
      <c r="K182" s="124">
        <v>4185</v>
      </c>
      <c r="L182" s="124">
        <v>3194</v>
      </c>
      <c r="M182" s="124">
        <v>734.2521132405891</v>
      </c>
      <c r="N182" s="124">
        <v>2093</v>
      </c>
      <c r="O182" s="124">
        <v>287</v>
      </c>
      <c r="P182" s="124"/>
      <c r="Q182" s="124"/>
      <c r="R182" s="124"/>
      <c r="S182" s="129">
        <f t="shared" si="182"/>
        <v>-0.33</v>
      </c>
      <c r="T182" s="124">
        <f t="shared" si="183"/>
        <v>-0.33</v>
      </c>
      <c r="U182" s="124">
        <f t="shared" si="188"/>
        <v>1.06</v>
      </c>
      <c r="V182" s="131">
        <f t="shared" si="189"/>
        <v>13.712</v>
      </c>
      <c r="W182" s="145">
        <f t="shared" si="190"/>
        <v>0.33</v>
      </c>
    </row>
    <row r="183" spans="1:25" ht="15.75" customHeight="1">
      <c r="B183" s="16"/>
      <c r="E183" s="8">
        <v>2</v>
      </c>
      <c r="F183" s="8">
        <v>10832</v>
      </c>
      <c r="G183" s="8">
        <v>14616</v>
      </c>
      <c r="H183" s="8">
        <v>16798</v>
      </c>
      <c r="I183" s="8">
        <v>19159</v>
      </c>
      <c r="J183" s="8">
        <v>21722</v>
      </c>
      <c r="K183" s="8">
        <v>24468</v>
      </c>
      <c r="L183" s="8">
        <v>18989</v>
      </c>
      <c r="M183" s="8">
        <v>742.34567334353494</v>
      </c>
      <c r="N183" s="8">
        <v>13931</v>
      </c>
      <c r="O183" s="8">
        <v>340</v>
      </c>
      <c r="R183" s="124"/>
      <c r="S183" s="129">
        <f t="shared" si="184"/>
        <v>-0.5</v>
      </c>
      <c r="T183" s="124">
        <f t="shared" si="185"/>
        <v>-0.5</v>
      </c>
      <c r="U183" s="124">
        <f t="shared" si="188"/>
        <v>-0.9</v>
      </c>
      <c r="V183" s="131">
        <f t="shared" si="189"/>
        <v>2.4409999999999998</v>
      </c>
      <c r="W183" s="145">
        <f t="shared" si="190"/>
        <v>0.5</v>
      </c>
      <c r="Y183" s="8" t="s">
        <v>335</v>
      </c>
    </row>
    <row r="184" spans="1:25" ht="15.75" customHeight="1">
      <c r="B184" s="16"/>
      <c r="E184" s="8">
        <v>3</v>
      </c>
      <c r="F184" s="8">
        <v>28626</v>
      </c>
      <c r="G184" s="8">
        <v>37707</v>
      </c>
      <c r="H184" s="8">
        <v>42882</v>
      </c>
      <c r="I184" s="8">
        <v>48496</v>
      </c>
      <c r="J184" s="8">
        <v>54438</v>
      </c>
      <c r="K184" s="8">
        <v>60067</v>
      </c>
      <c r="L184" s="8">
        <v>47877</v>
      </c>
      <c r="M184" s="8">
        <v>784.64969079621324</v>
      </c>
      <c r="N184" s="8">
        <v>44919</v>
      </c>
      <c r="O184" s="8">
        <v>433</v>
      </c>
      <c r="R184" s="124"/>
      <c r="S184" s="129">
        <f t="shared" si="186"/>
        <v>-0.18</v>
      </c>
      <c r="T184" s="124">
        <f t="shared" si="187"/>
        <v>-0.18</v>
      </c>
      <c r="U184" s="124">
        <f t="shared" si="188"/>
        <v>-1.29</v>
      </c>
      <c r="V184" s="131">
        <f t="shared" si="189"/>
        <v>0.96399999999999997</v>
      </c>
      <c r="W184" s="145">
        <f t="shared" si="190"/>
        <v>0.18</v>
      </c>
      <c r="Y184" s="8" t="s">
        <v>336</v>
      </c>
    </row>
    <row r="185" spans="1:25" ht="15.75" customHeight="1">
      <c r="B185" s="16" t="s">
        <v>547</v>
      </c>
      <c r="C185" s="161" t="s">
        <v>567</v>
      </c>
      <c r="D185" s="8" t="s">
        <v>337</v>
      </c>
      <c r="E185" s="8">
        <v>1</v>
      </c>
      <c r="F185" s="8">
        <v>1635</v>
      </c>
      <c r="G185" s="8">
        <v>2337</v>
      </c>
      <c r="H185" s="8">
        <v>2818</v>
      </c>
      <c r="I185" s="8">
        <v>3326</v>
      </c>
      <c r="J185" s="8">
        <v>3938</v>
      </c>
      <c r="K185" s="8">
        <v>4576</v>
      </c>
      <c r="L185" s="8">
        <v>3361</v>
      </c>
      <c r="M185" s="8">
        <v>733.78559253065748</v>
      </c>
      <c r="N185" s="8">
        <v>2066</v>
      </c>
      <c r="P185" s="8">
        <v>735</v>
      </c>
      <c r="Q185" s="8">
        <v>2116</v>
      </c>
      <c r="R185" s="124">
        <v>278</v>
      </c>
      <c r="S185" s="129">
        <f t="shared" si="182"/>
        <v>-1.65</v>
      </c>
      <c r="T185" s="124">
        <f>ROUND((Q185-2100)/Q185*100,2)</f>
        <v>0.76</v>
      </c>
      <c r="U185" s="124">
        <f t="shared" si="188"/>
        <v>1.04</v>
      </c>
      <c r="V185" s="131">
        <f t="shared" si="189"/>
        <v>0</v>
      </c>
      <c r="W185" s="145">
        <f t="shared" si="190"/>
        <v>0.76</v>
      </c>
    </row>
    <row r="186" spans="1:25" ht="15.75" customHeight="1">
      <c r="B186" s="16"/>
      <c r="E186" s="8">
        <v>2</v>
      </c>
      <c r="F186" s="8">
        <v>10881</v>
      </c>
      <c r="G186" s="8">
        <v>15034</v>
      </c>
      <c r="H186" s="8">
        <v>17498</v>
      </c>
      <c r="I186" s="8">
        <v>20154</v>
      </c>
      <c r="J186" s="8">
        <v>23029</v>
      </c>
      <c r="K186" s="8">
        <v>26214</v>
      </c>
      <c r="L186" s="8">
        <v>19977</v>
      </c>
      <c r="M186" s="8">
        <v>738.11519958517533</v>
      </c>
      <c r="N186" s="8">
        <v>13960</v>
      </c>
      <c r="O186" s="8">
        <v>310</v>
      </c>
      <c r="R186" s="124"/>
      <c r="S186" s="129">
        <f t="shared" si="184"/>
        <v>-0.28999999999999998</v>
      </c>
      <c r="T186" s="124">
        <f t="shared" si="185"/>
        <v>-0.28999999999999998</v>
      </c>
      <c r="U186" s="124">
        <f t="shared" si="188"/>
        <v>-0.89</v>
      </c>
      <c r="V186" s="131">
        <f t="shared" si="189"/>
        <v>2.2210000000000001</v>
      </c>
      <c r="W186" s="145">
        <f t="shared" si="190"/>
        <v>0.28999999999999998</v>
      </c>
    </row>
    <row r="187" spans="1:25" ht="15.75" customHeight="1">
      <c r="B187" s="16"/>
      <c r="E187" s="8">
        <v>3</v>
      </c>
      <c r="F187" s="8">
        <v>27990</v>
      </c>
      <c r="G187" s="8">
        <v>37510</v>
      </c>
      <c r="H187" s="8">
        <v>43019</v>
      </c>
      <c r="I187" s="8">
        <v>48979</v>
      </c>
      <c r="J187" s="8">
        <v>55154</v>
      </c>
      <c r="K187" s="8">
        <v>60298</v>
      </c>
      <c r="L187" s="8">
        <v>48704</v>
      </c>
      <c r="M187" s="8">
        <v>783.29585149622267</v>
      </c>
      <c r="N187" s="8">
        <v>44927</v>
      </c>
      <c r="O187" s="8">
        <v>370</v>
      </c>
      <c r="R187" s="124"/>
      <c r="S187" s="129">
        <f t="shared" si="186"/>
        <v>-0.16</v>
      </c>
      <c r="T187" s="124">
        <f t="shared" si="187"/>
        <v>-0.16</v>
      </c>
      <c r="U187" s="124">
        <f t="shared" si="188"/>
        <v>-0.56000000000000005</v>
      </c>
      <c r="V187" s="131">
        <f t="shared" si="189"/>
        <v>0.82399999999999995</v>
      </c>
      <c r="W187" s="145">
        <f t="shared" si="190"/>
        <v>0.16</v>
      </c>
    </row>
    <row r="188" spans="1:25" ht="15.75" customHeight="1">
      <c r="B188" s="16" t="s">
        <v>548</v>
      </c>
      <c r="C188" s="161" t="s">
        <v>568</v>
      </c>
      <c r="D188" s="8" t="s">
        <v>338</v>
      </c>
      <c r="E188" s="8">
        <v>1</v>
      </c>
      <c r="F188" s="8">
        <v>1440</v>
      </c>
      <c r="G188" s="8">
        <v>2100</v>
      </c>
      <c r="H188" s="8">
        <v>2471</v>
      </c>
      <c r="I188" s="8">
        <v>2844</v>
      </c>
      <c r="J188" s="8">
        <v>3356</v>
      </c>
      <c r="K188" s="8">
        <v>3951</v>
      </c>
      <c r="L188" s="8">
        <v>2920</v>
      </c>
      <c r="M188" s="8">
        <v>751.8374650070615</v>
      </c>
      <c r="N188" s="8">
        <v>2119</v>
      </c>
      <c r="O188" s="8">
        <v>225</v>
      </c>
      <c r="P188" s="8">
        <v>750</v>
      </c>
      <c r="Q188" s="8">
        <v>2088</v>
      </c>
      <c r="R188" s="124">
        <v>237</v>
      </c>
      <c r="S188" s="129">
        <f t="shared" si="182"/>
        <v>0.9</v>
      </c>
      <c r="T188" s="124">
        <f>ROUND((Q188-2100)/Q188*100,2)</f>
        <v>-0.56999999999999995</v>
      </c>
      <c r="U188" s="124">
        <f t="shared" si="188"/>
        <v>2.6</v>
      </c>
      <c r="V188" s="131">
        <f t="shared" si="189"/>
        <v>10.618</v>
      </c>
      <c r="W188" s="145">
        <f t="shared" si="190"/>
        <v>0.56999999999999995</v>
      </c>
    </row>
    <row r="189" spans="1:25" ht="15.75" customHeight="1">
      <c r="B189" s="16"/>
      <c r="E189" s="8">
        <v>2</v>
      </c>
      <c r="F189" s="8">
        <v>9672</v>
      </c>
      <c r="G189" s="8">
        <v>13467</v>
      </c>
      <c r="H189" s="8">
        <v>15743</v>
      </c>
      <c r="I189" s="8">
        <v>18276</v>
      </c>
      <c r="J189" s="8">
        <v>21175</v>
      </c>
      <c r="K189" s="8">
        <v>24376</v>
      </c>
      <c r="L189" s="8">
        <v>18223</v>
      </c>
      <c r="M189" s="8">
        <v>756.00155883476418</v>
      </c>
      <c r="N189" s="8">
        <v>13965</v>
      </c>
      <c r="O189" s="8">
        <v>300</v>
      </c>
      <c r="R189" s="124"/>
      <c r="S189" s="129">
        <f t="shared" si="184"/>
        <v>-0.25</v>
      </c>
      <c r="T189" s="124">
        <f t="shared" si="185"/>
        <v>-0.25</v>
      </c>
      <c r="U189" s="124">
        <f t="shared" si="188"/>
        <v>-0.28999999999999998</v>
      </c>
      <c r="V189" s="131">
        <f t="shared" si="189"/>
        <v>2.1480000000000001</v>
      </c>
      <c r="W189" s="145">
        <f t="shared" si="190"/>
        <v>0.25</v>
      </c>
    </row>
    <row r="190" spans="1:25" ht="15.75" customHeight="1">
      <c r="B190" s="16"/>
      <c r="E190" s="8">
        <v>3</v>
      </c>
      <c r="F190" s="8">
        <v>26279</v>
      </c>
      <c r="G190" s="8">
        <v>35715</v>
      </c>
      <c r="H190" s="8">
        <v>41006</v>
      </c>
      <c r="I190" s="8">
        <v>47157</v>
      </c>
      <c r="J190" s="8">
        <v>53780</v>
      </c>
      <c r="K190" s="8">
        <v>59497</v>
      </c>
      <c r="L190" s="8">
        <v>46931</v>
      </c>
      <c r="M190" s="8">
        <v>790.83755713376263</v>
      </c>
      <c r="N190" s="8">
        <v>44733</v>
      </c>
      <c r="O190" s="8">
        <v>406</v>
      </c>
      <c r="R190" s="124"/>
      <c r="S190" s="129">
        <f t="shared" si="186"/>
        <v>-0.6</v>
      </c>
      <c r="T190" s="124">
        <f t="shared" si="187"/>
        <v>-0.6</v>
      </c>
      <c r="U190" s="124">
        <f t="shared" si="188"/>
        <v>-0.48</v>
      </c>
      <c r="V190" s="131">
        <f t="shared" si="189"/>
        <v>0.90800000000000003</v>
      </c>
      <c r="W190" s="145">
        <f t="shared" si="190"/>
        <v>0.6</v>
      </c>
    </row>
    <row r="191" spans="1:25" ht="15.75" customHeight="1">
      <c r="B191" s="16" t="s">
        <v>549</v>
      </c>
      <c r="C191" s="161" t="s">
        <v>569</v>
      </c>
      <c r="D191" s="8" t="s">
        <v>339</v>
      </c>
      <c r="E191" s="8">
        <v>1</v>
      </c>
      <c r="F191" s="8">
        <v>1294</v>
      </c>
      <c r="G191" s="8">
        <v>1851</v>
      </c>
      <c r="H191" s="8">
        <v>2212</v>
      </c>
      <c r="I191" s="8">
        <v>2462</v>
      </c>
      <c r="J191" s="8">
        <v>2854</v>
      </c>
      <c r="K191" s="8">
        <v>3291</v>
      </c>
      <c r="L191" s="8">
        <v>2482</v>
      </c>
      <c r="M191" s="8">
        <v>769.62582411375683</v>
      </c>
      <c r="N191" s="8">
        <v>2091</v>
      </c>
      <c r="O191" s="8">
        <v>328</v>
      </c>
      <c r="R191" s="124"/>
      <c r="S191" s="129">
        <f t="shared" ref="S191:S239" si="191">ROUND((N191-2100)/N191*100,2)</f>
        <v>-0.43</v>
      </c>
      <c r="T191" s="124">
        <f t="shared" ref="T191:T239" si="192">ROUND((N191-2100)/N191*100,2)</f>
        <v>-0.43</v>
      </c>
      <c r="U191" s="124">
        <f t="shared" si="188"/>
        <v>0.81</v>
      </c>
      <c r="V191" s="131">
        <f t="shared" si="189"/>
        <v>15.686</v>
      </c>
      <c r="W191" s="145">
        <f t="shared" si="190"/>
        <v>0.43</v>
      </c>
    </row>
    <row r="192" spans="1:25" ht="15.75" customHeight="1">
      <c r="B192" s="16"/>
      <c r="E192" s="8">
        <v>2</v>
      </c>
      <c r="F192" s="8">
        <v>9323</v>
      </c>
      <c r="G192" s="8">
        <v>12501</v>
      </c>
      <c r="H192" s="8">
        <v>14348</v>
      </c>
      <c r="I192" s="8">
        <v>16352</v>
      </c>
      <c r="J192" s="8">
        <v>18516</v>
      </c>
      <c r="K192" s="8">
        <v>20818</v>
      </c>
      <c r="L192" s="8">
        <v>16171</v>
      </c>
      <c r="M192" s="8">
        <v>770.12150529923679</v>
      </c>
      <c r="N192" s="8">
        <v>13892</v>
      </c>
      <c r="O192" s="8">
        <v>329</v>
      </c>
      <c r="R192" s="124"/>
      <c r="S192" s="129">
        <f t="shared" ref="S192:S240" si="193">ROUND((N192-14000)/N192*100,2)</f>
        <v>-0.78</v>
      </c>
      <c r="T192" s="124">
        <f t="shared" ref="T192:T240" si="194">ROUND((N192-14000)/N192*100,2)</f>
        <v>-0.78</v>
      </c>
      <c r="U192" s="124">
        <f t="shared" si="188"/>
        <v>-1.1200000000000001</v>
      </c>
      <c r="V192" s="131">
        <f t="shared" si="189"/>
        <v>2.3679999999999999</v>
      </c>
      <c r="W192" s="145">
        <f t="shared" si="190"/>
        <v>0.78</v>
      </c>
    </row>
    <row r="193" spans="2:23" ht="15.75" customHeight="1">
      <c r="B193" s="16"/>
      <c r="E193" s="8">
        <v>3</v>
      </c>
      <c r="F193" s="8">
        <v>25606</v>
      </c>
      <c r="G193" s="8">
        <v>33808</v>
      </c>
      <c r="H193" s="8">
        <v>38457</v>
      </c>
      <c r="I193" s="8">
        <v>43512</v>
      </c>
      <c r="J193" s="8">
        <v>48974</v>
      </c>
      <c r="K193" s="8">
        <v>54192</v>
      </c>
      <c r="L193" s="8">
        <v>43288</v>
      </c>
      <c r="M193" s="8">
        <v>807.22037656858674</v>
      </c>
      <c r="N193" s="8">
        <v>44880</v>
      </c>
      <c r="O193" s="8">
        <v>430</v>
      </c>
      <c r="R193" s="124"/>
      <c r="S193" s="129">
        <f t="shared" ref="S193:S241" si="195">ROUND((N193-45000)/N193*100,2)</f>
        <v>-0.27</v>
      </c>
      <c r="T193" s="124">
        <f t="shared" ref="T193:T241" si="196">ROUND((N193-45000)/N193*100,2)</f>
        <v>-0.27</v>
      </c>
      <c r="U193" s="124">
        <f t="shared" si="188"/>
        <v>-0.52</v>
      </c>
      <c r="V193" s="131">
        <f t="shared" si="189"/>
        <v>0.95799999999999996</v>
      </c>
      <c r="W193" s="145">
        <f t="shared" si="190"/>
        <v>0.27</v>
      </c>
    </row>
    <row r="194" spans="2:23" ht="15.75" customHeight="1">
      <c r="B194" s="162" t="s">
        <v>550</v>
      </c>
      <c r="C194" s="164" t="s">
        <v>570</v>
      </c>
      <c r="D194" s="8" t="s">
        <v>340</v>
      </c>
      <c r="E194" s="8">
        <v>1</v>
      </c>
      <c r="F194" s="8">
        <v>1239</v>
      </c>
      <c r="G194" s="8">
        <v>1749</v>
      </c>
      <c r="H194" s="8">
        <v>1985</v>
      </c>
      <c r="I194" s="8">
        <v>2281</v>
      </c>
      <c r="J194" s="8">
        <v>2640</v>
      </c>
      <c r="K194" s="8">
        <v>2922</v>
      </c>
      <c r="L194" s="60">
        <v>2026</v>
      </c>
      <c r="M194" s="8">
        <v>782.86320283448003</v>
      </c>
      <c r="N194" s="8">
        <v>2084</v>
      </c>
      <c r="O194" s="8">
        <v>250</v>
      </c>
      <c r="R194" s="124"/>
      <c r="S194" s="129">
        <f t="shared" si="191"/>
        <v>-0.77</v>
      </c>
      <c r="T194" s="124">
        <f t="shared" si="192"/>
        <v>-0.77</v>
      </c>
      <c r="U194" s="124">
        <f t="shared" si="188"/>
        <v>-12.59</v>
      </c>
      <c r="V194" s="131">
        <f t="shared" si="189"/>
        <v>11.996</v>
      </c>
      <c r="W194" s="145">
        <f t="shared" si="190"/>
        <v>0.77</v>
      </c>
    </row>
    <row r="195" spans="2:23" ht="15.75" customHeight="1">
      <c r="B195" s="16"/>
      <c r="E195" s="8">
        <v>2</v>
      </c>
      <c r="F195" s="8">
        <v>8537</v>
      </c>
      <c r="G195" s="8">
        <v>11346</v>
      </c>
      <c r="H195" s="8">
        <v>13027</v>
      </c>
      <c r="I195" s="8">
        <v>14782</v>
      </c>
      <c r="J195" s="8">
        <v>16698</v>
      </c>
      <c r="K195" s="8">
        <v>18748</v>
      </c>
      <c r="L195" s="60">
        <v>13033</v>
      </c>
      <c r="M195" s="8">
        <v>789.26292916974364</v>
      </c>
      <c r="N195" s="8">
        <v>14028</v>
      </c>
      <c r="O195" s="8">
        <v>302</v>
      </c>
      <c r="R195" s="124"/>
      <c r="S195" s="129">
        <f t="shared" si="193"/>
        <v>0.2</v>
      </c>
      <c r="T195" s="124">
        <f t="shared" si="194"/>
        <v>0.2</v>
      </c>
      <c r="U195" s="124">
        <f t="shared" ref="U195:U241" si="197">ROUND((L195-I195)/L195*100,2)</f>
        <v>-13.42</v>
      </c>
      <c r="V195" s="131">
        <f t="shared" ref="V195:V241" si="198">ROUND(O195/N195*100,3)</f>
        <v>2.153</v>
      </c>
      <c r="W195" s="145">
        <f t="shared" ref="W195:W241" si="199">ABS(T195)</f>
        <v>0.2</v>
      </c>
    </row>
    <row r="196" spans="2:23" ht="15.75" customHeight="1">
      <c r="B196" s="16"/>
      <c r="E196" s="8">
        <v>3</v>
      </c>
      <c r="F196" s="8">
        <v>23470</v>
      </c>
      <c r="G196" s="8">
        <v>30823</v>
      </c>
      <c r="H196" s="8">
        <v>34962</v>
      </c>
      <c r="I196" s="8">
        <v>39494</v>
      </c>
      <c r="J196" s="8">
        <v>44300</v>
      </c>
      <c r="K196" s="8">
        <v>49426</v>
      </c>
      <c r="L196" s="60">
        <v>35261</v>
      </c>
      <c r="M196" s="8">
        <v>828.52955168251447</v>
      </c>
      <c r="N196" s="8">
        <v>44995</v>
      </c>
      <c r="O196" s="8">
        <v>433</v>
      </c>
      <c r="R196" s="124"/>
      <c r="S196" s="129">
        <f t="shared" si="195"/>
        <v>-0.01</v>
      </c>
      <c r="T196" s="124">
        <f t="shared" si="196"/>
        <v>-0.01</v>
      </c>
      <c r="U196" s="124">
        <f t="shared" si="197"/>
        <v>-12</v>
      </c>
      <c r="V196" s="131">
        <f t="shared" si="198"/>
        <v>0.96199999999999997</v>
      </c>
      <c r="W196" s="145">
        <f t="shared" si="199"/>
        <v>0.01</v>
      </c>
    </row>
    <row r="197" spans="2:23" ht="15.75" customHeight="1">
      <c r="B197" s="16" t="s">
        <v>551</v>
      </c>
      <c r="C197" s="161" t="s">
        <v>571</v>
      </c>
      <c r="D197" s="8" t="s">
        <v>341</v>
      </c>
      <c r="E197" s="8">
        <v>1</v>
      </c>
      <c r="F197" s="8">
        <v>1688</v>
      </c>
      <c r="G197" s="8">
        <v>2276</v>
      </c>
      <c r="H197" s="8">
        <v>2679</v>
      </c>
      <c r="I197" s="8">
        <v>3064</v>
      </c>
      <c r="J197" s="8">
        <v>3595</v>
      </c>
      <c r="K197" s="8">
        <v>4082</v>
      </c>
      <c r="L197" s="8">
        <v>3045</v>
      </c>
      <c r="M197" s="8">
        <v>735.49209132672684</v>
      </c>
      <c r="N197" s="8">
        <v>2101</v>
      </c>
      <c r="O197" s="8">
        <v>299</v>
      </c>
      <c r="R197" s="124"/>
      <c r="S197" s="129">
        <f t="shared" si="191"/>
        <v>0.05</v>
      </c>
      <c r="T197" s="124">
        <f t="shared" si="192"/>
        <v>0.05</v>
      </c>
      <c r="U197" s="124">
        <f t="shared" si="197"/>
        <v>-0.62</v>
      </c>
      <c r="V197" s="131">
        <f t="shared" si="198"/>
        <v>14.231</v>
      </c>
      <c r="W197" s="145">
        <f t="shared" si="199"/>
        <v>0.05</v>
      </c>
    </row>
    <row r="198" spans="2:23" ht="15.75" customHeight="1">
      <c r="B198" s="16"/>
      <c r="E198" s="8">
        <v>2</v>
      </c>
      <c r="F198" s="8">
        <v>11279</v>
      </c>
      <c r="G198" s="8">
        <v>15121</v>
      </c>
      <c r="H198" s="8">
        <v>17273</v>
      </c>
      <c r="I198" s="8">
        <v>19703</v>
      </c>
      <c r="J198" s="8">
        <v>22328</v>
      </c>
      <c r="K198" s="8">
        <v>25188</v>
      </c>
      <c r="L198" s="8">
        <v>19721</v>
      </c>
      <c r="M198" s="8">
        <v>736.44792234589397</v>
      </c>
      <c r="N198" s="8">
        <v>14000</v>
      </c>
      <c r="O198" s="8">
        <v>301</v>
      </c>
      <c r="R198" s="124"/>
      <c r="S198" s="129">
        <f t="shared" si="193"/>
        <v>0</v>
      </c>
      <c r="T198" s="124">
        <f>ROUND((N198-14000)/N198*100,4)</f>
        <v>0</v>
      </c>
      <c r="U198" s="124">
        <f t="shared" si="197"/>
        <v>0.09</v>
      </c>
      <c r="V198" s="131">
        <f t="shared" si="198"/>
        <v>2.15</v>
      </c>
      <c r="W198" s="145">
        <f t="shared" si="199"/>
        <v>0</v>
      </c>
    </row>
    <row r="199" spans="2:23" ht="15.75" customHeight="1">
      <c r="B199" s="16"/>
      <c r="E199" s="8">
        <v>3</v>
      </c>
      <c r="F199" s="8">
        <v>30426</v>
      </c>
      <c r="G199" s="8">
        <v>40328</v>
      </c>
      <c r="H199" s="8">
        <v>45965</v>
      </c>
      <c r="I199" s="8">
        <v>52040</v>
      </c>
      <c r="J199" s="8">
        <v>57903</v>
      </c>
      <c r="K199" s="8">
        <v>62401</v>
      </c>
      <c r="L199" s="8">
        <v>52071</v>
      </c>
      <c r="M199" s="8">
        <v>770.88107436324185</v>
      </c>
      <c r="N199" s="8">
        <v>44893</v>
      </c>
      <c r="O199" s="8">
        <v>383</v>
      </c>
      <c r="R199" s="124"/>
      <c r="S199" s="129">
        <f t="shared" si="195"/>
        <v>-0.24</v>
      </c>
      <c r="T199" s="124">
        <f t="shared" si="196"/>
        <v>-0.24</v>
      </c>
      <c r="U199" s="124">
        <f t="shared" si="197"/>
        <v>0.06</v>
      </c>
      <c r="V199" s="131">
        <f t="shared" si="198"/>
        <v>0.85299999999999998</v>
      </c>
      <c r="W199" s="145">
        <f t="shared" si="199"/>
        <v>0.24</v>
      </c>
    </row>
    <row r="200" spans="2:23" ht="15.75" customHeight="1">
      <c r="B200" s="16" t="s">
        <v>552</v>
      </c>
      <c r="C200" s="161" t="s">
        <v>572</v>
      </c>
      <c r="D200" s="8" t="s">
        <v>342</v>
      </c>
      <c r="E200" s="8">
        <v>1</v>
      </c>
      <c r="F200" s="8">
        <v>961</v>
      </c>
      <c r="G200" s="8">
        <v>1578</v>
      </c>
      <c r="H200" s="8">
        <v>1850</v>
      </c>
      <c r="I200" s="8">
        <v>2150</v>
      </c>
      <c r="J200" s="8">
        <v>2570</v>
      </c>
      <c r="K200" s="8">
        <v>2938</v>
      </c>
      <c r="L200" s="8">
        <v>2200</v>
      </c>
      <c r="M200" s="8">
        <v>792.69338947751157</v>
      </c>
      <c r="N200" s="8">
        <v>2013</v>
      </c>
      <c r="O200" s="8">
        <v>303.5</v>
      </c>
      <c r="R200" s="124"/>
      <c r="S200" s="129">
        <f t="shared" si="191"/>
        <v>-4.32</v>
      </c>
      <c r="T200" s="124">
        <f t="shared" si="192"/>
        <v>-4.32</v>
      </c>
      <c r="U200" s="124">
        <f t="shared" si="197"/>
        <v>2.27</v>
      </c>
      <c r="V200" s="131">
        <f t="shared" si="198"/>
        <v>15.077</v>
      </c>
      <c r="W200" s="145">
        <f t="shared" si="199"/>
        <v>4.32</v>
      </c>
    </row>
    <row r="201" spans="2:23" ht="15.75" customHeight="1">
      <c r="B201" s="16"/>
      <c r="E201" s="8">
        <v>2</v>
      </c>
      <c r="F201" s="8">
        <v>7077</v>
      </c>
      <c r="G201" s="8">
        <v>9937</v>
      </c>
      <c r="H201" s="8">
        <v>11615</v>
      </c>
      <c r="I201" s="8">
        <v>13569</v>
      </c>
      <c r="J201" s="8">
        <v>15670</v>
      </c>
      <c r="K201" s="8">
        <v>18104</v>
      </c>
      <c r="L201" s="8">
        <v>13550</v>
      </c>
      <c r="M201" s="8">
        <v>805.30015506014911</v>
      </c>
      <c r="N201" s="8">
        <v>13916</v>
      </c>
      <c r="O201" s="8">
        <v>339</v>
      </c>
      <c r="R201" s="124"/>
      <c r="S201" s="129">
        <f t="shared" si="193"/>
        <v>-0.6</v>
      </c>
      <c r="T201" s="124">
        <f t="shared" si="194"/>
        <v>-0.6</v>
      </c>
      <c r="U201" s="124">
        <f t="shared" si="197"/>
        <v>-0.14000000000000001</v>
      </c>
      <c r="V201" s="131">
        <f t="shared" si="198"/>
        <v>2.4359999999999999</v>
      </c>
      <c r="W201" s="145">
        <f t="shared" si="199"/>
        <v>0.6</v>
      </c>
    </row>
    <row r="202" spans="2:23" ht="15.75" customHeight="1">
      <c r="B202" s="16"/>
      <c r="E202" s="8">
        <v>3</v>
      </c>
      <c r="F202" s="8">
        <v>19484</v>
      </c>
      <c r="G202" s="8">
        <v>27051</v>
      </c>
      <c r="H202" s="8">
        <v>31594</v>
      </c>
      <c r="I202" s="8">
        <v>36566</v>
      </c>
      <c r="J202" s="8">
        <v>42114</v>
      </c>
      <c r="K202" s="8">
        <v>48681</v>
      </c>
      <c r="L202" s="8">
        <v>36598</v>
      </c>
      <c r="M202" s="8">
        <v>836.22356403900085</v>
      </c>
      <c r="N202" s="8">
        <v>44879</v>
      </c>
      <c r="O202" s="8">
        <v>404</v>
      </c>
      <c r="R202" s="124"/>
      <c r="S202" s="129">
        <f t="shared" si="195"/>
        <v>-0.27</v>
      </c>
      <c r="T202" s="124">
        <f t="shared" si="196"/>
        <v>-0.27</v>
      </c>
      <c r="U202" s="124">
        <f t="shared" si="197"/>
        <v>0.09</v>
      </c>
      <c r="V202" s="131">
        <f t="shared" si="198"/>
        <v>0.9</v>
      </c>
      <c r="W202" s="145">
        <f t="shared" si="199"/>
        <v>0.27</v>
      </c>
    </row>
    <row r="203" spans="2:23" ht="15.75" customHeight="1">
      <c r="B203" s="16" t="s">
        <v>553</v>
      </c>
      <c r="C203" s="161" t="s">
        <v>573</v>
      </c>
      <c r="D203" s="8" t="s">
        <v>343</v>
      </c>
      <c r="E203" s="8">
        <v>1</v>
      </c>
      <c r="F203" s="8">
        <v>1550</v>
      </c>
      <c r="G203" s="8">
        <v>2144</v>
      </c>
      <c r="H203" s="8">
        <v>2513</v>
      </c>
      <c r="I203" s="8">
        <v>2898</v>
      </c>
      <c r="J203" s="8">
        <v>3291</v>
      </c>
      <c r="K203" s="8">
        <v>3840</v>
      </c>
      <c r="L203" s="8">
        <v>2937</v>
      </c>
      <c r="M203" s="8">
        <v>746.54914182667915</v>
      </c>
      <c r="N203" s="8">
        <v>2067</v>
      </c>
      <c r="O203" s="8">
        <v>274</v>
      </c>
      <c r="P203" s="8">
        <v>748</v>
      </c>
      <c r="Q203" s="8">
        <v>2112</v>
      </c>
      <c r="R203" s="124">
        <v>283</v>
      </c>
      <c r="S203" s="129">
        <f t="shared" si="191"/>
        <v>-1.6</v>
      </c>
      <c r="T203" s="124">
        <f>ROUND((Q203-2100)/Q203*100,2)</f>
        <v>0.56999999999999995</v>
      </c>
      <c r="U203" s="124">
        <f t="shared" si="197"/>
        <v>1.33</v>
      </c>
      <c r="V203" s="131">
        <f t="shared" si="198"/>
        <v>13.256</v>
      </c>
      <c r="W203" s="145">
        <f t="shared" si="199"/>
        <v>0.56999999999999995</v>
      </c>
    </row>
    <row r="204" spans="2:23" ht="15.75" customHeight="1">
      <c r="B204" s="16"/>
      <c r="E204" s="8">
        <v>2</v>
      </c>
      <c r="F204" s="8">
        <v>10537</v>
      </c>
      <c r="G204" s="8">
        <v>14109</v>
      </c>
      <c r="H204" s="8">
        <v>16130</v>
      </c>
      <c r="I204" s="8">
        <v>18351</v>
      </c>
      <c r="J204" s="8">
        <v>20766</v>
      </c>
      <c r="K204" s="8">
        <v>23393</v>
      </c>
      <c r="L204" s="8">
        <v>18417</v>
      </c>
      <c r="M204" s="8">
        <v>748.64971453422322</v>
      </c>
      <c r="N204" s="8">
        <v>13967</v>
      </c>
      <c r="O204" s="8">
        <v>322</v>
      </c>
      <c r="R204" s="124"/>
      <c r="S204" s="129">
        <f t="shared" si="193"/>
        <v>-0.24</v>
      </c>
      <c r="T204" s="124">
        <f t="shared" si="194"/>
        <v>-0.24</v>
      </c>
      <c r="U204" s="124">
        <f t="shared" si="197"/>
        <v>0.36</v>
      </c>
      <c r="V204" s="131">
        <f t="shared" si="198"/>
        <v>2.3050000000000002</v>
      </c>
      <c r="W204" s="145">
        <f t="shared" si="199"/>
        <v>0.24</v>
      </c>
    </row>
    <row r="205" spans="2:23" ht="15.75" customHeight="1">
      <c r="B205" s="16"/>
      <c r="E205" s="8">
        <v>3</v>
      </c>
      <c r="F205" s="8">
        <v>28704</v>
      </c>
      <c r="G205" s="8">
        <v>37936</v>
      </c>
      <c r="H205" s="8">
        <v>43166</v>
      </c>
      <c r="I205" s="8">
        <v>48821</v>
      </c>
      <c r="J205" s="8">
        <v>54310</v>
      </c>
      <c r="K205" s="8">
        <v>58538</v>
      </c>
      <c r="L205" s="8">
        <v>48777</v>
      </c>
      <c r="M205" s="8">
        <v>783.37649912801976</v>
      </c>
      <c r="N205" s="8">
        <v>45015</v>
      </c>
      <c r="O205" s="8">
        <v>369</v>
      </c>
      <c r="R205" s="124"/>
      <c r="S205" s="129">
        <f t="shared" si="195"/>
        <v>0.03</v>
      </c>
      <c r="T205" s="124">
        <f t="shared" si="196"/>
        <v>0.03</v>
      </c>
      <c r="U205" s="124">
        <f t="shared" si="197"/>
        <v>-0.09</v>
      </c>
      <c r="V205" s="131">
        <f t="shared" si="198"/>
        <v>0.82</v>
      </c>
      <c r="W205" s="145">
        <f t="shared" si="199"/>
        <v>0.03</v>
      </c>
    </row>
    <row r="206" spans="2:23" ht="15.75" customHeight="1">
      <c r="B206" s="16" t="s">
        <v>554</v>
      </c>
      <c r="C206" s="161" t="s">
        <v>574</v>
      </c>
      <c r="D206" s="8" t="s">
        <v>344</v>
      </c>
      <c r="E206" s="8">
        <v>1</v>
      </c>
      <c r="F206" s="8">
        <v>1667</v>
      </c>
      <c r="G206" s="8">
        <v>2275</v>
      </c>
      <c r="H206" s="8">
        <v>2684</v>
      </c>
      <c r="I206" s="8">
        <v>3115</v>
      </c>
      <c r="J206" s="8">
        <v>3588</v>
      </c>
      <c r="K206" s="8">
        <v>4111</v>
      </c>
      <c r="L206" s="8">
        <v>3144</v>
      </c>
      <c r="M206" s="8">
        <v>735.79593788833677</v>
      </c>
      <c r="N206" s="8">
        <v>2083</v>
      </c>
      <c r="O206" s="8">
        <v>305</v>
      </c>
      <c r="R206" s="124"/>
      <c r="S206" s="129">
        <f t="shared" si="191"/>
        <v>-0.82</v>
      </c>
      <c r="T206" s="124">
        <f t="shared" si="192"/>
        <v>-0.82</v>
      </c>
      <c r="U206" s="124">
        <f t="shared" si="197"/>
        <v>0.92</v>
      </c>
      <c r="V206" s="131">
        <f t="shared" si="198"/>
        <v>14.641999999999999</v>
      </c>
      <c r="W206" s="145">
        <f t="shared" si="199"/>
        <v>0.82</v>
      </c>
    </row>
    <row r="207" spans="2:23" ht="15.75" customHeight="1">
      <c r="B207" s="16"/>
      <c r="E207" s="8">
        <v>2</v>
      </c>
      <c r="F207" s="8">
        <v>11058</v>
      </c>
      <c r="G207" s="8">
        <v>14904</v>
      </c>
      <c r="H207" s="8">
        <v>17110</v>
      </c>
      <c r="I207" s="8">
        <v>19563</v>
      </c>
      <c r="J207" s="8">
        <v>22193</v>
      </c>
      <c r="K207" s="8">
        <v>25065</v>
      </c>
      <c r="L207" s="8">
        <v>19592</v>
      </c>
      <c r="M207" s="8">
        <v>738.98413091790326</v>
      </c>
      <c r="N207" s="8">
        <v>13994</v>
      </c>
      <c r="O207" s="8">
        <v>287</v>
      </c>
      <c r="R207" s="124"/>
      <c r="S207" s="129">
        <f t="shared" si="193"/>
        <v>-0.04</v>
      </c>
      <c r="T207" s="124">
        <f t="shared" si="194"/>
        <v>-0.04</v>
      </c>
      <c r="U207" s="124">
        <f t="shared" si="197"/>
        <v>0.15</v>
      </c>
      <c r="V207" s="131">
        <f t="shared" si="198"/>
        <v>2.0510000000000002</v>
      </c>
      <c r="W207" s="145">
        <f t="shared" si="199"/>
        <v>0.04</v>
      </c>
    </row>
    <row r="208" spans="2:23" ht="15.75" customHeight="1">
      <c r="B208" s="16"/>
      <c r="E208" s="8">
        <v>3</v>
      </c>
      <c r="F208" s="8">
        <v>30164</v>
      </c>
      <c r="G208" s="8">
        <v>40262</v>
      </c>
      <c r="H208" s="8">
        <v>46094</v>
      </c>
      <c r="I208" s="8">
        <v>52334</v>
      </c>
      <c r="J208" s="8">
        <v>57390</v>
      </c>
      <c r="K208" s="8">
        <v>61507</v>
      </c>
      <c r="L208" s="8">
        <v>52418</v>
      </c>
      <c r="M208" s="8">
        <v>770.49189736814571</v>
      </c>
      <c r="N208" s="8">
        <v>44839</v>
      </c>
      <c r="O208" s="8">
        <v>394</v>
      </c>
      <c r="R208" s="124"/>
      <c r="S208" s="129">
        <f t="shared" si="195"/>
        <v>-0.36</v>
      </c>
      <c r="T208" s="124">
        <f t="shared" si="196"/>
        <v>-0.36</v>
      </c>
      <c r="U208" s="124">
        <f t="shared" si="197"/>
        <v>0.16</v>
      </c>
      <c r="V208" s="131">
        <f t="shared" si="198"/>
        <v>0.879</v>
      </c>
      <c r="W208" s="145">
        <f t="shared" si="199"/>
        <v>0.36</v>
      </c>
    </row>
    <row r="209" spans="1:23" ht="15.75" customHeight="1">
      <c r="B209" s="16" t="s">
        <v>555</v>
      </c>
      <c r="C209" s="161" t="s">
        <v>575</v>
      </c>
      <c r="D209" s="8" t="s">
        <v>345</v>
      </c>
      <c r="E209" s="8">
        <v>1</v>
      </c>
      <c r="F209" s="8">
        <v>1497</v>
      </c>
      <c r="G209" s="8">
        <v>2203</v>
      </c>
      <c r="H209" s="8">
        <v>2699</v>
      </c>
      <c r="I209" s="8">
        <v>3213</v>
      </c>
      <c r="J209" s="8">
        <v>3765</v>
      </c>
      <c r="K209" s="8">
        <v>4325</v>
      </c>
      <c r="L209" s="8">
        <v>3239</v>
      </c>
      <c r="M209" s="8">
        <v>740.91577964897738</v>
      </c>
      <c r="N209" s="8">
        <v>2072</v>
      </c>
      <c r="O209" s="8">
        <v>313</v>
      </c>
      <c r="R209" s="124"/>
      <c r="S209" s="129">
        <f t="shared" si="191"/>
        <v>-1.35</v>
      </c>
      <c r="T209" s="124">
        <f t="shared" si="192"/>
        <v>-1.35</v>
      </c>
      <c r="U209" s="124">
        <f t="shared" si="197"/>
        <v>0.8</v>
      </c>
      <c r="V209" s="131">
        <f t="shared" si="198"/>
        <v>15.106</v>
      </c>
      <c r="W209" s="145">
        <f t="shared" si="199"/>
        <v>1.35</v>
      </c>
    </row>
    <row r="210" spans="1:23" ht="15.75" customHeight="1">
      <c r="B210" s="16"/>
      <c r="E210" s="8">
        <v>2</v>
      </c>
      <c r="F210" s="8">
        <v>10303</v>
      </c>
      <c r="G210" s="8">
        <v>14608</v>
      </c>
      <c r="H210" s="8">
        <v>17194</v>
      </c>
      <c r="I210" s="8">
        <v>20096</v>
      </c>
      <c r="J210" s="8">
        <v>23421</v>
      </c>
      <c r="K210" s="8">
        <v>27112</v>
      </c>
      <c r="L210" s="8">
        <v>20175</v>
      </c>
      <c r="M210" s="8">
        <v>743.47874236475923</v>
      </c>
      <c r="N210" s="8">
        <v>13938</v>
      </c>
      <c r="O210" s="8">
        <v>341</v>
      </c>
      <c r="R210" s="124"/>
      <c r="S210" s="129">
        <f t="shared" si="193"/>
        <v>-0.44</v>
      </c>
      <c r="T210" s="124">
        <f t="shared" si="194"/>
        <v>-0.44</v>
      </c>
      <c r="U210" s="124">
        <f t="shared" si="197"/>
        <v>0.39</v>
      </c>
      <c r="V210" s="131">
        <f t="shared" si="198"/>
        <v>2.4470000000000001</v>
      </c>
      <c r="W210" s="145">
        <f t="shared" si="199"/>
        <v>0.44</v>
      </c>
    </row>
    <row r="211" spans="1:23" ht="15.75" customHeight="1" thickBot="1">
      <c r="B211" s="123"/>
      <c r="C211" s="124"/>
      <c r="D211" s="124"/>
      <c r="E211" s="124">
        <v>3</v>
      </c>
      <c r="F211" s="124">
        <v>28303</v>
      </c>
      <c r="G211" s="124">
        <v>39234</v>
      </c>
      <c r="H211" s="124">
        <v>46043</v>
      </c>
      <c r="I211" s="124">
        <v>53778</v>
      </c>
      <c r="J211" s="124">
        <v>61360</v>
      </c>
      <c r="K211" s="124" t="s">
        <v>34</v>
      </c>
      <c r="L211" s="130">
        <v>53714</v>
      </c>
      <c r="M211" s="124">
        <v>770.38690609670721</v>
      </c>
      <c r="N211" s="124">
        <v>44483</v>
      </c>
      <c r="O211" s="124">
        <v>397</v>
      </c>
      <c r="P211" s="124">
        <v>772.5</v>
      </c>
      <c r="Q211" s="124">
        <v>45148</v>
      </c>
      <c r="R211" s="124">
        <v>411</v>
      </c>
      <c r="S211" s="129">
        <f t="shared" si="195"/>
        <v>-1.1599999999999999</v>
      </c>
      <c r="T211" s="124">
        <f>ROUND((Q211-45000)/Q211*100,2)</f>
        <v>0.33</v>
      </c>
      <c r="U211" s="124">
        <f t="shared" si="197"/>
        <v>-0.12</v>
      </c>
      <c r="V211" s="131">
        <f t="shared" si="198"/>
        <v>0.89200000000000002</v>
      </c>
      <c r="W211" s="145">
        <f t="shared" si="199"/>
        <v>0.33</v>
      </c>
    </row>
    <row r="212" spans="1:23" ht="15.75" customHeight="1" thickBot="1">
      <c r="A212" s="155" t="s">
        <v>346</v>
      </c>
      <c r="B212" s="125" t="s">
        <v>347</v>
      </c>
      <c r="C212" s="126" t="s">
        <v>348</v>
      </c>
      <c r="D212" s="126" t="s">
        <v>349</v>
      </c>
      <c r="E212" s="126">
        <v>1</v>
      </c>
      <c r="F212" s="126">
        <v>1719</v>
      </c>
      <c r="G212" s="126">
        <v>2483</v>
      </c>
      <c r="H212" s="126">
        <v>2951</v>
      </c>
      <c r="I212" s="126">
        <v>3480</v>
      </c>
      <c r="J212" s="126">
        <v>4084</v>
      </c>
      <c r="K212" s="126">
        <v>4750</v>
      </c>
      <c r="L212" s="126">
        <v>3461</v>
      </c>
      <c r="M212" s="126">
        <v>726.08618966326833</v>
      </c>
      <c r="N212" s="126">
        <v>2084</v>
      </c>
      <c r="O212" s="126">
        <v>301</v>
      </c>
      <c r="P212" s="126"/>
      <c r="Q212" s="126"/>
      <c r="R212" s="128"/>
      <c r="S212" s="124">
        <f t="shared" si="191"/>
        <v>-0.77</v>
      </c>
      <c r="T212" s="124">
        <f t="shared" si="192"/>
        <v>-0.77</v>
      </c>
      <c r="U212" s="124">
        <f t="shared" si="197"/>
        <v>-0.55000000000000004</v>
      </c>
      <c r="V212" s="131">
        <f t="shared" si="198"/>
        <v>14.443</v>
      </c>
      <c r="W212" s="145">
        <f t="shared" si="199"/>
        <v>0.77</v>
      </c>
    </row>
    <row r="213" spans="1:23" ht="15.75" customHeight="1">
      <c r="A213" s="119"/>
      <c r="B213" s="129"/>
      <c r="C213" s="119"/>
      <c r="D213" s="130" t="s">
        <v>350</v>
      </c>
      <c r="E213" s="130">
        <v>2</v>
      </c>
      <c r="F213" s="130">
        <v>11341</v>
      </c>
      <c r="G213" s="130">
        <v>15635</v>
      </c>
      <c r="H213" s="130">
        <v>18084</v>
      </c>
      <c r="I213" s="130">
        <v>20780</v>
      </c>
      <c r="J213" s="130">
        <v>23675</v>
      </c>
      <c r="K213" s="130">
        <v>26660</v>
      </c>
      <c r="L213" s="130">
        <v>20613</v>
      </c>
      <c r="M213" s="130">
        <v>731.8332047905451</v>
      </c>
      <c r="N213" s="130">
        <v>13929</v>
      </c>
      <c r="O213" s="130">
        <v>343</v>
      </c>
      <c r="P213" s="119"/>
      <c r="Q213" s="119"/>
      <c r="R213" s="131"/>
      <c r="S213" s="124">
        <f t="shared" si="193"/>
        <v>-0.51</v>
      </c>
      <c r="T213" s="124">
        <f t="shared" si="194"/>
        <v>-0.51</v>
      </c>
      <c r="U213" s="124">
        <f t="shared" si="197"/>
        <v>-0.81</v>
      </c>
      <c r="V213" s="131">
        <f t="shared" si="198"/>
        <v>2.4620000000000002</v>
      </c>
      <c r="W213" s="145">
        <f t="shared" si="199"/>
        <v>0.51</v>
      </c>
    </row>
    <row r="214" spans="1:23" ht="15.75" customHeight="1">
      <c r="A214" s="119"/>
      <c r="B214" s="129"/>
      <c r="C214" s="119"/>
      <c r="D214" s="119"/>
      <c r="E214" s="130">
        <v>3</v>
      </c>
      <c r="F214" s="130">
        <v>28580</v>
      </c>
      <c r="G214" s="130">
        <v>38260</v>
      </c>
      <c r="H214" s="130">
        <v>43797</v>
      </c>
      <c r="I214" s="130">
        <v>49840</v>
      </c>
      <c r="J214" s="130">
        <v>56325</v>
      </c>
      <c r="K214" s="130">
        <v>62203</v>
      </c>
      <c r="L214" s="130">
        <v>49750</v>
      </c>
      <c r="M214" s="130">
        <v>779.69095458017523</v>
      </c>
      <c r="N214" s="130">
        <v>44911</v>
      </c>
      <c r="O214" s="130">
        <v>421</v>
      </c>
      <c r="P214" s="119"/>
      <c r="Q214" s="119"/>
      <c r="R214" s="131"/>
      <c r="S214" s="124">
        <f t="shared" si="195"/>
        <v>-0.2</v>
      </c>
      <c r="T214" s="124">
        <f t="shared" si="196"/>
        <v>-0.2</v>
      </c>
      <c r="U214" s="124">
        <f t="shared" si="197"/>
        <v>-0.18</v>
      </c>
      <c r="V214" s="131">
        <f t="shared" si="198"/>
        <v>0.93700000000000006</v>
      </c>
      <c r="W214" s="145">
        <f t="shared" si="199"/>
        <v>0.2</v>
      </c>
    </row>
    <row r="215" spans="1:23" ht="15.75" customHeight="1">
      <c r="A215" s="119"/>
      <c r="B215" s="129" t="s">
        <v>351</v>
      </c>
      <c r="C215" s="130" t="s">
        <v>352</v>
      </c>
      <c r="D215" s="124"/>
      <c r="E215" s="130">
        <v>1</v>
      </c>
      <c r="F215" s="130">
        <v>1058</v>
      </c>
      <c r="G215" s="130">
        <v>1061</v>
      </c>
      <c r="H215" s="130">
        <v>1915</v>
      </c>
      <c r="I215" s="130">
        <v>2271</v>
      </c>
      <c r="J215" s="130">
        <v>2670</v>
      </c>
      <c r="K215" s="130">
        <v>3098</v>
      </c>
      <c r="L215" s="130">
        <v>2291</v>
      </c>
      <c r="M215" s="130">
        <v>787.61509434246727</v>
      </c>
      <c r="N215" s="130">
        <v>2100</v>
      </c>
      <c r="O215" s="130">
        <v>264</v>
      </c>
      <c r="P215" s="119"/>
      <c r="Q215" s="119"/>
      <c r="R215" s="131"/>
      <c r="S215" s="124">
        <f t="shared" si="191"/>
        <v>0</v>
      </c>
      <c r="T215" s="124">
        <f>ROUND((N215-2100)/N215*100,5)</f>
        <v>0</v>
      </c>
      <c r="U215" s="124">
        <f t="shared" si="197"/>
        <v>0.87</v>
      </c>
      <c r="V215" s="131">
        <f t="shared" si="198"/>
        <v>12.571</v>
      </c>
      <c r="W215" s="145">
        <f t="shared" si="199"/>
        <v>0</v>
      </c>
    </row>
    <row r="216" spans="1:23" ht="15.75" customHeight="1">
      <c r="A216" s="119"/>
      <c r="B216" s="129"/>
      <c r="C216" s="119"/>
      <c r="D216" s="130" t="s">
        <v>353</v>
      </c>
      <c r="E216" s="130">
        <v>2</v>
      </c>
      <c r="F216" s="130">
        <v>7345</v>
      </c>
      <c r="G216" s="130">
        <v>10408</v>
      </c>
      <c r="H216" s="130">
        <v>12261</v>
      </c>
      <c r="I216" s="130">
        <v>14318</v>
      </c>
      <c r="J216" s="130">
        <v>16610</v>
      </c>
      <c r="K216" s="130">
        <v>19200</v>
      </c>
      <c r="L216" s="130">
        <v>14250</v>
      </c>
      <c r="M216" s="130">
        <v>796.71743161977088</v>
      </c>
      <c r="N216" s="130">
        <v>14050</v>
      </c>
      <c r="O216" s="130">
        <v>313</v>
      </c>
      <c r="P216" s="119"/>
      <c r="Q216" s="119"/>
      <c r="R216" s="131"/>
      <c r="S216" s="124">
        <f t="shared" si="193"/>
        <v>0.36</v>
      </c>
      <c r="T216" s="124">
        <f t="shared" si="194"/>
        <v>0.36</v>
      </c>
      <c r="U216" s="124">
        <f t="shared" si="197"/>
        <v>-0.48</v>
      </c>
      <c r="V216" s="131">
        <f t="shared" si="198"/>
        <v>2.2280000000000002</v>
      </c>
      <c r="W216" s="145">
        <f t="shared" si="199"/>
        <v>0.36</v>
      </c>
    </row>
    <row r="217" spans="1:23" ht="15.75" customHeight="1">
      <c r="A217" s="119"/>
      <c r="B217" s="129"/>
      <c r="C217" s="119"/>
      <c r="D217" s="119"/>
      <c r="E217" s="130">
        <v>3</v>
      </c>
      <c r="F217" s="130">
        <v>20732</v>
      </c>
      <c r="G217" s="130">
        <v>29062</v>
      </c>
      <c r="H217" s="130">
        <v>33855</v>
      </c>
      <c r="I217" s="130">
        <v>38909</v>
      </c>
      <c r="J217" s="130">
        <v>45004</v>
      </c>
      <c r="K217" s="130">
        <v>51698</v>
      </c>
      <c r="L217" s="130">
        <v>38810</v>
      </c>
      <c r="M217" s="130">
        <v>824.30865913746175</v>
      </c>
      <c r="N217" s="130">
        <v>44840</v>
      </c>
      <c r="O217" s="130">
        <v>404</v>
      </c>
      <c r="P217" s="130">
        <v>825</v>
      </c>
      <c r="Q217" s="130">
        <v>44933</v>
      </c>
      <c r="R217" s="131">
        <v>406</v>
      </c>
      <c r="S217" s="124">
        <f t="shared" si="195"/>
        <v>-0.36</v>
      </c>
      <c r="T217" s="124">
        <f>ROUND((Q217-45000)/Q217*100,2)</f>
        <v>-0.15</v>
      </c>
      <c r="U217" s="124">
        <f t="shared" si="197"/>
        <v>-0.26</v>
      </c>
      <c r="V217" s="131">
        <f t="shared" si="198"/>
        <v>0.90100000000000002</v>
      </c>
      <c r="W217" s="145">
        <f t="shared" si="199"/>
        <v>0.15</v>
      </c>
    </row>
    <row r="218" spans="1:23" ht="15.75" customHeight="1">
      <c r="A218" s="119"/>
      <c r="B218" s="129" t="s">
        <v>354</v>
      </c>
      <c r="C218" s="130" t="s">
        <v>355</v>
      </c>
      <c r="D218" s="124" t="s">
        <v>356</v>
      </c>
      <c r="E218" s="130">
        <v>1</v>
      </c>
      <c r="F218" s="130">
        <v>1207</v>
      </c>
      <c r="G218" s="130">
        <v>1835</v>
      </c>
      <c r="H218" s="130">
        <v>2187</v>
      </c>
      <c r="I218" s="130">
        <v>2593</v>
      </c>
      <c r="J218" s="130">
        <v>3072</v>
      </c>
      <c r="K218" s="130">
        <v>3562</v>
      </c>
      <c r="L218" s="130">
        <v>2548</v>
      </c>
      <c r="M218" s="130">
        <v>768.13495782083032</v>
      </c>
      <c r="N218" s="130">
        <v>2097</v>
      </c>
      <c r="O218" s="130">
        <v>262</v>
      </c>
      <c r="P218" s="119"/>
      <c r="Q218" s="119"/>
      <c r="R218" s="131"/>
      <c r="S218" s="124">
        <f t="shared" si="191"/>
        <v>-0.14000000000000001</v>
      </c>
      <c r="T218" s="124">
        <f t="shared" si="192"/>
        <v>-0.14000000000000001</v>
      </c>
      <c r="U218" s="124">
        <f t="shared" si="197"/>
        <v>-1.77</v>
      </c>
      <c r="V218" s="131">
        <f t="shared" si="198"/>
        <v>12.494</v>
      </c>
      <c r="W218" s="145">
        <f t="shared" si="199"/>
        <v>0.14000000000000001</v>
      </c>
    </row>
    <row r="219" spans="1:23" ht="15.75" customHeight="1">
      <c r="A219" s="119"/>
      <c r="B219" s="129"/>
      <c r="C219" s="119"/>
      <c r="D219" s="130" t="s">
        <v>357</v>
      </c>
      <c r="E219" s="130">
        <v>2</v>
      </c>
      <c r="F219" s="130">
        <v>8150</v>
      </c>
      <c r="G219" s="130">
        <v>11605</v>
      </c>
      <c r="H219" s="130">
        <v>13709</v>
      </c>
      <c r="I219" s="130">
        <v>15972</v>
      </c>
      <c r="J219" s="130">
        <v>18630</v>
      </c>
      <c r="K219" s="130">
        <v>21646</v>
      </c>
      <c r="L219" s="130">
        <v>15900</v>
      </c>
      <c r="M219" s="130">
        <v>779.04436075120373</v>
      </c>
      <c r="N219" s="130">
        <v>13959</v>
      </c>
      <c r="O219" s="130">
        <v>310</v>
      </c>
      <c r="P219" s="119"/>
      <c r="Q219" s="119"/>
      <c r="R219" s="131"/>
      <c r="S219" s="124">
        <f t="shared" si="193"/>
        <v>-0.28999999999999998</v>
      </c>
      <c r="T219" s="124">
        <f t="shared" si="194"/>
        <v>-0.28999999999999998</v>
      </c>
      <c r="U219" s="124">
        <f t="shared" si="197"/>
        <v>-0.45</v>
      </c>
      <c r="V219" s="131">
        <f t="shared" si="198"/>
        <v>2.2210000000000001</v>
      </c>
      <c r="W219" s="145">
        <f t="shared" si="199"/>
        <v>0.28999999999999998</v>
      </c>
    </row>
    <row r="220" spans="1:23" ht="15.75" customHeight="1">
      <c r="A220" s="119"/>
      <c r="B220" s="129"/>
      <c r="C220" s="119"/>
      <c r="D220" s="119"/>
      <c r="E220" s="130">
        <v>3</v>
      </c>
      <c r="F220" s="130">
        <v>22744</v>
      </c>
      <c r="G220" s="130">
        <v>32147</v>
      </c>
      <c r="H220" s="130">
        <v>37635</v>
      </c>
      <c r="I220" s="130">
        <v>43996</v>
      </c>
      <c r="J220" s="130">
        <v>51500</v>
      </c>
      <c r="K220" s="130">
        <v>58391</v>
      </c>
      <c r="L220" s="130">
        <v>44016</v>
      </c>
      <c r="M220" s="130">
        <v>803.42888745683967</v>
      </c>
      <c r="N220" s="130">
        <v>44953</v>
      </c>
      <c r="O220" s="130">
        <v>407</v>
      </c>
      <c r="P220" s="119"/>
      <c r="Q220" s="119"/>
      <c r="R220" s="131"/>
      <c r="S220" s="124">
        <f t="shared" si="195"/>
        <v>-0.1</v>
      </c>
      <c r="T220" s="124">
        <f t="shared" si="196"/>
        <v>-0.1</v>
      </c>
      <c r="U220" s="124">
        <f t="shared" si="197"/>
        <v>0.05</v>
      </c>
      <c r="V220" s="131">
        <f t="shared" si="198"/>
        <v>0.90500000000000003</v>
      </c>
      <c r="W220" s="145">
        <f t="shared" si="199"/>
        <v>0.1</v>
      </c>
    </row>
    <row r="221" spans="1:23" ht="15.75" customHeight="1">
      <c r="A221" s="119"/>
      <c r="B221" s="129" t="s">
        <v>358</v>
      </c>
      <c r="C221" s="130" t="s">
        <v>359</v>
      </c>
      <c r="D221" s="124" t="s">
        <v>360</v>
      </c>
      <c r="E221" s="130">
        <v>1</v>
      </c>
      <c r="F221" s="130">
        <v>1488</v>
      </c>
      <c r="G221" s="130">
        <v>2147</v>
      </c>
      <c r="H221" s="130">
        <v>2525</v>
      </c>
      <c r="I221" s="130">
        <v>2947</v>
      </c>
      <c r="J221" s="130">
        <v>3426</v>
      </c>
      <c r="K221" s="130">
        <v>3939</v>
      </c>
      <c r="L221" s="130">
        <v>2934</v>
      </c>
      <c r="M221" s="130">
        <v>746.57077754851082</v>
      </c>
      <c r="N221" s="130">
        <v>2096</v>
      </c>
      <c r="O221" s="130">
        <v>287</v>
      </c>
      <c r="P221" s="119"/>
      <c r="Q221" s="119"/>
      <c r="R221" s="131"/>
      <c r="S221" s="124">
        <f t="shared" si="191"/>
        <v>-0.19</v>
      </c>
      <c r="T221" s="124">
        <f t="shared" si="192"/>
        <v>-0.19</v>
      </c>
      <c r="U221" s="124">
        <f t="shared" si="197"/>
        <v>-0.44</v>
      </c>
      <c r="V221" s="131">
        <f t="shared" si="198"/>
        <v>13.693</v>
      </c>
      <c r="W221" s="145">
        <f t="shared" si="199"/>
        <v>0.19</v>
      </c>
    </row>
    <row r="222" spans="1:23" ht="15.75" customHeight="1">
      <c r="A222" s="119"/>
      <c r="B222" s="129"/>
      <c r="C222" s="119"/>
      <c r="D222" s="119"/>
      <c r="E222" s="130">
        <v>2</v>
      </c>
      <c r="F222" s="130">
        <v>9731</v>
      </c>
      <c r="G222" s="130">
        <v>13188</v>
      </c>
      <c r="H222" s="130">
        <v>15159</v>
      </c>
      <c r="I222" s="130">
        <v>17327</v>
      </c>
      <c r="J222" s="130">
        <v>19652</v>
      </c>
      <c r="K222" s="130">
        <v>22137</v>
      </c>
      <c r="L222" s="130">
        <v>17296</v>
      </c>
      <c r="M222" s="130">
        <v>760.54038428522108</v>
      </c>
      <c r="N222" s="130">
        <v>14022</v>
      </c>
      <c r="O222" s="130">
        <v>318</v>
      </c>
      <c r="P222" s="119"/>
      <c r="Q222" s="119"/>
      <c r="R222" s="131"/>
      <c r="S222" s="124">
        <f t="shared" si="193"/>
        <v>0.16</v>
      </c>
      <c r="T222" s="124">
        <f t="shared" si="194"/>
        <v>0.16</v>
      </c>
      <c r="U222" s="124">
        <f t="shared" si="197"/>
        <v>-0.18</v>
      </c>
      <c r="V222" s="131">
        <f t="shared" si="198"/>
        <v>2.2679999999999998</v>
      </c>
      <c r="W222" s="145">
        <f t="shared" si="199"/>
        <v>0.16</v>
      </c>
    </row>
    <row r="223" spans="1:23" ht="15.75" customHeight="1">
      <c r="A223" s="119"/>
      <c r="B223" s="129"/>
      <c r="C223" s="119"/>
      <c r="D223" s="119"/>
      <c r="E223" s="130">
        <v>3</v>
      </c>
      <c r="F223" s="130">
        <v>24562</v>
      </c>
      <c r="G223" s="130">
        <v>32420</v>
      </c>
      <c r="H223" s="130">
        <v>36888</v>
      </c>
      <c r="I223" s="130">
        <v>41710</v>
      </c>
      <c r="J223" s="130">
        <v>46960</v>
      </c>
      <c r="K223" s="130">
        <v>52592</v>
      </c>
      <c r="L223" s="130">
        <v>41700</v>
      </c>
      <c r="M223" s="130">
        <v>815.94761265452735</v>
      </c>
      <c r="N223" s="130">
        <v>45025</v>
      </c>
      <c r="O223" s="130">
        <v>389</v>
      </c>
      <c r="P223" s="119"/>
      <c r="Q223" s="119"/>
      <c r="R223" s="131"/>
      <c r="S223" s="124">
        <f t="shared" si="195"/>
        <v>0.06</v>
      </c>
      <c r="T223" s="124">
        <f t="shared" si="196"/>
        <v>0.06</v>
      </c>
      <c r="U223" s="124">
        <f t="shared" si="197"/>
        <v>-0.02</v>
      </c>
      <c r="V223" s="131">
        <f t="shared" si="198"/>
        <v>0.86399999999999999</v>
      </c>
      <c r="W223" s="145">
        <f t="shared" si="199"/>
        <v>0.06</v>
      </c>
    </row>
    <row r="224" spans="1:23" ht="15.75" customHeight="1">
      <c r="A224" s="119"/>
      <c r="B224" s="129" t="s">
        <v>361</v>
      </c>
      <c r="C224" s="130" t="s">
        <v>362</v>
      </c>
      <c r="D224" s="124" t="s">
        <v>363</v>
      </c>
      <c r="E224" s="130">
        <v>1</v>
      </c>
      <c r="F224" s="130">
        <v>1452</v>
      </c>
      <c r="G224" s="130">
        <v>2008</v>
      </c>
      <c r="H224" s="130">
        <v>2337</v>
      </c>
      <c r="I224" s="130">
        <v>2700</v>
      </c>
      <c r="J224" s="130">
        <v>3065</v>
      </c>
      <c r="K224" s="130">
        <v>3513</v>
      </c>
      <c r="L224" s="130">
        <v>2710</v>
      </c>
      <c r="M224" s="130">
        <v>757.33472403254393</v>
      </c>
      <c r="N224" s="130">
        <v>2087</v>
      </c>
      <c r="O224" s="130">
        <v>257</v>
      </c>
      <c r="P224" s="119"/>
      <c r="Q224" s="119"/>
      <c r="R224" s="131"/>
      <c r="S224" s="124">
        <f t="shared" si="191"/>
        <v>-0.62</v>
      </c>
      <c r="T224" s="124">
        <f t="shared" si="192"/>
        <v>-0.62</v>
      </c>
      <c r="U224" s="124">
        <f t="shared" si="197"/>
        <v>0.37</v>
      </c>
      <c r="V224" s="131">
        <f t="shared" si="198"/>
        <v>12.314</v>
      </c>
      <c r="W224" s="145">
        <f t="shared" si="199"/>
        <v>0.62</v>
      </c>
    </row>
    <row r="225" spans="1:25" ht="15.75" customHeight="1">
      <c r="A225" s="119"/>
      <c r="B225" s="129"/>
      <c r="C225" s="119"/>
      <c r="D225" s="119"/>
      <c r="E225" s="130">
        <v>2</v>
      </c>
      <c r="F225" s="130">
        <v>10408</v>
      </c>
      <c r="G225" s="130">
        <v>13860</v>
      </c>
      <c r="H225" s="130">
        <v>15867</v>
      </c>
      <c r="I225" s="130">
        <v>18038</v>
      </c>
      <c r="J225" s="130">
        <v>20384</v>
      </c>
      <c r="K225" s="130">
        <v>22934</v>
      </c>
      <c r="L225" s="130">
        <v>18005</v>
      </c>
      <c r="M225" s="130">
        <v>751.16235638091405</v>
      </c>
      <c r="N225" s="130">
        <v>13925</v>
      </c>
      <c r="O225" s="130">
        <v>298</v>
      </c>
      <c r="P225" s="119"/>
      <c r="Q225" s="119"/>
      <c r="R225" s="131"/>
      <c r="S225" s="124">
        <f t="shared" si="193"/>
        <v>-0.54</v>
      </c>
      <c r="T225" s="124">
        <f t="shared" si="194"/>
        <v>-0.54</v>
      </c>
      <c r="U225" s="124">
        <f t="shared" si="197"/>
        <v>-0.18</v>
      </c>
      <c r="V225" s="131">
        <f t="shared" si="198"/>
        <v>2.14</v>
      </c>
      <c r="W225" s="145">
        <f t="shared" si="199"/>
        <v>0.54</v>
      </c>
    </row>
    <row r="226" spans="1:25" ht="15.75" customHeight="1">
      <c r="A226" s="119"/>
      <c r="B226" s="129"/>
      <c r="C226" s="119"/>
      <c r="D226" s="119"/>
      <c r="E226" s="130">
        <v>3</v>
      </c>
      <c r="F226" s="130">
        <v>28403</v>
      </c>
      <c r="G226" s="130">
        <v>37306</v>
      </c>
      <c r="H226" s="130">
        <v>42350</v>
      </c>
      <c r="I226" s="130">
        <v>47780</v>
      </c>
      <c r="J226" s="130">
        <v>53497</v>
      </c>
      <c r="K226" s="130">
        <v>58258</v>
      </c>
      <c r="L226" s="130">
        <v>47750</v>
      </c>
      <c r="M226" s="130">
        <v>787.23896451895894</v>
      </c>
      <c r="N226" s="130">
        <v>44982</v>
      </c>
      <c r="O226" s="130">
        <v>395</v>
      </c>
      <c r="P226" s="119"/>
      <c r="Q226" s="119"/>
      <c r="R226" s="131"/>
      <c r="S226" s="124">
        <f t="shared" si="195"/>
        <v>-0.04</v>
      </c>
      <c r="T226" s="124">
        <f t="shared" si="196"/>
        <v>-0.04</v>
      </c>
      <c r="U226" s="124">
        <f t="shared" si="197"/>
        <v>-0.06</v>
      </c>
      <c r="V226" s="131">
        <f t="shared" si="198"/>
        <v>0.878</v>
      </c>
      <c r="W226" s="145">
        <f t="shared" si="199"/>
        <v>0.04</v>
      </c>
    </row>
    <row r="227" spans="1:25" ht="15.75" customHeight="1">
      <c r="A227" s="119"/>
      <c r="B227" s="129" t="s">
        <v>364</v>
      </c>
      <c r="C227" s="130" t="s">
        <v>365</v>
      </c>
      <c r="D227" s="119"/>
      <c r="E227" s="130">
        <v>1</v>
      </c>
      <c r="F227" s="130" t="s">
        <v>64</v>
      </c>
      <c r="G227" s="130">
        <v>1496</v>
      </c>
      <c r="H227" s="130">
        <v>1761</v>
      </c>
      <c r="I227" s="130">
        <v>2044</v>
      </c>
      <c r="J227" s="130">
        <v>2363</v>
      </c>
      <c r="K227" s="130">
        <v>2721</v>
      </c>
      <c r="L227" s="130">
        <v>2006</v>
      </c>
      <c r="M227" s="130">
        <v>804.31562962566409</v>
      </c>
      <c r="N227" s="130">
        <v>2093</v>
      </c>
      <c r="O227" s="130">
        <v>255</v>
      </c>
      <c r="P227" s="119"/>
      <c r="Q227" s="119"/>
      <c r="R227" s="131"/>
      <c r="S227" s="124">
        <f t="shared" si="191"/>
        <v>-0.33</v>
      </c>
      <c r="T227" s="124">
        <f t="shared" si="192"/>
        <v>-0.33</v>
      </c>
      <c r="U227" s="124">
        <f t="shared" si="197"/>
        <v>-1.89</v>
      </c>
      <c r="V227" s="131">
        <f t="shared" si="198"/>
        <v>12.183</v>
      </c>
      <c r="W227" s="145">
        <f t="shared" si="199"/>
        <v>0.33</v>
      </c>
    </row>
    <row r="228" spans="1:25" ht="15.75" customHeight="1">
      <c r="A228" s="119"/>
      <c r="B228" s="129"/>
      <c r="C228" s="119"/>
      <c r="D228" s="119"/>
      <c r="E228" s="130">
        <v>2</v>
      </c>
      <c r="F228" s="130">
        <v>7899</v>
      </c>
      <c r="G228" s="130">
        <v>10796</v>
      </c>
      <c r="H228" s="130">
        <v>12521</v>
      </c>
      <c r="I228" s="130">
        <v>14441</v>
      </c>
      <c r="J228" s="130">
        <v>16551</v>
      </c>
      <c r="K228" s="130">
        <v>18858</v>
      </c>
      <c r="L228" s="130">
        <v>14292</v>
      </c>
      <c r="M228" s="130">
        <v>794.70373354517255</v>
      </c>
      <c r="N228" s="130">
        <v>13963</v>
      </c>
      <c r="O228" s="130">
        <v>297</v>
      </c>
      <c r="P228" s="119"/>
      <c r="Q228" s="119"/>
      <c r="R228" s="131"/>
      <c r="S228" s="124">
        <f t="shared" si="193"/>
        <v>-0.26</v>
      </c>
      <c r="T228" s="124">
        <f t="shared" si="194"/>
        <v>-0.26</v>
      </c>
      <c r="U228" s="124">
        <f t="shared" si="197"/>
        <v>-1.04</v>
      </c>
      <c r="V228" s="131">
        <f t="shared" si="198"/>
        <v>2.1269999999999998</v>
      </c>
      <c r="W228" s="145">
        <f t="shared" si="199"/>
        <v>0.26</v>
      </c>
    </row>
    <row r="229" spans="1:25" ht="15.75" customHeight="1">
      <c r="A229" s="119"/>
      <c r="B229" s="129"/>
      <c r="C229" s="119"/>
      <c r="D229" s="156">
        <v>0.44583333333333336</v>
      </c>
      <c r="E229" s="130">
        <v>3</v>
      </c>
      <c r="F229" s="130">
        <v>22165</v>
      </c>
      <c r="G229" s="130">
        <v>29450</v>
      </c>
      <c r="H229" s="130">
        <v>33615</v>
      </c>
      <c r="I229" s="130">
        <v>38147</v>
      </c>
      <c r="J229" s="130">
        <v>43031</v>
      </c>
      <c r="K229" s="130">
        <v>48298</v>
      </c>
      <c r="L229" s="130">
        <v>38053</v>
      </c>
      <c r="M229" s="130">
        <v>834.23690922133721</v>
      </c>
      <c r="N229" s="130">
        <v>44679</v>
      </c>
      <c r="O229" s="130">
        <v>377</v>
      </c>
      <c r="P229" s="130">
        <v>836</v>
      </c>
      <c r="Q229" s="130">
        <v>45073</v>
      </c>
      <c r="R229" s="131">
        <v>375</v>
      </c>
      <c r="S229" s="124">
        <f t="shared" si="195"/>
        <v>-0.72</v>
      </c>
      <c r="T229" s="124">
        <f>ROUND((Q229-45000)/Q229*100,2)</f>
        <v>0.16</v>
      </c>
      <c r="U229" s="124">
        <f t="shared" si="197"/>
        <v>-0.25</v>
      </c>
      <c r="V229" s="131">
        <f t="shared" si="198"/>
        <v>0.84399999999999997</v>
      </c>
      <c r="W229" s="145">
        <f t="shared" si="199"/>
        <v>0.16</v>
      </c>
    </row>
    <row r="230" spans="1:25" ht="15.75" customHeight="1">
      <c r="A230" s="119"/>
      <c r="B230" s="129" t="s">
        <v>366</v>
      </c>
      <c r="C230" s="130" t="s">
        <v>367</v>
      </c>
      <c r="D230" s="119"/>
      <c r="E230" s="130">
        <v>1</v>
      </c>
      <c r="F230" s="130">
        <v>1229</v>
      </c>
      <c r="G230" s="130">
        <v>1858</v>
      </c>
      <c r="H230" s="130">
        <v>2208</v>
      </c>
      <c r="I230" s="130">
        <v>2598</v>
      </c>
      <c r="J230" s="130">
        <v>3042</v>
      </c>
      <c r="K230" s="130">
        <v>3526</v>
      </c>
      <c r="L230" s="130">
        <v>2559</v>
      </c>
      <c r="M230" s="130">
        <v>766.86092180271623</v>
      </c>
      <c r="N230" s="130">
        <v>2082</v>
      </c>
      <c r="O230" s="130">
        <v>285</v>
      </c>
      <c r="P230" s="119"/>
      <c r="Q230" s="119"/>
      <c r="R230" s="131"/>
      <c r="S230" s="124">
        <f t="shared" si="191"/>
        <v>-0.86</v>
      </c>
      <c r="T230" s="124">
        <f t="shared" si="192"/>
        <v>-0.86</v>
      </c>
      <c r="U230" s="124">
        <f t="shared" si="197"/>
        <v>-1.52</v>
      </c>
      <c r="V230" s="131">
        <f t="shared" si="198"/>
        <v>13.689</v>
      </c>
      <c r="W230" s="145">
        <f t="shared" si="199"/>
        <v>0.86</v>
      </c>
    </row>
    <row r="231" spans="1:25" ht="15.75" customHeight="1">
      <c r="A231" s="119"/>
      <c r="B231" s="129"/>
      <c r="C231" s="119"/>
      <c r="D231" s="119"/>
      <c r="E231" s="130">
        <v>2</v>
      </c>
      <c r="F231" s="130">
        <v>8884</v>
      </c>
      <c r="G231" s="130">
        <v>12238</v>
      </c>
      <c r="H231" s="130">
        <v>14190</v>
      </c>
      <c r="I231" s="130">
        <v>16364</v>
      </c>
      <c r="J231" s="130">
        <v>18756</v>
      </c>
      <c r="K231" s="130">
        <v>21420</v>
      </c>
      <c r="L231" s="130">
        <v>16259</v>
      </c>
      <c r="M231" s="130">
        <v>772.12719631016137</v>
      </c>
      <c r="N231" s="130">
        <v>13869</v>
      </c>
      <c r="O231" s="130">
        <v>319</v>
      </c>
      <c r="P231" s="119"/>
      <c r="Q231" s="119"/>
      <c r="R231" s="131"/>
      <c r="S231" s="124">
        <f t="shared" si="193"/>
        <v>-0.94</v>
      </c>
      <c r="T231" s="124">
        <f t="shared" si="194"/>
        <v>-0.94</v>
      </c>
      <c r="U231" s="124">
        <f t="shared" si="197"/>
        <v>-0.65</v>
      </c>
      <c r="V231" s="131">
        <f t="shared" si="198"/>
        <v>2.2999999999999998</v>
      </c>
      <c r="W231" s="145">
        <f t="shared" si="199"/>
        <v>0.94</v>
      </c>
    </row>
    <row r="232" spans="1:25" ht="15.75" customHeight="1">
      <c r="A232" s="119"/>
      <c r="B232" s="129"/>
      <c r="C232" s="119"/>
      <c r="D232" s="119"/>
      <c r="E232" s="130">
        <v>3</v>
      </c>
      <c r="F232" s="130">
        <v>23940</v>
      </c>
      <c r="G232" s="130">
        <v>31849</v>
      </c>
      <c r="H232" s="130">
        <v>36196</v>
      </c>
      <c r="I232" s="130">
        <v>41017</v>
      </c>
      <c r="J232" s="130">
        <v>46432</v>
      </c>
      <c r="K232" s="130">
        <v>52312</v>
      </c>
      <c r="L232" s="130">
        <v>41073</v>
      </c>
      <c r="M232" s="130">
        <v>817.43978807553287</v>
      </c>
      <c r="N232" s="130">
        <v>44540</v>
      </c>
      <c r="O232" s="130">
        <v>379</v>
      </c>
      <c r="P232" s="130">
        <v>819</v>
      </c>
      <c r="Q232" s="130">
        <v>44912</v>
      </c>
      <c r="R232" s="131">
        <v>379</v>
      </c>
      <c r="S232" s="124">
        <f t="shared" si="195"/>
        <v>-1.03</v>
      </c>
      <c r="T232" s="124">
        <f>ROUND((Q232-45000)/Q232*100,2)</f>
        <v>-0.2</v>
      </c>
      <c r="U232" s="124">
        <f t="shared" si="197"/>
        <v>0.14000000000000001</v>
      </c>
      <c r="V232" s="131">
        <f t="shared" si="198"/>
        <v>0.85099999999999998</v>
      </c>
      <c r="W232" s="145">
        <f t="shared" si="199"/>
        <v>0.2</v>
      </c>
    </row>
    <row r="233" spans="1:25" ht="15.75" customHeight="1">
      <c r="A233" s="119"/>
      <c r="B233" s="129" t="s">
        <v>368</v>
      </c>
      <c r="C233" s="130" t="s">
        <v>369</v>
      </c>
      <c r="D233" s="119"/>
      <c r="E233" s="130">
        <v>1</v>
      </c>
      <c r="F233" s="130">
        <v>1172</v>
      </c>
      <c r="G233" s="130">
        <v>1718</v>
      </c>
      <c r="H233" s="130">
        <v>2017</v>
      </c>
      <c r="I233" s="130">
        <v>2357</v>
      </c>
      <c r="J233" s="130">
        <v>2737</v>
      </c>
      <c r="K233" s="130">
        <v>3163</v>
      </c>
      <c r="L233" s="130">
        <v>2332</v>
      </c>
      <c r="M233" s="130">
        <v>780.66131683489095</v>
      </c>
      <c r="N233" s="130">
        <v>2087</v>
      </c>
      <c r="O233" s="130">
        <v>261</v>
      </c>
      <c r="P233" s="119"/>
      <c r="Q233" s="119"/>
      <c r="R233" s="131"/>
      <c r="S233" s="124">
        <f t="shared" si="191"/>
        <v>-0.62</v>
      </c>
      <c r="T233" s="124">
        <f t="shared" si="192"/>
        <v>-0.62</v>
      </c>
      <c r="U233" s="124">
        <f t="shared" si="197"/>
        <v>-1.07</v>
      </c>
      <c r="V233" s="131">
        <f t="shared" si="198"/>
        <v>12.506</v>
      </c>
      <c r="W233" s="145">
        <f t="shared" si="199"/>
        <v>0.62</v>
      </c>
    </row>
    <row r="234" spans="1:25" ht="15.75" customHeight="1">
      <c r="A234" s="119"/>
      <c r="B234" s="129"/>
      <c r="C234" s="119"/>
      <c r="D234" s="119"/>
      <c r="E234" s="130">
        <v>2</v>
      </c>
      <c r="F234" s="130">
        <v>8784</v>
      </c>
      <c r="G234" s="130">
        <v>12143</v>
      </c>
      <c r="H234" s="130">
        <v>14121</v>
      </c>
      <c r="I234" s="130">
        <v>16302</v>
      </c>
      <c r="J234" s="130">
        <v>18692</v>
      </c>
      <c r="K234" s="130">
        <v>21317</v>
      </c>
      <c r="L234" s="130">
        <v>16291</v>
      </c>
      <c r="M234" s="130">
        <v>773.14804081215038</v>
      </c>
      <c r="N234" s="130">
        <v>13922</v>
      </c>
      <c r="O234" s="130">
        <v>302</v>
      </c>
      <c r="P234" s="119"/>
      <c r="Q234" s="119"/>
      <c r="R234" s="131"/>
      <c r="S234" s="124">
        <f t="shared" si="193"/>
        <v>-0.56000000000000005</v>
      </c>
      <c r="T234" s="124">
        <f t="shared" si="194"/>
        <v>-0.56000000000000005</v>
      </c>
      <c r="U234" s="124">
        <f t="shared" si="197"/>
        <v>-7.0000000000000007E-2</v>
      </c>
      <c r="V234" s="131">
        <f t="shared" si="198"/>
        <v>2.169</v>
      </c>
      <c r="W234" s="145">
        <f t="shared" si="199"/>
        <v>0.56000000000000005</v>
      </c>
    </row>
    <row r="235" spans="1:25" ht="15.75" customHeight="1">
      <c r="A235" s="119"/>
      <c r="B235" s="129"/>
      <c r="C235" s="119"/>
      <c r="D235" s="119"/>
      <c r="E235" s="130">
        <v>3</v>
      </c>
      <c r="F235" s="130">
        <v>24236</v>
      </c>
      <c r="G235" s="130">
        <v>32411</v>
      </c>
      <c r="H235" s="130">
        <v>36990</v>
      </c>
      <c r="I235" s="130">
        <v>41917</v>
      </c>
      <c r="J235" s="130">
        <v>47164</v>
      </c>
      <c r="K235" s="130">
        <v>52713</v>
      </c>
      <c r="L235" s="130">
        <v>42061</v>
      </c>
      <c r="M235" s="130">
        <v>814.3499613524483</v>
      </c>
      <c r="N235" s="130">
        <v>44801</v>
      </c>
      <c r="O235" s="130">
        <v>367</v>
      </c>
      <c r="P235" s="119"/>
      <c r="Q235" s="119"/>
      <c r="R235" s="131"/>
      <c r="S235" s="124">
        <f t="shared" si="195"/>
        <v>-0.44</v>
      </c>
      <c r="T235" s="124">
        <f t="shared" si="196"/>
        <v>-0.44</v>
      </c>
      <c r="U235" s="124">
        <f t="shared" si="197"/>
        <v>0.34</v>
      </c>
      <c r="V235" s="131">
        <f t="shared" si="198"/>
        <v>0.81899999999999995</v>
      </c>
      <c r="W235" s="145">
        <f t="shared" si="199"/>
        <v>0.44</v>
      </c>
    </row>
    <row r="236" spans="1:25" ht="15.75" customHeight="1">
      <c r="A236" s="119"/>
      <c r="B236" s="129" t="s">
        <v>370</v>
      </c>
      <c r="C236" s="130" t="s">
        <v>371</v>
      </c>
      <c r="D236" s="119"/>
      <c r="E236" s="130">
        <v>1</v>
      </c>
      <c r="F236" s="130">
        <v>1735</v>
      </c>
      <c r="G236" s="130">
        <v>2572</v>
      </c>
      <c r="H236" s="130">
        <v>3085</v>
      </c>
      <c r="I236" s="130">
        <v>3675</v>
      </c>
      <c r="J236" s="130">
        <v>4328</v>
      </c>
      <c r="K236" s="130">
        <v>5063</v>
      </c>
      <c r="L236" s="130">
        <v>3601</v>
      </c>
      <c r="M236" s="130">
        <v>722.35486139937984</v>
      </c>
      <c r="N236" s="130">
        <v>2078</v>
      </c>
      <c r="O236" s="130">
        <v>271</v>
      </c>
      <c r="P236" s="119"/>
      <c r="Q236" s="119"/>
      <c r="R236" s="131"/>
      <c r="S236" s="124">
        <f t="shared" si="191"/>
        <v>-1.06</v>
      </c>
      <c r="T236" s="124">
        <f t="shared" si="192"/>
        <v>-1.06</v>
      </c>
      <c r="U236" s="124">
        <f t="shared" si="197"/>
        <v>-2.0499999999999998</v>
      </c>
      <c r="V236" s="131">
        <f t="shared" si="198"/>
        <v>13.041</v>
      </c>
      <c r="W236" s="145">
        <f t="shared" si="199"/>
        <v>1.06</v>
      </c>
    </row>
    <row r="237" spans="1:25" ht="15.75" customHeight="1">
      <c r="A237" s="119"/>
      <c r="B237" s="129"/>
      <c r="C237" s="119"/>
      <c r="D237" s="119"/>
      <c r="E237" s="130">
        <v>2</v>
      </c>
      <c r="F237" s="130">
        <v>11897</v>
      </c>
      <c r="G237" s="130">
        <v>16764</v>
      </c>
      <c r="H237" s="130">
        <v>19636</v>
      </c>
      <c r="I237" s="130">
        <v>22847</v>
      </c>
      <c r="J237" s="130">
        <v>26377</v>
      </c>
      <c r="K237" s="130">
        <v>30146</v>
      </c>
      <c r="L237" s="130">
        <v>22870</v>
      </c>
      <c r="M237" s="130">
        <v>722.52416893950135</v>
      </c>
      <c r="N237" s="130">
        <v>13957</v>
      </c>
      <c r="O237" s="130">
        <v>311</v>
      </c>
      <c r="P237" s="119"/>
      <c r="Q237" s="119"/>
      <c r="R237" s="131"/>
      <c r="S237" s="124">
        <f t="shared" si="193"/>
        <v>-0.31</v>
      </c>
      <c r="T237" s="124">
        <f t="shared" si="194"/>
        <v>-0.31</v>
      </c>
      <c r="U237" s="124">
        <f t="shared" si="197"/>
        <v>0.1</v>
      </c>
      <c r="V237" s="131">
        <f t="shared" si="198"/>
        <v>2.2280000000000002</v>
      </c>
      <c r="W237" s="145">
        <f t="shared" si="199"/>
        <v>0.31</v>
      </c>
    </row>
    <row r="238" spans="1:25" ht="15.75" customHeight="1">
      <c r="A238" s="119"/>
      <c r="B238" s="129"/>
      <c r="C238" s="119"/>
      <c r="D238" s="119"/>
      <c r="E238" s="130">
        <v>3</v>
      </c>
      <c r="F238" s="130">
        <v>31777</v>
      </c>
      <c r="G238" s="130">
        <v>43401</v>
      </c>
      <c r="H238" s="130">
        <v>50125</v>
      </c>
      <c r="I238" s="130">
        <v>56704</v>
      </c>
      <c r="J238" s="130">
        <v>62066</v>
      </c>
      <c r="K238" s="130" t="s">
        <v>34</v>
      </c>
      <c r="L238" s="130">
        <v>56765</v>
      </c>
      <c r="M238" s="130">
        <v>762.05522481364085</v>
      </c>
      <c r="N238" s="130">
        <v>46489</v>
      </c>
      <c r="O238" s="130">
        <v>396</v>
      </c>
      <c r="P238" s="130">
        <v>757</v>
      </c>
      <c r="Q238" s="130">
        <v>45179</v>
      </c>
      <c r="R238" s="131">
        <v>385</v>
      </c>
      <c r="S238" s="124">
        <f t="shared" si="195"/>
        <v>3.2</v>
      </c>
      <c r="T238" s="124">
        <f>ROUND((Q238-45000)/Q238*100,2)</f>
        <v>0.4</v>
      </c>
      <c r="U238" s="124">
        <f t="shared" si="197"/>
        <v>0.11</v>
      </c>
      <c r="V238" s="131">
        <f t="shared" si="198"/>
        <v>0.85199999999999998</v>
      </c>
      <c r="W238" s="145">
        <f t="shared" si="199"/>
        <v>0.4</v>
      </c>
      <c r="Y238" s="8" t="s">
        <v>372</v>
      </c>
    </row>
    <row r="239" spans="1:25" ht="15.75" customHeight="1">
      <c r="A239" s="119"/>
      <c r="B239" s="129" t="s">
        <v>373</v>
      </c>
      <c r="C239" s="130" t="s">
        <v>374</v>
      </c>
      <c r="D239" s="130" t="s">
        <v>375</v>
      </c>
      <c r="E239" s="130">
        <v>1</v>
      </c>
      <c r="F239" s="130">
        <v>1662</v>
      </c>
      <c r="G239" s="130">
        <v>2436</v>
      </c>
      <c r="H239" s="130">
        <v>2910</v>
      </c>
      <c r="I239" s="130">
        <v>3447</v>
      </c>
      <c r="J239" s="130">
        <v>4052</v>
      </c>
      <c r="K239" s="130">
        <v>4723</v>
      </c>
      <c r="L239" s="130">
        <v>3494</v>
      </c>
      <c r="M239" s="130">
        <v>729.61980152948729</v>
      </c>
      <c r="N239" s="130">
        <v>2081</v>
      </c>
      <c r="O239" s="130">
        <v>299</v>
      </c>
      <c r="P239" s="119"/>
      <c r="Q239" s="119"/>
      <c r="R239" s="131"/>
      <c r="S239" s="124">
        <f t="shared" si="191"/>
        <v>-0.91</v>
      </c>
      <c r="T239" s="124">
        <f t="shared" si="192"/>
        <v>-0.91</v>
      </c>
      <c r="U239" s="124">
        <f t="shared" si="197"/>
        <v>1.35</v>
      </c>
      <c r="V239" s="131">
        <f t="shared" si="198"/>
        <v>14.368</v>
      </c>
      <c r="W239" s="145">
        <f t="shared" si="199"/>
        <v>0.91</v>
      </c>
    </row>
    <row r="240" spans="1:25" ht="15.75" customHeight="1">
      <c r="A240" s="119"/>
      <c r="B240" s="129"/>
      <c r="C240" s="119"/>
      <c r="D240" s="119"/>
      <c r="E240" s="130">
        <v>2</v>
      </c>
      <c r="F240" s="130">
        <v>11217</v>
      </c>
      <c r="G240" s="130">
        <v>15645</v>
      </c>
      <c r="H240" s="130">
        <v>18287</v>
      </c>
      <c r="I240" s="130">
        <v>21299</v>
      </c>
      <c r="J240" s="130">
        <v>24676</v>
      </c>
      <c r="K240" s="130">
        <v>28465</v>
      </c>
      <c r="L240" s="130">
        <v>21365</v>
      </c>
      <c r="M240" s="130">
        <v>731.9464030884975</v>
      </c>
      <c r="N240" s="130">
        <v>13876</v>
      </c>
      <c r="O240" s="130">
        <v>337</v>
      </c>
      <c r="P240" s="119"/>
      <c r="Q240" s="119"/>
      <c r="R240" s="131"/>
      <c r="S240" s="124">
        <f t="shared" si="193"/>
        <v>-0.89</v>
      </c>
      <c r="T240" s="124">
        <f t="shared" si="194"/>
        <v>-0.89</v>
      </c>
      <c r="U240" s="124">
        <f t="shared" si="197"/>
        <v>0.31</v>
      </c>
      <c r="V240" s="131">
        <f t="shared" si="198"/>
        <v>2.4289999999999998</v>
      </c>
      <c r="W240" s="145">
        <f t="shared" si="199"/>
        <v>0.89</v>
      </c>
    </row>
    <row r="241" spans="1:23" ht="15.75" customHeight="1" thickBot="1">
      <c r="A241" s="119"/>
      <c r="B241" s="132"/>
      <c r="C241" s="133"/>
      <c r="D241" s="133"/>
      <c r="E241" s="133">
        <v>3</v>
      </c>
      <c r="F241" s="133">
        <v>29976</v>
      </c>
      <c r="G241" s="133">
        <v>40751</v>
      </c>
      <c r="H241" s="133">
        <v>47311</v>
      </c>
      <c r="I241" s="133">
        <v>54711</v>
      </c>
      <c r="J241" s="133">
        <v>61939</v>
      </c>
      <c r="K241" s="133" t="s">
        <v>34</v>
      </c>
      <c r="L241" s="133">
        <v>54891</v>
      </c>
      <c r="M241" s="133">
        <v>766.59319832750737</v>
      </c>
      <c r="N241" s="133">
        <v>44880</v>
      </c>
      <c r="O241" s="133">
        <v>415</v>
      </c>
      <c r="P241" s="133"/>
      <c r="Q241" s="133"/>
      <c r="R241" s="134"/>
      <c r="S241" s="133">
        <f t="shared" si="195"/>
        <v>-0.27</v>
      </c>
      <c r="T241" s="133">
        <f t="shared" si="196"/>
        <v>-0.27</v>
      </c>
      <c r="U241" s="133">
        <f t="shared" si="197"/>
        <v>0.33</v>
      </c>
      <c r="V241" s="134">
        <f t="shared" si="198"/>
        <v>0.92500000000000004</v>
      </c>
      <c r="W241" s="145">
        <f t="shared" si="199"/>
        <v>0.27</v>
      </c>
    </row>
    <row r="242" spans="1:23" ht="15.75" customHeight="1">
      <c r="S242" s="144" t="s">
        <v>506</v>
      </c>
      <c r="T242" s="142">
        <f>ROUND(_xlfn.STDEV.P(T2:T241),4)</f>
        <v>0.62909999999999999</v>
      </c>
      <c r="U242" s="142" t="s">
        <v>485</v>
      </c>
      <c r="V242" s="142" t="s">
        <v>505</v>
      </c>
      <c r="W242" s="143">
        <f>ROUND(AVERAGE(W2:W241),4)</f>
        <v>0.46310000000000001</v>
      </c>
    </row>
    <row r="243" spans="1:23" ht="15.75" customHeight="1"/>
    <row r="244" spans="1:23" ht="15.75" customHeight="1"/>
    <row r="245" spans="1:23" ht="15.75" customHeight="1"/>
    <row r="246" spans="1:23" ht="15.75" customHeight="1"/>
    <row r="247" spans="1:23" ht="15.75" customHeight="1"/>
    <row r="248" spans="1:23" ht="15.75" customHeight="1"/>
    <row r="249" spans="1:23" ht="15.75" customHeight="1"/>
    <row r="250" spans="1:23" ht="15.75" customHeight="1"/>
    <row r="251" spans="1:23" ht="15.75" customHeight="1"/>
    <row r="252" spans="1:23" ht="15.75" customHeight="1"/>
    <row r="253" spans="1:23" ht="15.75" customHeight="1"/>
    <row r="254" spans="1:23" ht="15.75" customHeight="1"/>
    <row r="255" spans="1:23" ht="15.75" customHeight="1"/>
    <row r="256" spans="1:23"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T2:T241">
    <cfRule type="cellIs" dxfId="2" priority="1" operator="lessThan">
      <formula>-3</formula>
    </cfRule>
    <cfRule type="cellIs" dxfId="1" priority="2" operator="greaterThan">
      <formula>3</formula>
    </cfRule>
    <cfRule type="cellIs" dxfId="0" priority="3" operator="between">
      <formula>-1</formula>
      <formula>1</formula>
    </cfRule>
  </conditionalFormatting>
  <pageMargins left="0.7" right="0.7" top="0.75" bottom="0.75" header="0" footer="0"/>
  <pageSetup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U1000"/>
  <sheetViews>
    <sheetView workbookViewId="0">
      <pane xSplit="1" topLeftCell="AR1" activePane="topRight" state="frozen"/>
      <selection pane="topRight" activeCell="BJ12" sqref="BJ12"/>
    </sheetView>
  </sheetViews>
  <sheetFormatPr defaultColWidth="14.42578125" defaultRowHeight="15" customHeight="1"/>
  <cols>
    <col min="1" max="2" width="8.85546875" customWidth="1"/>
    <col min="3" max="3" width="8.28515625" customWidth="1"/>
    <col min="4" max="125" width="8.85546875" customWidth="1"/>
  </cols>
  <sheetData>
    <row r="1" spans="1:125" ht="15.75">
      <c r="A1" s="62" t="s">
        <v>376</v>
      </c>
      <c r="B1" s="63" t="str">
        <f>Main!$B2</f>
        <v>LV2143</v>
      </c>
      <c r="C1" s="64" t="str">
        <f t="shared" ref="C1:AO1" ca="1" si="0">INDIRECT("Main!B" &amp; (COLUMN()-2)*3+2)</f>
        <v>LV2177</v>
      </c>
      <c r="D1" s="64" t="str">
        <f t="shared" ca="1" si="0"/>
        <v>LV1762</v>
      </c>
      <c r="E1" s="64" t="str">
        <f t="shared" ca="1" si="0"/>
        <v>LV2085</v>
      </c>
      <c r="F1" s="64" t="str">
        <f t="shared" ca="1" si="0"/>
        <v>LV2138</v>
      </c>
      <c r="G1" s="64" t="str">
        <f t="shared" ca="1" si="0"/>
        <v>LV2125</v>
      </c>
      <c r="H1" s="64" t="str">
        <f t="shared" ca="1" si="0"/>
        <v>LV2148</v>
      </c>
      <c r="I1" s="64" t="str">
        <f t="shared" ca="1" si="0"/>
        <v>LV2060</v>
      </c>
      <c r="J1" s="64" t="str">
        <f t="shared" ca="1" si="0"/>
        <v>LV2029</v>
      </c>
      <c r="K1" s="64" t="str">
        <f t="shared" ca="1" si="0"/>
        <v>LV2050</v>
      </c>
      <c r="L1" s="64" t="str">
        <f t="shared" ca="1" si="0"/>
        <v>LV2119</v>
      </c>
      <c r="M1" s="64" t="str">
        <f t="shared" ca="1" si="0"/>
        <v>LV2086</v>
      </c>
      <c r="N1" s="64" t="str">
        <f t="shared" ca="1" si="0"/>
        <v>LV2193</v>
      </c>
      <c r="O1" s="64" t="str">
        <f t="shared" ca="1" si="0"/>
        <v>LV2182</v>
      </c>
      <c r="P1" s="64" t="str">
        <f t="shared" ca="1" si="0"/>
        <v>LV2134</v>
      </c>
      <c r="Q1" s="64" t="str">
        <f t="shared" ca="1" si="0"/>
        <v>LV2201</v>
      </c>
      <c r="R1" s="64" t="str">
        <f t="shared" ca="1" si="0"/>
        <v>LV2032</v>
      </c>
      <c r="S1" s="64" t="str">
        <f t="shared" ca="1" si="0"/>
        <v>LV2070</v>
      </c>
      <c r="T1" s="64" t="str">
        <f t="shared" ca="1" si="0"/>
        <v>LV1788</v>
      </c>
      <c r="U1" s="65" t="str">
        <f t="shared" ca="1" si="0"/>
        <v>LV2121</v>
      </c>
      <c r="V1" s="63" t="str">
        <f t="shared" ca="1" si="0"/>
        <v>LV2122</v>
      </c>
      <c r="W1" s="64" t="str">
        <f t="shared" ca="1" si="0"/>
        <v>LV2090</v>
      </c>
      <c r="X1" s="64" t="str">
        <f t="shared" ca="1" si="0"/>
        <v>LV2062</v>
      </c>
      <c r="Y1" s="64" t="str">
        <f t="shared" ca="1" si="0"/>
        <v>LV2063</v>
      </c>
      <c r="Z1" s="66" t="str">
        <f t="shared" ca="1" si="0"/>
        <v>LV2126</v>
      </c>
      <c r="AA1" s="67" t="str">
        <f t="shared" ca="1" si="0"/>
        <v>LV2136</v>
      </c>
      <c r="AB1" s="64" t="str">
        <f t="shared" ca="1" si="0"/>
        <v>LV2176</v>
      </c>
      <c r="AC1" s="64" t="str">
        <f t="shared" ca="1" si="0"/>
        <v>LV2079</v>
      </c>
      <c r="AD1" s="64" t="str">
        <f t="shared" ca="1" si="0"/>
        <v>LV2083</v>
      </c>
      <c r="AE1" s="64" t="str">
        <f t="shared" ca="1" si="0"/>
        <v>LV2200</v>
      </c>
      <c r="AF1" s="64" t="str">
        <f t="shared" ca="1" si="0"/>
        <v>LV2146</v>
      </c>
      <c r="AG1" s="64" t="str">
        <f t="shared" ca="1" si="0"/>
        <v>LV2155</v>
      </c>
      <c r="AH1" s="64" t="str">
        <f t="shared" ca="1" si="0"/>
        <v>LV2169</v>
      </c>
      <c r="AI1" s="64" t="str">
        <f t="shared" ca="1" si="0"/>
        <v>LV2084</v>
      </c>
      <c r="AJ1" s="64" t="str">
        <f t="shared" ca="1" si="0"/>
        <v>LV2199</v>
      </c>
      <c r="AK1" s="64" t="str">
        <f t="shared" ca="1" si="0"/>
        <v>LV2144</v>
      </c>
      <c r="AL1" s="64" t="str">
        <f t="shared" ca="1" si="0"/>
        <v>LV2065</v>
      </c>
      <c r="AM1" s="64" t="str">
        <f t="shared" ca="1" si="0"/>
        <v>LV2031</v>
      </c>
      <c r="AN1" s="64" t="str">
        <f t="shared" ca="1" si="0"/>
        <v>LV2167</v>
      </c>
      <c r="AO1" s="64" t="str">
        <f t="shared" ca="1" si="0"/>
        <v>LV2128</v>
      </c>
      <c r="AP1" s="64" t="str">
        <f t="shared" ref="AP1:DU1" ca="1" si="1">INDIRECT("LongBoards!B" &amp; (COLUMN()-42)*3+2)</f>
        <v>LV2194</v>
      </c>
      <c r="AQ1" s="64" t="str">
        <f t="shared" ca="1" si="1"/>
        <v>LV2140</v>
      </c>
      <c r="AR1" s="64" t="str">
        <f t="shared" ca="1" si="1"/>
        <v>LV2075</v>
      </c>
      <c r="AS1" s="64" t="str">
        <f t="shared" ca="1" si="1"/>
        <v>LV2131</v>
      </c>
      <c r="AT1" s="64" t="str">
        <f t="shared" ca="1" si="1"/>
        <v>LV2192</v>
      </c>
      <c r="AU1" s="64" t="str">
        <f t="shared" ca="1" si="1"/>
        <v>LV2165</v>
      </c>
      <c r="AV1" s="64" t="str">
        <f t="shared" ca="1" si="1"/>
        <v>LV2087</v>
      </c>
      <c r="AW1" s="64" t="str">
        <f t="shared" ca="1" si="1"/>
        <v>LV2064</v>
      </c>
      <c r="AX1" s="64" t="str">
        <f t="shared" ca="1" si="1"/>
        <v>LV2117</v>
      </c>
      <c r="AY1" s="64" t="str">
        <f t="shared" ca="1" si="1"/>
        <v>LV2098</v>
      </c>
      <c r="AZ1" s="64" t="str">
        <f t="shared" ca="1" si="1"/>
        <v>LV2100</v>
      </c>
      <c r="BA1" s="64" t="str">
        <f t="shared" ca="1" si="1"/>
        <v>LV1785</v>
      </c>
      <c r="BB1" s="64" t="str">
        <f t="shared" ca="1" si="1"/>
        <v>LV2091</v>
      </c>
      <c r="BC1" s="64" t="str">
        <f t="shared" ca="1" si="1"/>
        <v>LV2095</v>
      </c>
      <c r="BD1" s="64" t="str">
        <f t="shared" ca="1" si="1"/>
        <v>LV2187</v>
      </c>
      <c r="BE1" s="64" t="str">
        <f t="shared" ca="1" si="1"/>
        <v>LV2190</v>
      </c>
      <c r="BF1" s="64" t="str">
        <f t="shared" ca="1" si="1"/>
        <v>LV2186</v>
      </c>
      <c r="BG1" s="64" t="str">
        <f t="shared" ca="1" si="1"/>
        <v>LV2077</v>
      </c>
      <c r="BH1" s="64" t="str">
        <f t="shared" ca="1" si="1"/>
        <v>LV1760</v>
      </c>
      <c r="BI1" s="64" t="str">
        <f t="shared" ca="1" si="1"/>
        <v>LV2123</v>
      </c>
      <c r="BJ1" s="64" t="str">
        <f t="shared" ca="1" si="1"/>
        <v>LV1780</v>
      </c>
      <c r="BK1" s="64" t="str">
        <f t="shared" ca="1" si="1"/>
        <v>LV1789</v>
      </c>
      <c r="BL1" s="64" t="str">
        <f t="shared" ca="1" si="1"/>
        <v>LV2179</v>
      </c>
      <c r="BM1" s="64" t="str">
        <f t="shared" ca="1" si="1"/>
        <v>LV2173</v>
      </c>
      <c r="BN1" s="64" t="str">
        <f t="shared" ca="1" si="1"/>
        <v>LV2166</v>
      </c>
      <c r="BO1" s="64" t="str">
        <f t="shared" ca="1" si="1"/>
        <v>LV2157</v>
      </c>
      <c r="BP1" s="64" t="str">
        <f t="shared" ca="1" si="1"/>
        <v>LV2082</v>
      </c>
      <c r="BQ1" s="64" t="str">
        <f t="shared" ca="1" si="1"/>
        <v>LV2072</v>
      </c>
      <c r="BR1" s="64" t="str">
        <f t="shared" ca="1" si="1"/>
        <v>LV2058</v>
      </c>
      <c r="BS1" s="64" t="str">
        <f t="shared" ca="1" si="1"/>
        <v>LV2161</v>
      </c>
      <c r="BT1" s="64" t="str">
        <f t="shared" ca="1" si="1"/>
        <v>LV2093</v>
      </c>
      <c r="BU1" s="64" t="str">
        <f t="shared" ca="1" si="1"/>
        <v>LV2052</v>
      </c>
      <c r="BV1" s="64" t="str">
        <f t="shared" ca="1" si="1"/>
        <v>LV2078</v>
      </c>
      <c r="BW1" s="64" t="str">
        <f t="shared" ca="1" si="1"/>
        <v>LV2174</v>
      </c>
      <c r="BX1" s="64" t="str">
        <f t="shared" ca="1" si="1"/>
        <v>LV2164</v>
      </c>
      <c r="BY1" s="64" t="str">
        <f t="shared" ca="1" si="1"/>
        <v>LV2030</v>
      </c>
      <c r="BZ1" s="64" t="str">
        <f t="shared" ca="1" si="1"/>
        <v>LV2163</v>
      </c>
      <c r="CA1" s="64" t="str">
        <f t="shared" ca="1" si="1"/>
        <v>LV2066</v>
      </c>
      <c r="CB1" s="64" t="str">
        <f t="shared" ca="1" si="1"/>
        <v>LV2067</v>
      </c>
      <c r="CC1" s="64" t="str">
        <f t="shared" ca="1" si="1"/>
        <v>LV2094</v>
      </c>
      <c r="CD1" s="64" t="str">
        <f t="shared" ca="1" si="1"/>
        <v>LV2106</v>
      </c>
      <c r="CE1" s="64" t="str">
        <f t="shared" ca="1" si="1"/>
        <v>LV2145</v>
      </c>
      <c r="CF1" s="64" t="str">
        <f t="shared" ca="1" si="1"/>
        <v>LV2069</v>
      </c>
      <c r="CG1" s="64" t="str">
        <f t="shared" ca="1" si="1"/>
        <v>LV2171</v>
      </c>
      <c r="CH1" s="64" t="str">
        <f t="shared" ca="1" si="1"/>
        <v>LV2147</v>
      </c>
      <c r="CI1" s="64" t="str">
        <f t="shared" ca="1" si="1"/>
        <v>LV2159</v>
      </c>
      <c r="CJ1" s="64" t="str">
        <f t="shared" ca="1" si="1"/>
        <v>LV2162</v>
      </c>
      <c r="CK1" s="64" t="str">
        <f t="shared" ca="1" si="1"/>
        <v>LV2054</v>
      </c>
      <c r="CL1" s="64" t="str">
        <f t="shared" ca="1" si="1"/>
        <v>LV2047</v>
      </c>
      <c r="CM1" s="64" t="str">
        <f t="shared" ca="1" si="1"/>
        <v>LV2139</v>
      </c>
      <c r="CN1" s="64" t="str">
        <f t="shared" ca="1" si="1"/>
        <v>LV2120</v>
      </c>
      <c r="CO1" s="64" t="str">
        <f t="shared" ca="1" si="1"/>
        <v>LV2071</v>
      </c>
      <c r="CP1" s="64" t="str">
        <f t="shared" ca="1" si="1"/>
        <v>LV2175</v>
      </c>
      <c r="CQ1" s="64" t="str">
        <f t="shared" ca="1" si="1"/>
        <v>LV2034</v>
      </c>
      <c r="CR1" s="64" t="str">
        <f t="shared" ca="1" si="1"/>
        <v>LV2081</v>
      </c>
      <c r="CS1" s="64" t="str">
        <f t="shared" ca="1" si="1"/>
        <v>LV2152</v>
      </c>
      <c r="CT1" s="64" t="str">
        <f t="shared" ca="1" si="1"/>
        <v>LV2160</v>
      </c>
      <c r="CU1" s="64" t="str">
        <f t="shared" ca="1" si="1"/>
        <v>LV2089</v>
      </c>
      <c r="CV1" s="64" t="str">
        <f t="shared" ca="1" si="1"/>
        <v>LV2178</v>
      </c>
      <c r="CW1" s="64" t="str">
        <f t="shared" ca="1" si="1"/>
        <v>LV2096</v>
      </c>
      <c r="CX1" s="64" t="str">
        <f t="shared" ca="1" si="1"/>
        <v>LV2130</v>
      </c>
      <c r="CY1" s="64" t="str">
        <f t="shared" ca="1" si="1"/>
        <v>LV2076</v>
      </c>
      <c r="CZ1" s="64" t="str">
        <f t="shared" ca="1" si="1"/>
        <v>LV2172</v>
      </c>
      <c r="DA1" s="64" t="str">
        <f t="shared" ca="1" si="1"/>
        <v>LV2168</v>
      </c>
      <c r="DB1" s="64" t="str">
        <f t="shared" ca="1" si="1"/>
        <v>LV2185</v>
      </c>
      <c r="DC1" s="64" t="str">
        <f t="shared" ca="1" si="1"/>
        <v>LV2158</v>
      </c>
      <c r="DD1" s="64" t="str">
        <f t="shared" ca="1" si="1"/>
        <v>LV2088</v>
      </c>
      <c r="DE1" s="64" t="str">
        <f t="shared" ca="1" si="1"/>
        <v>LV2181</v>
      </c>
      <c r="DF1" s="64" t="str">
        <f t="shared" ca="1" si="1"/>
        <v>LV2118</v>
      </c>
      <c r="DG1" s="64" t="str">
        <f t="shared" ca="1" si="1"/>
        <v>LV2195</v>
      </c>
      <c r="DH1" s="64" t="str">
        <f t="shared" ca="1" si="1"/>
        <v>LV2124</v>
      </c>
      <c r="DI1" s="64" t="str">
        <f t="shared" ca="1" si="1"/>
        <v>LV2074</v>
      </c>
      <c r="DJ1" s="64" t="str">
        <f t="shared" ca="1" si="1"/>
        <v>LV2092</v>
      </c>
      <c r="DK1" s="64" t="str">
        <f t="shared" ca="1" si="1"/>
        <v>LV2073</v>
      </c>
      <c r="DL1" s="64" t="str">
        <f t="shared" ca="1" si="1"/>
        <v>LV2191</v>
      </c>
      <c r="DM1" s="64" t="str">
        <f t="shared" ca="1" si="1"/>
        <v>LV2188</v>
      </c>
      <c r="DN1" s="64" t="str">
        <f t="shared" ca="1" si="1"/>
        <v>LV2184</v>
      </c>
      <c r="DO1" s="64" t="str">
        <f t="shared" ca="1" si="1"/>
        <v>LV2137</v>
      </c>
      <c r="DP1" s="64" t="str">
        <f t="shared" ca="1" si="1"/>
        <v>LV2057</v>
      </c>
      <c r="DQ1" s="64" t="str">
        <f t="shared" ca="1" si="1"/>
        <v>LV2127</v>
      </c>
      <c r="DR1" s="64">
        <f t="shared" ca="1" si="1"/>
        <v>0</v>
      </c>
      <c r="DS1" s="64">
        <f t="shared" ca="1" si="1"/>
        <v>0</v>
      </c>
      <c r="DT1" s="64">
        <f t="shared" ca="1" si="1"/>
        <v>0</v>
      </c>
      <c r="DU1" s="64">
        <f t="shared" ca="1" si="1"/>
        <v>0</v>
      </c>
    </row>
    <row r="2" spans="1:125" ht="15.75">
      <c r="A2" s="68">
        <v>700</v>
      </c>
      <c r="B2" s="10">
        <f t="shared" ref="B2:AO2" ca="1" si="2">INDIRECT("Main!F" &amp; (COLUMN()-2)*3+3)</f>
        <v>9375</v>
      </c>
      <c r="C2" s="11">
        <f ca="1">INDIRECT("Main!F" &amp; (COLUMN()-2)*3+3)</f>
        <v>13226</v>
      </c>
      <c r="D2" s="11">
        <f t="shared" ca="1" si="2"/>
        <v>9769</v>
      </c>
      <c r="E2" s="11">
        <f t="shared" ca="1" si="2"/>
        <v>8238</v>
      </c>
      <c r="F2" s="12">
        <f t="shared" ca="1" si="2"/>
        <v>10904</v>
      </c>
      <c r="G2" s="10">
        <f t="shared" ca="1" si="2"/>
        <v>9309</v>
      </c>
      <c r="H2" s="11">
        <f t="shared" ca="1" si="2"/>
        <v>6938</v>
      </c>
      <c r="I2" s="11">
        <f t="shared" ca="1" si="2"/>
        <v>8217</v>
      </c>
      <c r="J2" s="11">
        <f t="shared" ca="1" si="2"/>
        <v>12849</v>
      </c>
      <c r="K2" s="12">
        <f t="shared" ca="1" si="2"/>
        <v>8680</v>
      </c>
      <c r="L2" s="10">
        <f t="shared" ca="1" si="2"/>
        <v>15053</v>
      </c>
      <c r="M2" s="11">
        <f t="shared" ca="1" si="2"/>
        <v>7965</v>
      </c>
      <c r="N2" s="11">
        <f t="shared" ca="1" si="2"/>
        <v>6748</v>
      </c>
      <c r="O2" s="11">
        <f t="shared" ca="1" si="2"/>
        <v>8666</v>
      </c>
      <c r="P2" s="12">
        <f t="shared" ca="1" si="2"/>
        <v>10810</v>
      </c>
      <c r="Q2" s="10">
        <f t="shared" ca="1" si="2"/>
        <v>8409</v>
      </c>
      <c r="R2" s="11">
        <f t="shared" ca="1" si="2"/>
        <v>9414</v>
      </c>
      <c r="S2" s="11">
        <f t="shared" ca="1" si="2"/>
        <v>7428</v>
      </c>
      <c r="T2" s="11">
        <f t="shared" ca="1" si="2"/>
        <v>7764</v>
      </c>
      <c r="U2" s="12">
        <f t="shared" ca="1" si="2"/>
        <v>9869</v>
      </c>
      <c r="V2" s="16">
        <f t="shared" ca="1" si="2"/>
        <v>8004</v>
      </c>
      <c r="W2" s="8">
        <f t="shared" ca="1" si="2"/>
        <v>7771</v>
      </c>
      <c r="X2" s="8">
        <f t="shared" ca="1" si="2"/>
        <v>9784</v>
      </c>
      <c r="Y2" s="8">
        <f t="shared" ca="1" si="2"/>
        <v>11776</v>
      </c>
      <c r="Z2" s="17">
        <f t="shared" ca="1" si="2"/>
        <v>9064</v>
      </c>
      <c r="AA2" s="10">
        <f t="shared" ca="1" si="2"/>
        <v>8333</v>
      </c>
      <c r="AB2" s="11">
        <f t="shared" ca="1" si="2"/>
        <v>8674</v>
      </c>
      <c r="AC2" s="11">
        <f t="shared" ca="1" si="2"/>
        <v>5717</v>
      </c>
      <c r="AD2" s="11">
        <f t="shared" ca="1" si="2"/>
        <v>10056</v>
      </c>
      <c r="AE2" s="12">
        <f t="shared" ca="1" si="2"/>
        <v>13261</v>
      </c>
      <c r="AF2" s="10">
        <f t="shared" ca="1" si="2"/>
        <v>9856</v>
      </c>
      <c r="AG2" s="11">
        <f t="shared" ca="1" si="2"/>
        <v>8943</v>
      </c>
      <c r="AH2" s="11">
        <f t="shared" ca="1" si="2"/>
        <v>7805</v>
      </c>
      <c r="AI2" s="11">
        <f t="shared" ca="1" si="2"/>
        <v>7525</v>
      </c>
      <c r="AJ2" s="12">
        <f t="shared" ca="1" si="2"/>
        <v>7487</v>
      </c>
      <c r="AK2" s="10">
        <f t="shared" ca="1" si="2"/>
        <v>8166</v>
      </c>
      <c r="AL2" s="11">
        <f t="shared" ca="1" si="2"/>
        <v>9641</v>
      </c>
      <c r="AM2" s="11">
        <f t="shared" ca="1" si="2"/>
        <v>9838</v>
      </c>
      <c r="AN2" s="11">
        <f t="shared" ca="1" si="2"/>
        <v>11560</v>
      </c>
      <c r="AO2" s="12">
        <f t="shared" ca="1" si="2"/>
        <v>8824</v>
      </c>
      <c r="AP2" s="8">
        <f t="shared" ref="AP2:DU2" ca="1" si="3">INDIRECT("LongBoards!F" &amp; (COLUMN()-42)*3+3)</f>
        <v>9655</v>
      </c>
      <c r="AQ2" s="8">
        <f t="shared" ca="1" si="3"/>
        <v>12431</v>
      </c>
      <c r="AR2" s="8">
        <f t="shared" ca="1" si="3"/>
        <v>10639</v>
      </c>
      <c r="AS2" s="8">
        <f t="shared" ca="1" si="3"/>
        <v>12561</v>
      </c>
      <c r="AT2" s="8">
        <f t="shared" ca="1" si="3"/>
        <v>9687</v>
      </c>
      <c r="AU2" s="8">
        <f t="shared" ca="1" si="3"/>
        <v>10481</v>
      </c>
      <c r="AV2" s="181">
        <f ca="1">INDIRECT("LongBoards!F" &amp; (COLUMN()-42)*3+3)</f>
        <v>15245</v>
      </c>
      <c r="AW2" s="8">
        <f t="shared" ca="1" si="3"/>
        <v>9065</v>
      </c>
      <c r="AX2" s="8">
        <f t="shared" ca="1" si="3"/>
        <v>12490</v>
      </c>
      <c r="AY2" s="8">
        <f t="shared" ca="1" si="3"/>
        <v>11418</v>
      </c>
      <c r="AZ2" s="8">
        <f t="shared" ca="1" si="3"/>
        <v>11140</v>
      </c>
      <c r="BA2" s="8">
        <f t="shared" ca="1" si="3"/>
        <v>7049</v>
      </c>
      <c r="BB2" s="8">
        <f t="shared" ca="1" si="3"/>
        <v>8425</v>
      </c>
      <c r="BC2" s="8">
        <f t="shared" ca="1" si="3"/>
        <v>9121</v>
      </c>
      <c r="BD2" s="8">
        <f t="shared" ca="1" si="3"/>
        <v>8621</v>
      </c>
      <c r="BE2" s="8">
        <f t="shared" ca="1" si="3"/>
        <v>8993</v>
      </c>
      <c r="BF2" s="8">
        <f t="shared" ca="1" si="3"/>
        <v>0</v>
      </c>
      <c r="BG2" s="8">
        <f t="shared" ca="1" si="3"/>
        <v>8838</v>
      </c>
      <c r="BH2" s="8">
        <f t="shared" ca="1" si="3"/>
        <v>11686</v>
      </c>
      <c r="BI2" s="8">
        <f t="shared" ca="1" si="3"/>
        <v>11434</v>
      </c>
      <c r="BJ2" s="8">
        <f ca="1">INDIRECT("LongBoards!F" &amp; (COLUMN()-42)*3+3)</f>
        <v>10664</v>
      </c>
      <c r="BK2" s="8">
        <f t="shared" ca="1" si="3"/>
        <v>9943</v>
      </c>
      <c r="BL2" s="8">
        <f t="shared" ca="1" si="3"/>
        <v>8975</v>
      </c>
      <c r="BM2" s="8">
        <f t="shared" ca="1" si="3"/>
        <v>8556</v>
      </c>
      <c r="BN2" s="8">
        <f t="shared" ca="1" si="3"/>
        <v>9170</v>
      </c>
      <c r="BO2" s="8">
        <f t="shared" ca="1" si="3"/>
        <v>10077</v>
      </c>
      <c r="BP2" s="8">
        <f t="shared" ca="1" si="3"/>
        <v>9434</v>
      </c>
      <c r="BQ2" s="8">
        <f t="shared" ca="1" si="3"/>
        <v>6906</v>
      </c>
      <c r="BR2" s="8">
        <f t="shared" ca="1" si="3"/>
        <v>9598</v>
      </c>
      <c r="BS2" s="8">
        <f t="shared" ca="1" si="3"/>
        <v>7521</v>
      </c>
      <c r="BT2" s="8">
        <f t="shared" ca="1" si="3"/>
        <v>9140</v>
      </c>
      <c r="BU2" s="8">
        <f t="shared" ca="1" si="3"/>
        <v>9430</v>
      </c>
      <c r="BV2" s="8">
        <f t="shared" ca="1" si="3"/>
        <v>8001</v>
      </c>
      <c r="BW2" s="8">
        <f t="shared" ca="1" si="3"/>
        <v>9784</v>
      </c>
      <c r="BX2" s="8">
        <f t="shared" ca="1" si="3"/>
        <v>9419</v>
      </c>
      <c r="BY2" s="8">
        <f t="shared" ca="1" si="3"/>
        <v>8165</v>
      </c>
      <c r="BZ2" s="8">
        <f t="shared" ca="1" si="3"/>
        <v>11293</v>
      </c>
      <c r="CA2" s="8">
        <f t="shared" ca="1" si="3"/>
        <v>8937</v>
      </c>
      <c r="CB2" s="8">
        <f t="shared" ca="1" si="3"/>
        <v>9093</v>
      </c>
      <c r="CC2" s="8">
        <f t="shared" ca="1" si="3"/>
        <v>10006</v>
      </c>
      <c r="CD2" s="8">
        <f t="shared" ca="1" si="3"/>
        <v>11176</v>
      </c>
      <c r="CE2" s="8">
        <f t="shared" ca="1" si="3"/>
        <v>9823</v>
      </c>
      <c r="CF2" s="8">
        <f t="shared" ca="1" si="3"/>
        <v>9557</v>
      </c>
      <c r="CG2" s="8">
        <f t="shared" ca="1" si="3"/>
        <v>10387</v>
      </c>
      <c r="CH2" s="8">
        <f t="shared" ca="1" si="3"/>
        <v>9291</v>
      </c>
      <c r="CI2" s="8">
        <f ca="1">INDIRECT("LongBoards!F" &amp; (COLUMN()-42)*3+3)</f>
        <v>7951</v>
      </c>
      <c r="CJ2" s="8">
        <f t="shared" ca="1" si="3"/>
        <v>10988</v>
      </c>
      <c r="CK2" s="8">
        <f t="shared" ca="1" si="3"/>
        <v>8984</v>
      </c>
      <c r="CL2" s="8">
        <f t="shared" ca="1" si="3"/>
        <v>9230</v>
      </c>
      <c r="CM2" s="8">
        <f t="shared" ca="1" si="3"/>
        <v>12178</v>
      </c>
      <c r="CN2" s="8">
        <f t="shared" ca="1" si="3"/>
        <v>7891</v>
      </c>
      <c r="CO2" s="8">
        <f ca="1">INDIRECT("LongBoards!F" &amp; (COLUMN()-42)*3+3)</f>
        <v>6243</v>
      </c>
      <c r="CP2" s="8">
        <f t="shared" ca="1" si="3"/>
        <v>7657</v>
      </c>
      <c r="CQ2" s="8">
        <f t="shared" ca="1" si="3"/>
        <v>7458</v>
      </c>
      <c r="CR2" s="8">
        <f t="shared" ca="1" si="3"/>
        <v>7400</v>
      </c>
      <c r="CS2" s="8">
        <f t="shared" ca="1" si="3"/>
        <v>8321</v>
      </c>
      <c r="CT2" s="8">
        <f t="shared" ca="1" si="3"/>
        <v>9427</v>
      </c>
      <c r="CU2" s="8">
        <f t="shared" ca="1" si="3"/>
        <v>7834</v>
      </c>
      <c r="CV2" s="8">
        <f t="shared" ca="1" si="3"/>
        <v>8601</v>
      </c>
      <c r="CW2" s="8">
        <f t="shared" ca="1" si="3"/>
        <v>12112</v>
      </c>
      <c r="CX2" s="8">
        <f t="shared" ca="1" si="3"/>
        <v>10832</v>
      </c>
      <c r="CY2" s="8">
        <f t="shared" ca="1" si="3"/>
        <v>10881</v>
      </c>
      <c r="CZ2" s="8">
        <f t="shared" ca="1" si="3"/>
        <v>9672</v>
      </c>
      <c r="DA2" s="8">
        <f t="shared" ca="1" si="3"/>
        <v>9323</v>
      </c>
      <c r="DB2" s="8">
        <f t="shared" ca="1" si="3"/>
        <v>8537</v>
      </c>
      <c r="DC2" s="8">
        <f t="shared" ca="1" si="3"/>
        <v>11279</v>
      </c>
      <c r="DD2" s="8">
        <f t="shared" ca="1" si="3"/>
        <v>7077</v>
      </c>
      <c r="DE2" s="8">
        <f t="shared" ca="1" si="3"/>
        <v>10537</v>
      </c>
      <c r="DF2" s="8">
        <f t="shared" ca="1" si="3"/>
        <v>11058</v>
      </c>
      <c r="DG2" s="8">
        <f t="shared" ca="1" si="3"/>
        <v>10303</v>
      </c>
      <c r="DH2" s="8">
        <f t="shared" ca="1" si="3"/>
        <v>11341</v>
      </c>
      <c r="DI2" s="8">
        <f t="shared" ca="1" si="3"/>
        <v>7345</v>
      </c>
      <c r="DJ2" s="8">
        <f t="shared" ca="1" si="3"/>
        <v>8150</v>
      </c>
      <c r="DK2" s="8">
        <f t="shared" ca="1" si="3"/>
        <v>9731</v>
      </c>
      <c r="DL2" s="8">
        <f t="shared" ca="1" si="3"/>
        <v>10408</v>
      </c>
      <c r="DM2" s="8">
        <f t="shared" ca="1" si="3"/>
        <v>7899</v>
      </c>
      <c r="DN2" s="8">
        <f t="shared" ca="1" si="3"/>
        <v>8884</v>
      </c>
      <c r="DO2" s="8">
        <f t="shared" ca="1" si="3"/>
        <v>8784</v>
      </c>
      <c r="DP2" s="8">
        <f t="shared" ca="1" si="3"/>
        <v>11897</v>
      </c>
      <c r="DQ2" s="8">
        <f t="shared" ca="1" si="3"/>
        <v>11217</v>
      </c>
      <c r="DR2" s="8">
        <f t="shared" ca="1" si="3"/>
        <v>0</v>
      </c>
      <c r="DS2" s="8">
        <f t="shared" ca="1" si="3"/>
        <v>0</v>
      </c>
      <c r="DT2" s="8">
        <f t="shared" ca="1" si="3"/>
        <v>0</v>
      </c>
      <c r="DU2" s="8">
        <f t="shared" ca="1" si="3"/>
        <v>0</v>
      </c>
    </row>
    <row r="3" spans="1:125" ht="15.75">
      <c r="A3" s="68">
        <v>750</v>
      </c>
      <c r="B3" s="16">
        <f t="shared" ref="B3:AO3" ca="1" si="4">INDIRECT("Main!G" &amp; (COLUMN()-2)*3+3)</f>
        <v>13167</v>
      </c>
      <c r="C3" s="8">
        <f t="shared" ca="1" si="4"/>
        <v>17951</v>
      </c>
      <c r="D3" s="8">
        <f t="shared" ca="1" si="4"/>
        <v>13642</v>
      </c>
      <c r="E3" s="8">
        <f t="shared" ca="1" si="4"/>
        <v>11726</v>
      </c>
      <c r="F3" s="17">
        <f t="shared" ca="1" si="4"/>
        <v>15497</v>
      </c>
      <c r="G3" s="16">
        <f t="shared" ca="1" si="4"/>
        <v>13262</v>
      </c>
      <c r="H3" s="8">
        <f t="shared" ca="1" si="4"/>
        <v>9933</v>
      </c>
      <c r="I3" s="8">
        <f t="shared" ca="1" si="4"/>
        <v>11749</v>
      </c>
      <c r="J3" s="8">
        <f t="shared" ca="1" si="4"/>
        <v>17879</v>
      </c>
      <c r="K3" s="17">
        <f t="shared" ca="1" si="4"/>
        <v>12427</v>
      </c>
      <c r="L3" s="16">
        <f t="shared" ca="1" si="4"/>
        <v>20211</v>
      </c>
      <c r="M3" s="8">
        <f t="shared" ca="1" si="4"/>
        <v>11328</v>
      </c>
      <c r="N3" s="8">
        <f t="shared" ca="1" si="4"/>
        <v>9231</v>
      </c>
      <c r="O3" s="8">
        <f t="shared" ca="1" si="4"/>
        <v>12193</v>
      </c>
      <c r="P3" s="17">
        <f t="shared" ca="1" si="4"/>
        <v>14338</v>
      </c>
      <c r="Q3" s="16">
        <f t="shared" ca="1" si="4"/>
        <v>11963</v>
      </c>
      <c r="R3" s="8">
        <f t="shared" ca="1" si="4"/>
        <v>12714</v>
      </c>
      <c r="S3" s="8">
        <f t="shared" ca="1" si="4"/>
        <v>10168</v>
      </c>
      <c r="T3" s="8">
        <f t="shared" ca="1" si="4"/>
        <v>10729</v>
      </c>
      <c r="U3" s="17">
        <f t="shared" ca="1" si="4"/>
        <v>13249</v>
      </c>
      <c r="V3" s="16">
        <f t="shared" ca="1" si="4"/>
        <v>11050</v>
      </c>
      <c r="W3" s="8">
        <f t="shared" ca="1" si="4"/>
        <v>11151</v>
      </c>
      <c r="X3" s="8">
        <f t="shared" ca="1" si="4"/>
        <v>14041</v>
      </c>
      <c r="Y3" s="8">
        <f t="shared" ca="1" si="4"/>
        <v>16821</v>
      </c>
      <c r="Z3" s="17">
        <f t="shared" ca="1" si="4"/>
        <v>12828</v>
      </c>
      <c r="AA3" s="16">
        <f t="shared" ca="1" si="4"/>
        <v>11436</v>
      </c>
      <c r="AB3" s="8">
        <f t="shared" ca="1" si="4"/>
        <v>11970</v>
      </c>
      <c r="AC3" s="8">
        <f t="shared" ca="1" si="4"/>
        <v>8071</v>
      </c>
      <c r="AD3" s="8">
        <f t="shared" ca="1" si="4"/>
        <v>14459</v>
      </c>
      <c r="AE3" s="17">
        <f t="shared" ca="1" si="4"/>
        <v>19139</v>
      </c>
      <c r="AF3" s="16">
        <f t="shared" ca="1" si="4"/>
        <v>13753</v>
      </c>
      <c r="AG3" s="8">
        <f t="shared" ca="1" si="4"/>
        <v>11973</v>
      </c>
      <c r="AH3" s="8">
        <f t="shared" ca="1" si="4"/>
        <v>10964</v>
      </c>
      <c r="AI3" s="8">
        <f t="shared" ca="1" si="4"/>
        <v>10626</v>
      </c>
      <c r="AJ3" s="17">
        <f t="shared" ca="1" si="4"/>
        <v>10501</v>
      </c>
      <c r="AK3" s="16">
        <f t="shared" ca="1" si="4"/>
        <v>11611</v>
      </c>
      <c r="AL3" s="8">
        <f t="shared" ca="1" si="4"/>
        <v>13735</v>
      </c>
      <c r="AM3" s="8">
        <f t="shared" ca="1" si="4"/>
        <v>14102</v>
      </c>
      <c r="AN3" s="8">
        <f t="shared" ca="1" si="4"/>
        <v>15661</v>
      </c>
      <c r="AO3" s="17">
        <f t="shared" ca="1" si="4"/>
        <v>12589</v>
      </c>
      <c r="AP3" s="8">
        <f t="shared" ref="AP3:DU3" ca="1" si="5">INDIRECT("LongBoards!G" &amp; (COLUMN()-42)*3+3)</f>
        <v>13677</v>
      </c>
      <c r="AQ3" s="8">
        <f t="shared" ca="1" si="5"/>
        <v>16772</v>
      </c>
      <c r="AR3" s="8">
        <f t="shared" ca="1" si="5"/>
        <v>14467</v>
      </c>
      <c r="AS3" s="8">
        <f t="shared" ca="1" si="5"/>
        <v>18114</v>
      </c>
      <c r="AT3" s="8">
        <f t="shared" ca="1" si="5"/>
        <v>13304</v>
      </c>
      <c r="AU3" s="8">
        <f t="shared" ca="1" si="5"/>
        <v>14992</v>
      </c>
      <c r="AV3" s="181">
        <f t="shared" ca="1" si="5"/>
        <v>17965</v>
      </c>
      <c r="AW3" s="8">
        <f t="shared" ca="1" si="5"/>
        <v>12958</v>
      </c>
      <c r="AX3" s="8">
        <f t="shared" ca="1" si="5"/>
        <v>16940</v>
      </c>
      <c r="AY3" s="8">
        <f t="shared" ca="1" si="5"/>
        <v>15681</v>
      </c>
      <c r="AZ3" s="8">
        <f t="shared" ca="1" si="5"/>
        <v>15479</v>
      </c>
      <c r="BA3" s="8">
        <f t="shared" ca="1" si="5"/>
        <v>10078</v>
      </c>
      <c r="BB3" s="8">
        <f t="shared" ca="1" si="5"/>
        <v>12020</v>
      </c>
      <c r="BC3" s="8">
        <f t="shared" ca="1" si="5"/>
        <v>13165</v>
      </c>
      <c r="BD3" s="8">
        <f t="shared" ca="1" si="5"/>
        <v>11977</v>
      </c>
      <c r="BE3" s="8">
        <f t="shared" ca="1" si="5"/>
        <v>12327</v>
      </c>
      <c r="BF3" s="8">
        <f t="shared" ca="1" si="5"/>
        <v>10385</v>
      </c>
      <c r="BG3" s="8">
        <f t="shared" ca="1" si="5"/>
        <v>12247</v>
      </c>
      <c r="BH3" s="8">
        <f t="shared" ca="1" si="5"/>
        <v>16207</v>
      </c>
      <c r="BI3" s="8">
        <f t="shared" ca="1" si="5"/>
        <v>15653</v>
      </c>
      <c r="BJ3" s="8">
        <f t="shared" ca="1" si="5"/>
        <v>14876</v>
      </c>
      <c r="BK3" s="8">
        <f t="shared" ca="1" si="5"/>
        <v>14391</v>
      </c>
      <c r="BL3" s="8">
        <f t="shared" ca="1" si="5"/>
        <v>12512</v>
      </c>
      <c r="BM3" s="8">
        <f t="shared" ca="1" si="5"/>
        <v>11715</v>
      </c>
      <c r="BN3" s="8">
        <f t="shared" ca="1" si="5"/>
        <v>12653</v>
      </c>
      <c r="BO3" s="8">
        <f t="shared" ca="1" si="5"/>
        <v>13843</v>
      </c>
      <c r="BP3" s="8">
        <f t="shared" ca="1" si="5"/>
        <v>12773</v>
      </c>
      <c r="BQ3" s="8">
        <f t="shared" ca="1" si="5"/>
        <v>9807</v>
      </c>
      <c r="BR3" s="8">
        <f t="shared" ca="1" si="5"/>
        <v>13828</v>
      </c>
      <c r="BS3" s="8">
        <f t="shared" ca="1" si="5"/>
        <v>10680</v>
      </c>
      <c r="BT3" s="8">
        <f t="shared" ca="1" si="5"/>
        <v>13073</v>
      </c>
      <c r="BU3" s="8">
        <f t="shared" ca="1" si="5"/>
        <v>13445</v>
      </c>
      <c r="BV3" s="8">
        <f t="shared" ca="1" si="5"/>
        <v>11419</v>
      </c>
      <c r="BW3" s="8">
        <f t="shared" ca="1" si="5"/>
        <v>13080</v>
      </c>
      <c r="BX3" s="8">
        <f t="shared" ca="1" si="5"/>
        <v>13094</v>
      </c>
      <c r="BY3" s="8">
        <f t="shared" ca="1" si="5"/>
        <v>11594</v>
      </c>
      <c r="BZ3" s="8">
        <f t="shared" ca="1" si="5"/>
        <v>15521</v>
      </c>
      <c r="CA3" s="8">
        <f t="shared" ca="1" si="5"/>
        <v>12726</v>
      </c>
      <c r="CB3" s="8">
        <f t="shared" ca="1" si="5"/>
        <v>12782</v>
      </c>
      <c r="CC3" s="8">
        <f t="shared" ca="1" si="5"/>
        <v>13613</v>
      </c>
      <c r="CD3" s="8">
        <f t="shared" ca="1" si="5"/>
        <v>16003</v>
      </c>
      <c r="CE3" s="8">
        <f t="shared" ca="1" si="5"/>
        <v>13813</v>
      </c>
      <c r="CF3" s="8">
        <f t="shared" ca="1" si="5"/>
        <v>13377</v>
      </c>
      <c r="CG3" s="8">
        <f t="shared" ca="1" si="5"/>
        <v>14223</v>
      </c>
      <c r="CH3" s="8">
        <f t="shared" ca="1" si="5"/>
        <v>12755</v>
      </c>
      <c r="CI3" s="8">
        <f t="shared" ca="1" si="5"/>
        <v>10899</v>
      </c>
      <c r="CJ3" s="8">
        <f t="shared" ca="1" si="5"/>
        <v>15120</v>
      </c>
      <c r="CK3" s="8">
        <f t="shared" ca="1" si="5"/>
        <v>12850</v>
      </c>
      <c r="CL3" s="8">
        <f t="shared" ca="1" si="5"/>
        <v>13224</v>
      </c>
      <c r="CM3" s="8">
        <f t="shared" ca="1" si="5"/>
        <v>17317</v>
      </c>
      <c r="CN3" s="8">
        <f t="shared" ca="1" si="5"/>
        <v>11258</v>
      </c>
      <c r="CO3" s="8">
        <f t="shared" ca="1" si="5"/>
        <v>8972</v>
      </c>
      <c r="CP3" s="8">
        <f t="shared" ca="1" si="5"/>
        <v>10879</v>
      </c>
      <c r="CQ3" s="8">
        <f t="shared" ca="1" si="5"/>
        <v>10515</v>
      </c>
      <c r="CR3" s="8">
        <f t="shared" ca="1" si="5"/>
        <v>10385</v>
      </c>
      <c r="CS3" s="8">
        <f t="shared" ca="1" si="5"/>
        <v>11519</v>
      </c>
      <c r="CT3" s="8">
        <f t="shared" ca="1" si="5"/>
        <v>12579</v>
      </c>
      <c r="CU3" s="8">
        <f t="shared" ca="1" si="5"/>
        <v>11047</v>
      </c>
      <c r="CV3" s="8">
        <f t="shared" ca="1" si="5"/>
        <v>11960</v>
      </c>
      <c r="CW3" s="8">
        <f t="shared" ca="1" si="5"/>
        <v>16861</v>
      </c>
      <c r="CX3" s="8">
        <f t="shared" ca="1" si="5"/>
        <v>14616</v>
      </c>
      <c r="CY3" s="8">
        <f t="shared" ca="1" si="5"/>
        <v>15034</v>
      </c>
      <c r="CZ3" s="8">
        <f t="shared" ca="1" si="5"/>
        <v>13467</v>
      </c>
      <c r="DA3" s="8">
        <f t="shared" ca="1" si="5"/>
        <v>12501</v>
      </c>
      <c r="DB3" s="8">
        <f t="shared" ca="1" si="5"/>
        <v>11346</v>
      </c>
      <c r="DC3" s="8">
        <f t="shared" ca="1" si="5"/>
        <v>15121</v>
      </c>
      <c r="DD3" s="8">
        <f t="shared" ca="1" si="5"/>
        <v>9937</v>
      </c>
      <c r="DE3" s="8">
        <f t="shared" ca="1" si="5"/>
        <v>14109</v>
      </c>
      <c r="DF3" s="8">
        <f t="shared" ca="1" si="5"/>
        <v>14904</v>
      </c>
      <c r="DG3" s="8">
        <f t="shared" ca="1" si="5"/>
        <v>14608</v>
      </c>
      <c r="DH3" s="8">
        <f t="shared" ca="1" si="5"/>
        <v>15635</v>
      </c>
      <c r="DI3" s="8">
        <f t="shared" ca="1" si="5"/>
        <v>10408</v>
      </c>
      <c r="DJ3" s="8">
        <f t="shared" ca="1" si="5"/>
        <v>11605</v>
      </c>
      <c r="DK3" s="8">
        <f t="shared" ca="1" si="5"/>
        <v>13188</v>
      </c>
      <c r="DL3" s="8">
        <f t="shared" ca="1" si="5"/>
        <v>13860</v>
      </c>
      <c r="DM3" s="8">
        <f t="shared" ca="1" si="5"/>
        <v>10796</v>
      </c>
      <c r="DN3" s="8">
        <f t="shared" ca="1" si="5"/>
        <v>12238</v>
      </c>
      <c r="DO3" s="8">
        <f t="shared" ca="1" si="5"/>
        <v>12143</v>
      </c>
      <c r="DP3" s="8">
        <f t="shared" ca="1" si="5"/>
        <v>16764</v>
      </c>
      <c r="DQ3" s="8">
        <f t="shared" ca="1" si="5"/>
        <v>15645</v>
      </c>
      <c r="DR3" s="8">
        <f t="shared" ca="1" si="5"/>
        <v>0</v>
      </c>
      <c r="DS3" s="8">
        <f t="shared" ca="1" si="5"/>
        <v>0</v>
      </c>
      <c r="DT3" s="8">
        <f t="shared" ca="1" si="5"/>
        <v>0</v>
      </c>
      <c r="DU3" s="8">
        <f t="shared" ca="1" si="5"/>
        <v>0</v>
      </c>
    </row>
    <row r="4" spans="1:125" ht="15.75">
      <c r="A4" s="68">
        <v>775</v>
      </c>
      <c r="B4" s="16">
        <f t="shared" ref="B4:AO4" ca="1" si="6">INDIRECT("Main!H" &amp; (COLUMN()-2)*3+3)</f>
        <v>15445</v>
      </c>
      <c r="C4" s="8">
        <f t="shared" ca="1" si="6"/>
        <v>20644</v>
      </c>
      <c r="D4" s="8">
        <f t="shared" ca="1" si="6"/>
        <v>15939</v>
      </c>
      <c r="E4" s="8">
        <f t="shared" ca="1" si="6"/>
        <v>13857</v>
      </c>
      <c r="F4" s="17">
        <f t="shared" ca="1" si="6"/>
        <v>18265</v>
      </c>
      <c r="G4" s="16">
        <f t="shared" ca="1" si="6"/>
        <v>15590</v>
      </c>
      <c r="H4" s="8">
        <f t="shared" ca="1" si="6"/>
        <v>11703</v>
      </c>
      <c r="I4" s="8">
        <f t="shared" ca="1" si="6"/>
        <v>13860</v>
      </c>
      <c r="J4" s="8">
        <f t="shared" ca="1" si="6"/>
        <v>20827</v>
      </c>
      <c r="K4" s="17">
        <f t="shared" ca="1" si="6"/>
        <v>14652</v>
      </c>
      <c r="L4" s="16">
        <f t="shared" ca="1" si="6"/>
        <v>23099</v>
      </c>
      <c r="M4" s="8">
        <f t="shared" ca="1" si="6"/>
        <v>13365</v>
      </c>
      <c r="N4" s="8">
        <f t="shared" ca="1" si="6"/>
        <v>10675</v>
      </c>
      <c r="O4" s="8">
        <f t="shared" ca="1" si="6"/>
        <v>14332</v>
      </c>
      <c r="P4" s="17">
        <f t="shared" ca="1" si="6"/>
        <v>16332</v>
      </c>
      <c r="Q4" s="16">
        <f t="shared" ca="1" si="6"/>
        <v>14067</v>
      </c>
      <c r="R4" s="8">
        <f t="shared" ca="1" si="6"/>
        <v>14585</v>
      </c>
      <c r="S4" s="8">
        <f t="shared" ca="1" si="6"/>
        <v>11769</v>
      </c>
      <c r="T4" s="8">
        <f t="shared" ca="1" si="6"/>
        <v>12441</v>
      </c>
      <c r="U4" s="17">
        <f t="shared" ca="1" si="6"/>
        <v>15208</v>
      </c>
      <c r="V4" s="16">
        <f t="shared" ca="1" si="6"/>
        <v>12839</v>
      </c>
      <c r="W4" s="8">
        <f t="shared" ca="1" si="6"/>
        <v>13202</v>
      </c>
      <c r="X4" s="8">
        <f t="shared" ca="1" si="6"/>
        <v>16668</v>
      </c>
      <c r="Y4" s="8">
        <f t="shared" ca="1" si="6"/>
        <v>19893</v>
      </c>
      <c r="Z4" s="17">
        <f t="shared" ca="1" si="6"/>
        <v>15112</v>
      </c>
      <c r="AA4" s="16">
        <f t="shared" ca="1" si="6"/>
        <v>13260</v>
      </c>
      <c r="AB4" s="8">
        <f t="shared" ca="1" si="6"/>
        <v>13881</v>
      </c>
      <c r="AC4" s="8">
        <f t="shared" ca="1" si="6"/>
        <v>9503</v>
      </c>
      <c r="AD4" s="8">
        <f t="shared" ca="1" si="6"/>
        <v>17188</v>
      </c>
      <c r="AE4" s="17">
        <f t="shared" ca="1" si="6"/>
        <v>22770</v>
      </c>
      <c r="AF4" s="16">
        <f t="shared" ca="1" si="6"/>
        <v>16045</v>
      </c>
      <c r="AG4" s="8">
        <f t="shared" ca="1" si="6"/>
        <v>13705</v>
      </c>
      <c r="AH4" s="8">
        <f t="shared" ca="1" si="6"/>
        <v>12835</v>
      </c>
      <c r="AI4" s="8">
        <f t="shared" ca="1" si="6"/>
        <v>12477</v>
      </c>
      <c r="AJ4" s="17">
        <f t="shared" ca="1" si="6"/>
        <v>12290</v>
      </c>
      <c r="AK4" s="16">
        <f t="shared" ca="1" si="6"/>
        <v>13695</v>
      </c>
      <c r="AL4" s="8">
        <f t="shared" ca="1" si="6"/>
        <v>16230</v>
      </c>
      <c r="AM4" s="8">
        <f t="shared" ca="1" si="6"/>
        <v>16739</v>
      </c>
      <c r="AN4" s="8">
        <f t="shared" ca="1" si="6"/>
        <v>18025</v>
      </c>
      <c r="AO4" s="17">
        <f t="shared" ca="1" si="6"/>
        <v>14875</v>
      </c>
      <c r="AP4" s="8">
        <f t="shared" ref="AP4:DU4" ca="1" si="7">INDIRECT("LongBoards!H" &amp; (COLUMN()-42)*3+3)</f>
        <v>16076</v>
      </c>
      <c r="AQ4" s="8">
        <f t="shared" ca="1" si="7"/>
        <v>19263</v>
      </c>
      <c r="AR4" s="8">
        <f t="shared" ca="1" si="7"/>
        <v>16678</v>
      </c>
      <c r="AS4" s="8">
        <f t="shared" ca="1" si="7"/>
        <v>21729</v>
      </c>
      <c r="AT4" s="8">
        <f t="shared" ca="1" si="7"/>
        <v>15430</v>
      </c>
      <c r="AU4" s="8">
        <f t="shared" ca="1" si="7"/>
        <v>17784</v>
      </c>
      <c r="AV4" s="181">
        <f t="shared" ca="1" si="7"/>
        <v>20892</v>
      </c>
      <c r="AW4" s="8">
        <f t="shared" ca="1" si="7"/>
        <v>15326</v>
      </c>
      <c r="AX4" s="8">
        <f t="shared" ca="1" si="7"/>
        <v>19500</v>
      </c>
      <c r="AY4" s="8">
        <f t="shared" ca="1" si="7"/>
        <v>18182</v>
      </c>
      <c r="AZ4" s="8">
        <f t="shared" ca="1" si="7"/>
        <v>17988</v>
      </c>
      <c r="BA4" s="8">
        <f t="shared" ca="1" si="7"/>
        <v>11916</v>
      </c>
      <c r="BB4" s="8">
        <f t="shared" ca="1" si="7"/>
        <v>14222</v>
      </c>
      <c r="BC4" s="8">
        <f t="shared" ca="1" si="7"/>
        <v>15659</v>
      </c>
      <c r="BD4" s="8">
        <f t="shared" ca="1" si="7"/>
        <v>13979</v>
      </c>
      <c r="BE4" s="8">
        <f t="shared" ca="1" si="7"/>
        <v>14271</v>
      </c>
      <c r="BF4" s="8">
        <f t="shared" ca="1" si="7"/>
        <v>12439</v>
      </c>
      <c r="BG4" s="8">
        <f t="shared" ca="1" si="7"/>
        <v>14191</v>
      </c>
      <c r="BH4" s="8">
        <f t="shared" ca="1" si="7"/>
        <v>18861</v>
      </c>
      <c r="BI4" s="8">
        <f t="shared" ca="1" si="7"/>
        <v>18076</v>
      </c>
      <c r="BJ4" s="8">
        <f t="shared" ca="1" si="7"/>
        <v>17380</v>
      </c>
      <c r="BK4" s="8">
        <f t="shared" ca="1" si="7"/>
        <v>17146</v>
      </c>
      <c r="BL4" s="8">
        <f t="shared" ca="1" si="7"/>
        <v>14615</v>
      </c>
      <c r="BM4" s="8">
        <f t="shared" ca="1" si="7"/>
        <v>13550</v>
      </c>
      <c r="BN4" s="8">
        <f t="shared" ca="1" si="7"/>
        <v>14698</v>
      </c>
      <c r="BO4" s="8">
        <f t="shared" ca="1" si="7"/>
        <v>16038</v>
      </c>
      <c r="BP4" s="8">
        <f t="shared" ca="1" si="7"/>
        <v>14000</v>
      </c>
      <c r="BQ4" s="8">
        <f t="shared" ca="1" si="7"/>
        <v>11572</v>
      </c>
      <c r="BR4" s="8">
        <f t="shared" ca="1" si="7"/>
        <v>16380</v>
      </c>
      <c r="BS4" s="8">
        <f t="shared" ca="1" si="7"/>
        <v>12675</v>
      </c>
      <c r="BT4" s="8">
        <f t="shared" ca="1" si="7"/>
        <v>15454</v>
      </c>
      <c r="BU4" s="8">
        <f t="shared" ca="1" si="7"/>
        <v>15899</v>
      </c>
      <c r="BV4" s="8">
        <f t="shared" ca="1" si="7"/>
        <v>13474</v>
      </c>
      <c r="BW4" s="8">
        <f t="shared" ca="1" si="7"/>
        <v>14940</v>
      </c>
      <c r="BX4" s="8">
        <f t="shared" ca="1" si="7"/>
        <v>15282</v>
      </c>
      <c r="BY4" s="8">
        <f t="shared" ca="1" si="7"/>
        <v>13607</v>
      </c>
      <c r="BZ4" s="8">
        <f t="shared" ca="1" si="7"/>
        <v>18002</v>
      </c>
      <c r="CA4" s="8">
        <f t="shared" ca="1" si="7"/>
        <v>15018</v>
      </c>
      <c r="CB4" s="8">
        <f t="shared" ca="1" si="7"/>
        <v>14946</v>
      </c>
      <c r="CC4" s="8">
        <f t="shared" ca="1" si="7"/>
        <v>16658</v>
      </c>
      <c r="CD4" s="8">
        <f t="shared" ca="1" si="7"/>
        <v>18933</v>
      </c>
      <c r="CE4" s="8">
        <f t="shared" ca="1" si="7"/>
        <v>16184</v>
      </c>
      <c r="CF4" s="8">
        <f t="shared" ca="1" si="7"/>
        <v>15672</v>
      </c>
      <c r="CG4" s="8">
        <f t="shared" ca="1" si="7"/>
        <v>16458</v>
      </c>
      <c r="CH4" s="8">
        <f t="shared" ca="1" si="7"/>
        <v>14771</v>
      </c>
      <c r="CI4" s="8">
        <f t="shared" ca="1" si="7"/>
        <v>12618</v>
      </c>
      <c r="CJ4" s="8">
        <f t="shared" ca="1" si="7"/>
        <v>17545</v>
      </c>
      <c r="CK4" s="8">
        <f t="shared" ca="1" si="7"/>
        <v>15182</v>
      </c>
      <c r="CL4" s="8">
        <f t="shared" ca="1" si="7"/>
        <v>15677</v>
      </c>
      <c r="CM4" s="8">
        <f t="shared" ca="1" si="7"/>
        <v>20503</v>
      </c>
      <c r="CN4" s="8">
        <f t="shared" ca="1" si="7"/>
        <v>13300</v>
      </c>
      <c r="CO4" s="8">
        <f t="shared" ca="1" si="7"/>
        <v>10645</v>
      </c>
      <c r="CP4" s="8">
        <f t="shared" ca="1" si="7"/>
        <v>12800</v>
      </c>
      <c r="CQ4" s="8">
        <f t="shared" ca="1" si="7"/>
        <v>12357</v>
      </c>
      <c r="CR4" s="8">
        <f t="shared" ca="1" si="7"/>
        <v>12174</v>
      </c>
      <c r="CS4" s="8">
        <f t="shared" ca="1" si="7"/>
        <v>13416</v>
      </c>
      <c r="CT4" s="8">
        <f t="shared" ca="1" si="7"/>
        <v>14368</v>
      </c>
      <c r="CU4" s="8">
        <f t="shared" ca="1" si="7"/>
        <v>12973</v>
      </c>
      <c r="CV4" s="8">
        <f t="shared" ca="1" si="7"/>
        <v>13941</v>
      </c>
      <c r="CW4" s="8">
        <f t="shared" ca="1" si="7"/>
        <v>19638</v>
      </c>
      <c r="CX4" s="8">
        <f t="shared" ca="1" si="7"/>
        <v>16798</v>
      </c>
      <c r="CY4" s="8">
        <f t="shared" ca="1" si="7"/>
        <v>17498</v>
      </c>
      <c r="CZ4" s="8">
        <f t="shared" ca="1" si="7"/>
        <v>15743</v>
      </c>
      <c r="DA4" s="8">
        <f t="shared" ca="1" si="7"/>
        <v>14348</v>
      </c>
      <c r="DB4" s="8">
        <f t="shared" ca="1" si="7"/>
        <v>13027</v>
      </c>
      <c r="DC4" s="8">
        <f t="shared" ca="1" si="7"/>
        <v>17273</v>
      </c>
      <c r="DD4" s="8">
        <f t="shared" ca="1" si="7"/>
        <v>11615</v>
      </c>
      <c r="DE4" s="8">
        <f t="shared" ca="1" si="7"/>
        <v>16130</v>
      </c>
      <c r="DF4" s="8">
        <f t="shared" ca="1" si="7"/>
        <v>17110</v>
      </c>
      <c r="DG4" s="8">
        <f t="shared" ca="1" si="7"/>
        <v>17194</v>
      </c>
      <c r="DH4" s="8">
        <f t="shared" ca="1" si="7"/>
        <v>18084</v>
      </c>
      <c r="DI4" s="8">
        <f t="shared" ca="1" si="7"/>
        <v>12261</v>
      </c>
      <c r="DJ4" s="8">
        <f t="shared" ca="1" si="7"/>
        <v>13709</v>
      </c>
      <c r="DK4" s="8">
        <f t="shared" ca="1" si="7"/>
        <v>15159</v>
      </c>
      <c r="DL4" s="8">
        <f t="shared" ca="1" si="7"/>
        <v>15867</v>
      </c>
      <c r="DM4" s="8">
        <f t="shared" ca="1" si="7"/>
        <v>12521</v>
      </c>
      <c r="DN4" s="8">
        <f t="shared" ca="1" si="7"/>
        <v>14190</v>
      </c>
      <c r="DO4" s="8">
        <f t="shared" ca="1" si="7"/>
        <v>14121</v>
      </c>
      <c r="DP4" s="8">
        <f t="shared" ca="1" si="7"/>
        <v>19636</v>
      </c>
      <c r="DQ4" s="8">
        <f t="shared" ca="1" si="7"/>
        <v>18287</v>
      </c>
      <c r="DR4" s="8">
        <f t="shared" ca="1" si="7"/>
        <v>0</v>
      </c>
      <c r="DS4" s="8">
        <f t="shared" ca="1" si="7"/>
        <v>0</v>
      </c>
      <c r="DT4" s="8">
        <f t="shared" ca="1" si="7"/>
        <v>0</v>
      </c>
      <c r="DU4" s="8">
        <f t="shared" ca="1" si="7"/>
        <v>0</v>
      </c>
    </row>
    <row r="5" spans="1:125" ht="15.75">
      <c r="A5" s="68">
        <v>800</v>
      </c>
      <c r="B5" s="16">
        <f t="shared" ref="B5:AO5" ca="1" si="8">INDIRECT("Main!I" &amp; (COLUMN()-2)*3+3)</f>
        <v>18005</v>
      </c>
      <c r="C5" s="8">
        <f t="shared" ca="1" si="8"/>
        <v>23539</v>
      </c>
      <c r="D5" s="8">
        <f t="shared" ca="1" si="8"/>
        <v>18537</v>
      </c>
      <c r="E5" s="8">
        <f t="shared" ca="1" si="8"/>
        <v>16276</v>
      </c>
      <c r="F5" s="17">
        <f t="shared" ca="1" si="8"/>
        <v>21306</v>
      </c>
      <c r="G5" s="16">
        <f t="shared" ca="1" si="8"/>
        <v>18223</v>
      </c>
      <c r="H5" s="8">
        <f t="shared" ca="1" si="8"/>
        <v>13712</v>
      </c>
      <c r="I5" s="8">
        <f t="shared" ca="1" si="8"/>
        <v>16272</v>
      </c>
      <c r="J5" s="8">
        <f t="shared" ca="1" si="8"/>
        <v>24079</v>
      </c>
      <c r="K5" s="17">
        <f t="shared" ca="1" si="8"/>
        <v>17305</v>
      </c>
      <c r="L5" s="16">
        <f t="shared" ca="1" si="8"/>
        <v>26152</v>
      </c>
      <c r="M5" s="8">
        <f t="shared" ca="1" si="8"/>
        <v>15664</v>
      </c>
      <c r="N5" s="8">
        <f t="shared" ca="1" si="8"/>
        <v>12279</v>
      </c>
      <c r="O5" s="8">
        <f t="shared" ca="1" si="8"/>
        <v>16723</v>
      </c>
      <c r="P5" s="17">
        <f t="shared" ca="1" si="8"/>
        <v>18455</v>
      </c>
      <c r="Q5" s="16">
        <f t="shared" ca="1" si="8"/>
        <v>16463</v>
      </c>
      <c r="R5" s="8">
        <f t="shared" ca="1" si="8"/>
        <v>16626</v>
      </c>
      <c r="S5" s="8">
        <f t="shared" ca="1" si="8"/>
        <v>13511</v>
      </c>
      <c r="T5" s="8">
        <f t="shared" ca="1" si="8"/>
        <v>14322</v>
      </c>
      <c r="U5" s="17">
        <f t="shared" ca="1" si="8"/>
        <v>17357</v>
      </c>
      <c r="V5" s="16">
        <f t="shared" ca="1" si="8"/>
        <v>14830</v>
      </c>
      <c r="W5" s="8">
        <f t="shared" ca="1" si="8"/>
        <v>15532</v>
      </c>
      <c r="X5" s="8">
        <f t="shared" ca="1" si="8"/>
        <v>19649</v>
      </c>
      <c r="Y5" s="8">
        <f t="shared" ca="1" si="8"/>
        <v>23329</v>
      </c>
      <c r="Z5" s="17">
        <f t="shared" ca="1" si="8"/>
        <v>17642</v>
      </c>
      <c r="AA5" s="16">
        <f t="shared" ca="1" si="8"/>
        <v>15297</v>
      </c>
      <c r="AB5" s="8">
        <f t="shared" ca="1" si="8"/>
        <v>16009</v>
      </c>
      <c r="AC5" s="8">
        <f t="shared" ca="1" si="8"/>
        <v>11129</v>
      </c>
      <c r="AD5" s="8">
        <f t="shared" ca="1" si="8"/>
        <v>20330</v>
      </c>
      <c r="AE5" s="17">
        <f t="shared" ca="1" si="8"/>
        <v>27965</v>
      </c>
      <c r="AF5" s="16">
        <f t="shared" ca="1" si="8"/>
        <v>19624</v>
      </c>
      <c r="AG5" s="8">
        <f t="shared" ca="1" si="8"/>
        <v>15594</v>
      </c>
      <c r="AH5" s="8">
        <f t="shared" ca="1" si="8"/>
        <v>14955</v>
      </c>
      <c r="AI5" s="8">
        <f t="shared" ca="1" si="8"/>
        <v>14564</v>
      </c>
      <c r="AJ5" s="17">
        <f t="shared" ca="1" si="8"/>
        <v>14320</v>
      </c>
      <c r="AK5" s="16">
        <f t="shared" ca="1" si="8"/>
        <v>16043</v>
      </c>
      <c r="AL5" s="8">
        <f t="shared" ca="1" si="8"/>
        <v>19080</v>
      </c>
      <c r="AM5" s="8">
        <f t="shared" ca="1" si="8"/>
        <v>19716</v>
      </c>
      <c r="AN5" s="8">
        <f t="shared" ca="1" si="8"/>
        <v>20596</v>
      </c>
      <c r="AO5" s="17">
        <f t="shared" ca="1" si="8"/>
        <v>17463</v>
      </c>
      <c r="AP5" s="8">
        <f t="shared" ref="AP5:DU5" ca="1" si="9">INDIRECT("LongBoards!I" &amp; (COLUMN()-42)*3+3)</f>
        <v>18788</v>
      </c>
      <c r="AQ5" s="8">
        <f t="shared" ca="1" si="9"/>
        <v>22022</v>
      </c>
      <c r="AR5" s="8">
        <f t="shared" ca="1" si="9"/>
        <v>19039</v>
      </c>
      <c r="AS5" s="8">
        <f t="shared" ca="1" si="9"/>
        <v>25629</v>
      </c>
      <c r="AT5" s="8">
        <f t="shared" ca="1" si="9"/>
        <v>17798</v>
      </c>
      <c r="AU5" s="8">
        <f t="shared" ca="1" si="9"/>
        <v>21031</v>
      </c>
      <c r="AV5" s="181">
        <f t="shared" ca="1" si="9"/>
        <v>24074</v>
      </c>
      <c r="AW5" s="8">
        <f t="shared" ca="1" si="9"/>
        <v>18029</v>
      </c>
      <c r="AX5" s="8">
        <f t="shared" ca="1" si="9"/>
        <v>22290</v>
      </c>
      <c r="AY5" s="8">
        <f t="shared" ca="1" si="9"/>
        <v>20945</v>
      </c>
      <c r="AZ5" s="8">
        <f t="shared" ca="1" si="9"/>
        <v>20784</v>
      </c>
      <c r="BA5" s="8">
        <f t="shared" ca="1" si="9"/>
        <v>13969</v>
      </c>
      <c r="BB5" s="8">
        <f t="shared" ca="1" si="9"/>
        <v>16724</v>
      </c>
      <c r="BC5" s="8">
        <f t="shared" ca="1" si="9"/>
        <v>18534</v>
      </c>
      <c r="BD5" s="8">
        <f t="shared" ca="1" si="9"/>
        <v>16225</v>
      </c>
      <c r="BE5" s="8">
        <f t="shared" ca="1" si="9"/>
        <v>16432</v>
      </c>
      <c r="BF5" s="8">
        <f t="shared" ca="1" si="9"/>
        <v>14734</v>
      </c>
      <c r="BG5" s="8">
        <f t="shared" ca="1" si="9"/>
        <v>16368</v>
      </c>
      <c r="BH5" s="8">
        <f t="shared" ca="1" si="9"/>
        <v>21792</v>
      </c>
      <c r="BI5" s="8">
        <f t="shared" ca="1" si="9"/>
        <v>20728</v>
      </c>
      <c r="BJ5" s="8">
        <f t="shared" ca="1" si="9"/>
        <v>20157</v>
      </c>
      <c r="BK5" s="8">
        <f t="shared" ca="1" si="9"/>
        <v>20298</v>
      </c>
      <c r="BL5" s="8">
        <f t="shared" ca="1" si="9"/>
        <v>16944</v>
      </c>
      <c r="BM5" s="8">
        <f t="shared" ca="1" si="9"/>
        <v>15600</v>
      </c>
      <c r="BN5" s="8">
        <f t="shared" ca="1" si="9"/>
        <v>16990</v>
      </c>
      <c r="BO5" s="8">
        <f t="shared" ca="1" si="9"/>
        <v>18483</v>
      </c>
      <c r="BP5" s="8">
        <f t="shared" ca="1" si="9"/>
        <v>16753</v>
      </c>
      <c r="BQ5" s="8">
        <f t="shared" ca="1" si="9"/>
        <v>13527</v>
      </c>
      <c r="BR5" s="8">
        <f t="shared" ca="1" si="9"/>
        <v>19353</v>
      </c>
      <c r="BS5" s="8">
        <f t="shared" ca="1" si="9"/>
        <v>14885</v>
      </c>
      <c r="BT5" s="8">
        <f t="shared" ca="1" si="9"/>
        <v>18183</v>
      </c>
      <c r="BU5" s="8">
        <f t="shared" ca="1" si="9"/>
        <v>18706</v>
      </c>
      <c r="BV5" s="8">
        <f t="shared" ca="1" si="9"/>
        <v>15769</v>
      </c>
      <c r="BW5" s="8">
        <f t="shared" ca="1" si="9"/>
        <v>16999</v>
      </c>
      <c r="BX5" s="8">
        <f t="shared" ca="1" si="9"/>
        <v>17732</v>
      </c>
      <c r="BY5" s="8">
        <f t="shared" ca="1" si="9"/>
        <v>15973</v>
      </c>
      <c r="BZ5" s="8">
        <f t="shared" ca="1" si="9"/>
        <v>20777</v>
      </c>
      <c r="CA5" s="8">
        <f t="shared" ca="1" si="9"/>
        <v>17640</v>
      </c>
      <c r="CB5" s="8">
        <f t="shared" ca="1" si="9"/>
        <v>17353</v>
      </c>
      <c r="CC5" s="8">
        <f t="shared" ca="1" si="9"/>
        <v>17829</v>
      </c>
      <c r="CD5" s="8">
        <f t="shared" ca="1" si="9"/>
        <v>22286</v>
      </c>
      <c r="CE5" s="8">
        <f t="shared" ca="1" si="9"/>
        <v>18831</v>
      </c>
      <c r="CF5" s="8">
        <f t="shared" ca="1" si="9"/>
        <v>18138</v>
      </c>
      <c r="CG5" s="8">
        <f t="shared" ca="1" si="9"/>
        <v>18930</v>
      </c>
      <c r="CH5" s="8">
        <f t="shared" ca="1" si="9"/>
        <v>17006</v>
      </c>
      <c r="CI5" s="8">
        <f t="shared" ca="1" si="9"/>
        <v>14533</v>
      </c>
      <c r="CJ5" s="8">
        <f t="shared" ca="1" si="9"/>
        <v>20217</v>
      </c>
      <c r="CK5" s="8">
        <f t="shared" ca="1" si="9"/>
        <v>17813</v>
      </c>
      <c r="CL5" s="8">
        <f t="shared" ca="1" si="9"/>
        <v>18425</v>
      </c>
      <c r="CM5" s="8">
        <f t="shared" ca="1" si="9"/>
        <v>24120</v>
      </c>
      <c r="CN5" s="8">
        <f t="shared" ca="1" si="9"/>
        <v>15574</v>
      </c>
      <c r="CO5" s="8">
        <f t="shared" ca="1" si="9"/>
        <v>12546</v>
      </c>
      <c r="CP5" s="8">
        <f t="shared" ca="1" si="9"/>
        <v>14960</v>
      </c>
      <c r="CQ5" s="8">
        <f t="shared" ca="1" si="9"/>
        <v>14420</v>
      </c>
      <c r="CR5" s="8">
        <f t="shared" ca="1" si="9"/>
        <v>14158</v>
      </c>
      <c r="CS5" s="8">
        <f t="shared" ca="1" si="9"/>
        <v>15534</v>
      </c>
      <c r="CT5" s="8">
        <f t="shared" ca="1" si="9"/>
        <v>16317</v>
      </c>
      <c r="CU5" s="8">
        <f t="shared" ca="1" si="9"/>
        <v>15147</v>
      </c>
      <c r="CV5" s="8">
        <f t="shared" ca="1" si="9"/>
        <v>16181</v>
      </c>
      <c r="CW5" s="8">
        <f t="shared" ca="1" si="9"/>
        <v>22702</v>
      </c>
      <c r="CX5" s="8">
        <f t="shared" ca="1" si="9"/>
        <v>19159</v>
      </c>
      <c r="CY5" s="8">
        <f t="shared" ca="1" si="9"/>
        <v>20154</v>
      </c>
      <c r="CZ5" s="8">
        <f t="shared" ca="1" si="9"/>
        <v>18276</v>
      </c>
      <c r="DA5" s="8">
        <f t="shared" ca="1" si="9"/>
        <v>16352</v>
      </c>
      <c r="DB5" s="8">
        <f t="shared" ca="1" si="9"/>
        <v>14782</v>
      </c>
      <c r="DC5" s="8">
        <f t="shared" ca="1" si="9"/>
        <v>19703</v>
      </c>
      <c r="DD5" s="8">
        <f t="shared" ca="1" si="9"/>
        <v>13569</v>
      </c>
      <c r="DE5" s="8">
        <f t="shared" ca="1" si="9"/>
        <v>18351</v>
      </c>
      <c r="DF5" s="8">
        <f t="shared" ca="1" si="9"/>
        <v>19563</v>
      </c>
      <c r="DG5" s="8">
        <f t="shared" ca="1" si="9"/>
        <v>20096</v>
      </c>
      <c r="DH5" s="8">
        <f t="shared" ca="1" si="9"/>
        <v>20780</v>
      </c>
      <c r="DI5" s="8">
        <f t="shared" ca="1" si="9"/>
        <v>14318</v>
      </c>
      <c r="DJ5" s="8">
        <f t="shared" ca="1" si="9"/>
        <v>15972</v>
      </c>
      <c r="DK5" s="8">
        <f t="shared" ca="1" si="9"/>
        <v>17327</v>
      </c>
      <c r="DL5" s="8">
        <f t="shared" ca="1" si="9"/>
        <v>18038</v>
      </c>
      <c r="DM5" s="8">
        <f t="shared" ca="1" si="9"/>
        <v>14441</v>
      </c>
      <c r="DN5" s="8">
        <f t="shared" ca="1" si="9"/>
        <v>16364</v>
      </c>
      <c r="DO5" s="8">
        <f t="shared" ca="1" si="9"/>
        <v>16302</v>
      </c>
      <c r="DP5" s="8">
        <f t="shared" ca="1" si="9"/>
        <v>22847</v>
      </c>
      <c r="DQ5" s="8">
        <f t="shared" ca="1" si="9"/>
        <v>21299</v>
      </c>
      <c r="DR5" s="8">
        <f t="shared" ca="1" si="9"/>
        <v>0</v>
      </c>
      <c r="DS5" s="8">
        <f t="shared" ca="1" si="9"/>
        <v>0</v>
      </c>
      <c r="DT5" s="8">
        <f t="shared" ca="1" si="9"/>
        <v>0</v>
      </c>
      <c r="DU5" s="8">
        <f t="shared" ca="1" si="9"/>
        <v>0</v>
      </c>
    </row>
    <row r="6" spans="1:125" ht="15.75">
      <c r="A6" s="68">
        <v>825</v>
      </c>
      <c r="B6" s="16">
        <f t="shared" ref="B6:AO6" ca="1" si="10">INDIRECT("Main!J" &amp; (COLUMN()-2)*3+3)</f>
        <v>20865</v>
      </c>
      <c r="C6" s="8">
        <f t="shared" ca="1" si="10"/>
        <v>26550</v>
      </c>
      <c r="D6" s="8">
        <f t="shared" ca="1" si="10"/>
        <v>21416</v>
      </c>
      <c r="E6" s="8">
        <f t="shared" ca="1" si="10"/>
        <v>19032</v>
      </c>
      <c r="F6" s="17">
        <f t="shared" ca="1" si="10"/>
        <v>24811</v>
      </c>
      <c r="G6" s="16">
        <f t="shared" ca="1" si="10"/>
        <v>21282</v>
      </c>
      <c r="H6" s="8">
        <f t="shared" ca="1" si="10"/>
        <v>15962</v>
      </c>
      <c r="I6" s="8">
        <f t="shared" ca="1" si="10"/>
        <v>18988</v>
      </c>
      <c r="J6" s="8">
        <f t="shared" ca="1" si="10"/>
        <v>27610</v>
      </c>
      <c r="K6" s="17">
        <f t="shared" ca="1" si="10"/>
        <v>20259</v>
      </c>
      <c r="L6" s="16">
        <f t="shared" ca="1" si="10"/>
        <v>29627</v>
      </c>
      <c r="M6" s="8">
        <f t="shared" ca="1" si="10"/>
        <v>18245</v>
      </c>
      <c r="N6" s="8">
        <f t="shared" ca="1" si="10"/>
        <v>14045</v>
      </c>
      <c r="O6" s="8">
        <f t="shared" ca="1" si="10"/>
        <v>19381</v>
      </c>
      <c r="P6" s="17">
        <f t="shared" ca="1" si="10"/>
        <v>20744</v>
      </c>
      <c r="Q6" s="16">
        <f t="shared" ca="1" si="10"/>
        <v>19129</v>
      </c>
      <c r="R6" s="8">
        <f t="shared" ca="1" si="10"/>
        <v>18869</v>
      </c>
      <c r="S6" s="8">
        <f t="shared" ca="1" si="10"/>
        <v>15416</v>
      </c>
      <c r="T6" s="8">
        <f t="shared" ca="1" si="10"/>
        <v>16401</v>
      </c>
      <c r="U6" s="17">
        <f t="shared" ca="1" si="10"/>
        <v>19674</v>
      </c>
      <c r="V6" s="16">
        <f t="shared" ca="1" si="10"/>
        <v>17015</v>
      </c>
      <c r="W6" s="8">
        <f t="shared" ca="1" si="10"/>
        <v>18180</v>
      </c>
      <c r="X6" s="8">
        <f t="shared" ca="1" si="10"/>
        <v>22979</v>
      </c>
      <c r="Y6" s="8">
        <f t="shared" ca="1" si="10"/>
        <v>27128</v>
      </c>
      <c r="Z6" s="17">
        <f t="shared" ca="1" si="10"/>
        <v>20507</v>
      </c>
      <c r="AA6" s="16">
        <f t="shared" ca="1" si="10"/>
        <v>17526</v>
      </c>
      <c r="AB6" s="8">
        <f t="shared" ca="1" si="10"/>
        <v>18337</v>
      </c>
      <c r="AC6" s="8">
        <f t="shared" ca="1" si="10"/>
        <v>12959</v>
      </c>
      <c r="AD6" s="8">
        <f t="shared" ca="1" si="10"/>
        <v>23942</v>
      </c>
      <c r="AE6" s="17">
        <f t="shared" ca="1" si="10"/>
        <v>31707</v>
      </c>
      <c r="AF6" s="16">
        <f t="shared" ca="1" si="10"/>
        <v>21423</v>
      </c>
      <c r="AG6" s="8">
        <f t="shared" ca="1" si="10"/>
        <v>17615</v>
      </c>
      <c r="AH6" s="8">
        <f t="shared" ca="1" si="10"/>
        <v>17311</v>
      </c>
      <c r="AI6" s="8">
        <f t="shared" ca="1" si="10"/>
        <v>16914</v>
      </c>
      <c r="AJ6" s="17">
        <f t="shared" ca="1" si="10"/>
        <v>16616</v>
      </c>
      <c r="AK6" s="16">
        <f t="shared" ca="1" si="10"/>
        <v>18686</v>
      </c>
      <c r="AL6" s="8">
        <f t="shared" ca="1" si="10"/>
        <v>22308</v>
      </c>
      <c r="AM6" s="8">
        <f t="shared" ca="1" si="10"/>
        <v>23115</v>
      </c>
      <c r="AN6" s="8">
        <f t="shared" ca="1" si="10"/>
        <v>23343</v>
      </c>
      <c r="AO6" s="17">
        <f t="shared" ca="1" si="10"/>
        <v>20389</v>
      </c>
      <c r="AP6" s="8">
        <f t="shared" ref="AP6:DU6" ca="1" si="11">INDIRECT("LongBoards!J" &amp; (COLUMN()-42)*3+3)</f>
        <v>21844</v>
      </c>
      <c r="AQ6" s="8">
        <f t="shared" ca="1" si="11"/>
        <v>25064</v>
      </c>
      <c r="AR6" s="8">
        <f t="shared" ca="1" si="11"/>
        <v>21606</v>
      </c>
      <c r="AS6" s="8">
        <f t="shared" ca="1" si="11"/>
        <v>30021</v>
      </c>
      <c r="AT6" s="8">
        <f t="shared" ca="1" si="11"/>
        <v>20382</v>
      </c>
      <c r="AU6" s="8">
        <f t="shared" ca="1" si="11"/>
        <v>24787</v>
      </c>
      <c r="AV6" s="181">
        <f t="shared" ca="1" si="11"/>
        <v>27351</v>
      </c>
      <c r="AW6" s="8">
        <f t="shared" ca="1" si="11"/>
        <v>21117</v>
      </c>
      <c r="AX6" s="8">
        <f t="shared" ca="1" si="11"/>
        <v>25306</v>
      </c>
      <c r="AY6" s="8">
        <f t="shared" ca="1" si="11"/>
        <v>23990</v>
      </c>
      <c r="AZ6" s="8">
        <f t="shared" ca="1" si="11"/>
        <v>23802</v>
      </c>
      <c r="BA6" s="8">
        <f t="shared" ca="1" si="11"/>
        <v>16278</v>
      </c>
      <c r="BB6" s="8">
        <f t="shared" ca="1" si="11"/>
        <v>19581</v>
      </c>
      <c r="BC6" s="8">
        <f t="shared" ca="1" si="11"/>
        <v>21859</v>
      </c>
      <c r="BD6" s="8">
        <f t="shared" ca="1" si="11"/>
        <v>18729</v>
      </c>
      <c r="BE6" s="8">
        <f t="shared" ca="1" si="11"/>
        <v>18788</v>
      </c>
      <c r="BF6" s="8">
        <f t="shared" ca="1" si="11"/>
        <v>17273</v>
      </c>
      <c r="BG6" s="8">
        <f t="shared" ca="1" si="11"/>
        <v>18733</v>
      </c>
      <c r="BH6" s="8">
        <f t="shared" ca="1" si="11"/>
        <v>24950</v>
      </c>
      <c r="BI6" s="8">
        <f t="shared" ca="1" si="11"/>
        <v>23534</v>
      </c>
      <c r="BJ6" s="8">
        <f t="shared" ca="1" si="11"/>
        <v>23270</v>
      </c>
      <c r="BK6" s="8">
        <f t="shared" ca="1" si="11"/>
        <v>23875</v>
      </c>
      <c r="BL6" s="8">
        <f t="shared" ca="1" si="11"/>
        <v>19542</v>
      </c>
      <c r="BM6" s="8">
        <f t="shared" ca="1" si="11"/>
        <v>17855</v>
      </c>
      <c r="BN6" s="8">
        <f t="shared" ca="1" si="11"/>
        <v>19495</v>
      </c>
      <c r="BO6" s="8">
        <f t="shared" ca="1" si="11"/>
        <v>21211</v>
      </c>
      <c r="BP6" s="8">
        <f t="shared" ca="1" si="11"/>
        <v>18979</v>
      </c>
      <c r="BQ6" s="8">
        <f t="shared" ca="1" si="11"/>
        <v>15737</v>
      </c>
      <c r="BR6" s="8">
        <f t="shared" ca="1" si="11"/>
        <v>22705</v>
      </c>
      <c r="BS6" s="8">
        <f t="shared" ca="1" si="11"/>
        <v>17268</v>
      </c>
      <c r="BT6" s="8">
        <f t="shared" ca="1" si="11"/>
        <v>21305</v>
      </c>
      <c r="BU6" s="8">
        <f t="shared" ca="1" si="11"/>
        <v>21859</v>
      </c>
      <c r="BV6" s="8">
        <f t="shared" ca="1" si="11"/>
        <v>18334</v>
      </c>
      <c r="BW6" s="8">
        <f t="shared" ca="1" si="11"/>
        <v>19203</v>
      </c>
      <c r="BX6" s="8">
        <f t="shared" ca="1" si="11"/>
        <v>20454</v>
      </c>
      <c r="BY6" s="8">
        <f t="shared" ca="1" si="11"/>
        <v>18585</v>
      </c>
      <c r="BZ6" s="8">
        <f t="shared" ca="1" si="11"/>
        <v>23813</v>
      </c>
      <c r="CA6" s="8">
        <f t="shared" ca="1" si="11"/>
        <v>20626</v>
      </c>
      <c r="CB6" s="8">
        <f t="shared" ca="1" si="11"/>
        <v>19968</v>
      </c>
      <c r="CC6" s="8">
        <f t="shared" ca="1" si="11"/>
        <v>20109</v>
      </c>
      <c r="CD6" s="8">
        <f t="shared" ca="1" si="11"/>
        <v>26067</v>
      </c>
      <c r="CE6" s="8">
        <f t="shared" ca="1" si="11"/>
        <v>21806</v>
      </c>
      <c r="CF6" s="8">
        <f t="shared" ca="1" si="11"/>
        <v>20849</v>
      </c>
      <c r="CG6" s="8">
        <f t="shared" ca="1" si="11"/>
        <v>21640</v>
      </c>
      <c r="CH6" s="8">
        <f t="shared" ca="1" si="11"/>
        <v>19469</v>
      </c>
      <c r="CI6" s="8">
        <f t="shared" ca="1" si="11"/>
        <v>16599</v>
      </c>
      <c r="CJ6" s="8">
        <f t="shared" ca="1" si="11"/>
        <v>23179</v>
      </c>
      <c r="CK6" s="8">
        <f t="shared" ca="1" si="11"/>
        <v>20772</v>
      </c>
      <c r="CL6" s="8">
        <f t="shared" ca="1" si="11"/>
        <v>21653</v>
      </c>
      <c r="CM6" s="8">
        <f t="shared" ca="1" si="11"/>
        <v>28149</v>
      </c>
      <c r="CN6" s="8">
        <f t="shared" ca="1" si="11"/>
        <v>18163</v>
      </c>
      <c r="CO6" s="8">
        <f t="shared" ca="1" si="11"/>
        <v>14677</v>
      </c>
      <c r="CP6" s="8">
        <f t="shared" ca="1" si="11"/>
        <v>17223</v>
      </c>
      <c r="CQ6" s="8">
        <f t="shared" ca="1" si="11"/>
        <v>16746</v>
      </c>
      <c r="CR6" s="8">
        <f t="shared" ca="1" si="11"/>
        <v>16384</v>
      </c>
      <c r="CS6" s="8">
        <f t="shared" ca="1" si="11"/>
        <v>17874</v>
      </c>
      <c r="CT6" s="8">
        <f t="shared" ca="1" si="11"/>
        <v>18417</v>
      </c>
      <c r="CU6" s="8">
        <f t="shared" ca="1" si="11"/>
        <v>17558</v>
      </c>
      <c r="CV6" s="8">
        <f t="shared" ca="1" si="11"/>
        <v>18678</v>
      </c>
      <c r="CW6" s="8">
        <f t="shared" ca="1" si="11"/>
        <v>26088</v>
      </c>
      <c r="CX6" s="8">
        <f t="shared" ca="1" si="11"/>
        <v>21722</v>
      </c>
      <c r="CY6" s="8">
        <f t="shared" ca="1" si="11"/>
        <v>23029</v>
      </c>
      <c r="CZ6" s="8">
        <f t="shared" ca="1" si="11"/>
        <v>21175</v>
      </c>
      <c r="DA6" s="8">
        <f t="shared" ca="1" si="11"/>
        <v>18516</v>
      </c>
      <c r="DB6" s="8">
        <f t="shared" ca="1" si="11"/>
        <v>16698</v>
      </c>
      <c r="DC6" s="8">
        <f t="shared" ca="1" si="11"/>
        <v>22328</v>
      </c>
      <c r="DD6" s="8">
        <f t="shared" ca="1" si="11"/>
        <v>15670</v>
      </c>
      <c r="DE6" s="8">
        <f t="shared" ca="1" si="11"/>
        <v>20766</v>
      </c>
      <c r="DF6" s="8">
        <f t="shared" ca="1" si="11"/>
        <v>22193</v>
      </c>
      <c r="DG6" s="8">
        <f t="shared" ca="1" si="11"/>
        <v>23421</v>
      </c>
      <c r="DH6" s="8">
        <f t="shared" ca="1" si="11"/>
        <v>23675</v>
      </c>
      <c r="DI6" s="8">
        <f t="shared" ca="1" si="11"/>
        <v>16610</v>
      </c>
      <c r="DJ6" s="8">
        <f t="shared" ca="1" si="11"/>
        <v>18630</v>
      </c>
      <c r="DK6" s="8">
        <f t="shared" ca="1" si="11"/>
        <v>19652</v>
      </c>
      <c r="DL6" s="8">
        <f t="shared" ca="1" si="11"/>
        <v>20384</v>
      </c>
      <c r="DM6" s="8">
        <f t="shared" ca="1" si="11"/>
        <v>16551</v>
      </c>
      <c r="DN6" s="8">
        <f t="shared" ca="1" si="11"/>
        <v>18756</v>
      </c>
      <c r="DO6" s="8">
        <f t="shared" ca="1" si="11"/>
        <v>18692</v>
      </c>
      <c r="DP6" s="8">
        <f t="shared" ca="1" si="11"/>
        <v>26377</v>
      </c>
      <c r="DQ6" s="8">
        <f t="shared" ca="1" si="11"/>
        <v>24676</v>
      </c>
      <c r="DR6" s="8">
        <f t="shared" ca="1" si="11"/>
        <v>0</v>
      </c>
      <c r="DS6" s="8">
        <f t="shared" ca="1" si="11"/>
        <v>0</v>
      </c>
      <c r="DT6" s="8">
        <f t="shared" ca="1" si="11"/>
        <v>0</v>
      </c>
      <c r="DU6" s="8">
        <f t="shared" ca="1" si="11"/>
        <v>0</v>
      </c>
    </row>
    <row r="7" spans="1:125" ht="15.75">
      <c r="A7" s="68">
        <v>850</v>
      </c>
      <c r="B7" s="16">
        <f t="shared" ref="B7:AO7" ca="1" si="12">INDIRECT("Main!K" &amp; (COLUMN()-2)*3+3)</f>
        <v>24082</v>
      </c>
      <c r="C7" s="8">
        <f t="shared" ca="1" si="12"/>
        <v>29654</v>
      </c>
      <c r="D7" s="8">
        <f t="shared" ca="1" si="12"/>
        <v>24641</v>
      </c>
      <c r="E7" s="8">
        <f t="shared" ca="1" si="12"/>
        <v>22131</v>
      </c>
      <c r="F7" s="17">
        <f t="shared" ca="1" si="12"/>
        <v>28823</v>
      </c>
      <c r="G7" s="16">
        <f t="shared" ca="1" si="12"/>
        <v>24590</v>
      </c>
      <c r="H7" s="8">
        <f t="shared" ca="1" si="12"/>
        <v>18512</v>
      </c>
      <c r="I7" s="8">
        <f t="shared" ca="1" si="12"/>
        <v>22029</v>
      </c>
      <c r="J7" s="8">
        <f t="shared" ca="1" si="12"/>
        <v>31321</v>
      </c>
      <c r="K7" s="17">
        <f t="shared" ca="1" si="12"/>
        <v>23697</v>
      </c>
      <c r="L7" s="16">
        <f t="shared" ca="1" si="12"/>
        <v>33384</v>
      </c>
      <c r="M7" s="8">
        <f t="shared" ca="1" si="12"/>
        <v>21193</v>
      </c>
      <c r="N7" s="8">
        <f t="shared" ca="1" si="12"/>
        <v>15990</v>
      </c>
      <c r="O7" s="8">
        <f t="shared" ca="1" si="12"/>
        <v>22383</v>
      </c>
      <c r="P7" s="17">
        <f t="shared" ca="1" si="12"/>
        <v>23181</v>
      </c>
      <c r="Q7" s="16">
        <f t="shared" ca="1" si="12"/>
        <v>22089</v>
      </c>
      <c r="R7" s="8">
        <f t="shared" ca="1" si="12"/>
        <v>21224</v>
      </c>
      <c r="S7" s="8">
        <f t="shared" ca="1" si="12"/>
        <v>17468</v>
      </c>
      <c r="T7" s="8">
        <f t="shared" ca="1" si="12"/>
        <v>18621</v>
      </c>
      <c r="U7" s="17">
        <f t="shared" ca="1" si="12"/>
        <v>22198</v>
      </c>
      <c r="V7" s="16">
        <f t="shared" ca="1" si="12"/>
        <v>19431</v>
      </c>
      <c r="W7" s="8">
        <f t="shared" ca="1" si="12"/>
        <v>21178</v>
      </c>
      <c r="X7" s="8">
        <f t="shared" ca="1" si="12"/>
        <v>26498</v>
      </c>
      <c r="Y7" s="8">
        <f t="shared" ca="1" si="12"/>
        <v>31153</v>
      </c>
      <c r="Z7" s="17">
        <f t="shared" ca="1" si="12"/>
        <v>23696</v>
      </c>
      <c r="AA7" s="16">
        <f t="shared" ca="1" si="12"/>
        <v>19982</v>
      </c>
      <c r="AB7" s="8">
        <f t="shared" ca="1" si="12"/>
        <v>20928</v>
      </c>
      <c r="AC7" s="8">
        <f t="shared" ca="1" si="12"/>
        <v>15001</v>
      </c>
      <c r="AD7" s="8">
        <f t="shared" ca="1" si="12"/>
        <v>28120</v>
      </c>
      <c r="AE7" s="17">
        <f t="shared" ca="1" si="12"/>
        <v>36887</v>
      </c>
      <c r="AF7" s="16">
        <f t="shared" ca="1" si="12"/>
        <v>24511</v>
      </c>
      <c r="AG7" s="8">
        <f t="shared" ca="1" si="12"/>
        <v>19795</v>
      </c>
      <c r="AH7" s="8">
        <f t="shared" ca="1" si="12"/>
        <v>19938</v>
      </c>
      <c r="AI7" s="8">
        <f t="shared" ca="1" si="12"/>
        <v>19580</v>
      </c>
      <c r="AJ7" s="17">
        <f t="shared" ca="1" si="12"/>
        <v>19159</v>
      </c>
      <c r="AK7" s="16">
        <f t="shared" ca="1" si="12"/>
        <v>21677</v>
      </c>
      <c r="AL7" s="8">
        <f t="shared" ca="1" si="12"/>
        <v>25914</v>
      </c>
      <c r="AM7" s="8">
        <f t="shared" ca="1" si="12"/>
        <v>26961</v>
      </c>
      <c r="AN7" s="8">
        <f t="shared" ca="1" si="12"/>
        <v>26353</v>
      </c>
      <c r="AO7" s="17">
        <f t="shared" ca="1" si="12"/>
        <v>23696</v>
      </c>
      <c r="AP7" s="8">
        <f t="shared" ref="AP7:DU7" ca="1" si="13">INDIRECT("LongBoards!K" &amp; (COLUMN()-42)*3+3)</f>
        <v>25246</v>
      </c>
      <c r="AQ7" s="8">
        <f t="shared" ca="1" si="13"/>
        <v>28358</v>
      </c>
      <c r="AR7" s="8">
        <f t="shared" ca="1" si="13"/>
        <v>24371</v>
      </c>
      <c r="AS7" s="8">
        <f t="shared" ca="1" si="13"/>
        <v>34608</v>
      </c>
      <c r="AT7" s="8">
        <f t="shared" ca="1" si="13"/>
        <v>23245</v>
      </c>
      <c r="AU7" s="8">
        <f t="shared" ca="1" si="13"/>
        <v>28893</v>
      </c>
      <c r="AV7" s="181">
        <f t="shared" ca="1" si="13"/>
        <v>0</v>
      </c>
      <c r="AW7" s="8">
        <f t="shared" ca="1" si="13"/>
        <v>24637</v>
      </c>
      <c r="AX7" s="8">
        <f t="shared" ca="1" si="13"/>
        <v>28573</v>
      </c>
      <c r="AY7" s="8">
        <f t="shared" ca="1" si="13"/>
        <v>27278</v>
      </c>
      <c r="AZ7" s="8">
        <f t="shared" ca="1" si="13"/>
        <v>27070</v>
      </c>
      <c r="BA7" s="8">
        <f t="shared" ca="1" si="13"/>
        <v>18888</v>
      </c>
      <c r="BB7" s="8">
        <f t="shared" ca="1" si="13"/>
        <v>22799</v>
      </c>
      <c r="BC7" s="8">
        <f t="shared" ca="1" si="13"/>
        <v>25657</v>
      </c>
      <c r="BD7" s="8">
        <f t="shared" ca="1" si="13"/>
        <v>21512</v>
      </c>
      <c r="BE7" s="8">
        <f t="shared" ca="1" si="13"/>
        <v>21402</v>
      </c>
      <c r="BF7" s="8">
        <f t="shared" ca="1" si="13"/>
        <v>20036</v>
      </c>
      <c r="BG7" s="8">
        <f t="shared" ca="1" si="13"/>
        <v>21293</v>
      </c>
      <c r="BH7" s="8">
        <f t="shared" ca="1" si="13"/>
        <v>28366</v>
      </c>
      <c r="BI7" s="8">
        <f t="shared" ca="1" si="13"/>
        <v>26498</v>
      </c>
      <c r="BJ7" s="8">
        <f t="shared" ca="1" si="13"/>
        <v>26709</v>
      </c>
      <c r="BK7" s="8">
        <f t="shared" ca="1" si="13"/>
        <v>27923</v>
      </c>
      <c r="BL7" s="8">
        <f t="shared" ca="1" si="13"/>
        <v>22440</v>
      </c>
      <c r="BM7" s="8">
        <f t="shared" ca="1" si="13"/>
        <v>20287</v>
      </c>
      <c r="BN7" s="8">
        <f t="shared" ca="1" si="13"/>
        <v>22216</v>
      </c>
      <c r="BO7" s="8">
        <f t="shared" ca="1" si="13"/>
        <v>24217</v>
      </c>
      <c r="BP7" s="8">
        <f t="shared" ca="1" si="13"/>
        <v>21333</v>
      </c>
      <c r="BQ7" s="8">
        <f t="shared" ca="1" si="13"/>
        <v>18214</v>
      </c>
      <c r="BR7" s="8">
        <f t="shared" ca="1" si="13"/>
        <v>26570</v>
      </c>
      <c r="BS7" s="8">
        <f t="shared" ca="1" si="13"/>
        <v>19957</v>
      </c>
      <c r="BT7" s="8">
        <f t="shared" ca="1" si="13"/>
        <v>24793</v>
      </c>
      <c r="BU7" s="8">
        <f t="shared" ca="1" si="13"/>
        <v>25450</v>
      </c>
      <c r="BV7" s="8">
        <f t="shared" ca="1" si="13"/>
        <v>21182</v>
      </c>
      <c r="BW7" s="8">
        <f t="shared" ca="1" si="13"/>
        <v>21587</v>
      </c>
      <c r="BX7" s="8">
        <f t="shared" ca="1" si="13"/>
        <v>23502</v>
      </c>
      <c r="BY7" s="8">
        <f t="shared" ca="1" si="13"/>
        <v>21518</v>
      </c>
      <c r="BZ7" s="8">
        <f t="shared" ca="1" si="13"/>
        <v>27186</v>
      </c>
      <c r="CA7" s="8">
        <f t="shared" ca="1" si="13"/>
        <v>23807</v>
      </c>
      <c r="CB7" s="8">
        <f t="shared" ca="1" si="13"/>
        <v>22870</v>
      </c>
      <c r="CC7" s="8">
        <f t="shared" ca="1" si="13"/>
        <v>22575</v>
      </c>
      <c r="CD7" s="8">
        <f t="shared" ca="1" si="13"/>
        <v>30342</v>
      </c>
      <c r="CE7" s="8">
        <f t="shared" ca="1" si="13"/>
        <v>25107</v>
      </c>
      <c r="CF7" s="8">
        <f t="shared" ca="1" si="13"/>
        <v>23800</v>
      </c>
      <c r="CG7" s="8">
        <f t="shared" ca="1" si="13"/>
        <v>24628</v>
      </c>
      <c r="CH7" s="8">
        <f t="shared" ca="1" si="13"/>
        <v>22152</v>
      </c>
      <c r="CI7" s="8">
        <f t="shared" ca="1" si="13"/>
        <v>18896</v>
      </c>
      <c r="CJ7" s="8">
        <f t="shared" ca="1" si="13"/>
        <v>26414</v>
      </c>
      <c r="CK7" s="8">
        <f t="shared" ca="1" si="13"/>
        <v>24079</v>
      </c>
      <c r="CL7" s="8">
        <f t="shared" ca="1" si="13"/>
        <v>25302</v>
      </c>
      <c r="CM7" s="8">
        <f t="shared" ca="1" si="13"/>
        <v>32435</v>
      </c>
      <c r="CN7" s="8">
        <f t="shared" ca="1" si="13"/>
        <v>21031</v>
      </c>
      <c r="CO7" s="8">
        <f t="shared" ca="1" si="13"/>
        <v>17127</v>
      </c>
      <c r="CP7" s="8">
        <f t="shared" ca="1" si="13"/>
        <v>20146</v>
      </c>
      <c r="CQ7" s="8">
        <f t="shared" ca="1" si="13"/>
        <v>19343</v>
      </c>
      <c r="CR7" s="8">
        <f t="shared" ca="1" si="13"/>
        <v>18895</v>
      </c>
      <c r="CS7" s="8">
        <f t="shared" ca="1" si="13"/>
        <v>20475</v>
      </c>
      <c r="CT7" s="8">
        <f t="shared" ca="1" si="13"/>
        <v>20640</v>
      </c>
      <c r="CU7" s="8">
        <f t="shared" ca="1" si="13"/>
        <v>20258</v>
      </c>
      <c r="CV7" s="8">
        <f t="shared" ca="1" si="13"/>
        <v>21446</v>
      </c>
      <c r="CW7" s="8">
        <f t="shared" ca="1" si="13"/>
        <v>29556</v>
      </c>
      <c r="CX7" s="8">
        <f t="shared" ca="1" si="13"/>
        <v>24468</v>
      </c>
      <c r="CY7" s="8">
        <f t="shared" ca="1" si="13"/>
        <v>26214</v>
      </c>
      <c r="CZ7" s="8">
        <f t="shared" ca="1" si="13"/>
        <v>24376</v>
      </c>
      <c r="DA7" s="8">
        <f t="shared" ca="1" si="13"/>
        <v>20818</v>
      </c>
      <c r="DB7" s="8">
        <f t="shared" ca="1" si="13"/>
        <v>18748</v>
      </c>
      <c r="DC7" s="8">
        <f t="shared" ca="1" si="13"/>
        <v>25188</v>
      </c>
      <c r="DD7" s="8">
        <f t="shared" ca="1" si="13"/>
        <v>18104</v>
      </c>
      <c r="DE7" s="8">
        <f t="shared" ca="1" si="13"/>
        <v>23393</v>
      </c>
      <c r="DF7" s="8">
        <f t="shared" ca="1" si="13"/>
        <v>25065</v>
      </c>
      <c r="DG7" s="8">
        <f t="shared" ca="1" si="13"/>
        <v>27112</v>
      </c>
      <c r="DH7" s="8">
        <f t="shared" ca="1" si="13"/>
        <v>26660</v>
      </c>
      <c r="DI7" s="8">
        <f t="shared" ca="1" si="13"/>
        <v>19200</v>
      </c>
      <c r="DJ7" s="8">
        <f t="shared" ca="1" si="13"/>
        <v>21646</v>
      </c>
      <c r="DK7" s="8">
        <f t="shared" ca="1" si="13"/>
        <v>22137</v>
      </c>
      <c r="DL7" s="8">
        <f t="shared" ca="1" si="13"/>
        <v>22934</v>
      </c>
      <c r="DM7" s="8">
        <f t="shared" ca="1" si="13"/>
        <v>18858</v>
      </c>
      <c r="DN7" s="8">
        <f t="shared" ca="1" si="13"/>
        <v>21420</v>
      </c>
      <c r="DO7" s="8">
        <f t="shared" ca="1" si="13"/>
        <v>21317</v>
      </c>
      <c r="DP7" s="8">
        <f t="shared" ca="1" si="13"/>
        <v>30146</v>
      </c>
      <c r="DQ7" s="8">
        <f t="shared" ca="1" si="13"/>
        <v>28465</v>
      </c>
      <c r="DR7" s="8">
        <f t="shared" ca="1" si="13"/>
        <v>0</v>
      </c>
      <c r="DS7" s="8">
        <f t="shared" ca="1" si="13"/>
        <v>0</v>
      </c>
      <c r="DT7" s="8">
        <f t="shared" ca="1" si="13"/>
        <v>0</v>
      </c>
      <c r="DU7" s="8">
        <f t="shared" ca="1" si="13"/>
        <v>0</v>
      </c>
    </row>
    <row r="8" spans="1:125" ht="15.75">
      <c r="A8" s="68" t="s">
        <v>377</v>
      </c>
      <c r="B8" s="16">
        <v>213</v>
      </c>
      <c r="C8">
        <v>395</v>
      </c>
      <c r="D8" s="8">
        <v>219</v>
      </c>
      <c r="E8" s="8">
        <v>194</v>
      </c>
      <c r="F8" s="17">
        <v>203</v>
      </c>
      <c r="G8" s="16">
        <v>209.2</v>
      </c>
      <c r="H8" s="8">
        <v>211</v>
      </c>
      <c r="I8" s="8">
        <v>204</v>
      </c>
      <c r="J8" s="8">
        <v>278.5</v>
      </c>
      <c r="K8" s="17">
        <v>184</v>
      </c>
      <c r="L8" s="16">
        <v>296</v>
      </c>
      <c r="M8" s="8">
        <v>201</v>
      </c>
      <c r="N8" s="8">
        <v>248</v>
      </c>
      <c r="O8" s="8">
        <v>213</v>
      </c>
      <c r="P8" s="17">
        <v>346</v>
      </c>
      <c r="Q8" s="16">
        <v>217</v>
      </c>
      <c r="R8" s="8">
        <v>302</v>
      </c>
      <c r="S8" s="8">
        <v>254</v>
      </c>
      <c r="T8" s="8">
        <v>270</v>
      </c>
      <c r="U8" s="17">
        <v>280</v>
      </c>
      <c r="V8" s="16">
        <v>243</v>
      </c>
      <c r="W8" s="8">
        <v>195</v>
      </c>
      <c r="X8" s="8">
        <v>215</v>
      </c>
      <c r="Y8" s="8">
        <v>233.3</v>
      </c>
      <c r="Z8" s="17">
        <v>213</v>
      </c>
      <c r="AA8" s="16">
        <v>243</v>
      </c>
      <c r="AB8" s="8">
        <v>249</v>
      </c>
      <c r="AC8" s="8">
        <v>202</v>
      </c>
      <c r="AD8" s="8">
        <v>175</v>
      </c>
      <c r="AE8" s="17">
        <v>232</v>
      </c>
      <c r="AF8" s="16">
        <v>356</v>
      </c>
      <c r="AG8" s="8">
        <v>307</v>
      </c>
      <c r="AH8" s="8">
        <v>219</v>
      </c>
      <c r="AI8" s="8">
        <v>207</v>
      </c>
      <c r="AJ8" s="17">
        <v>211</v>
      </c>
      <c r="AK8" s="16">
        <v>204</v>
      </c>
      <c r="AL8" s="8">
        <v>196</v>
      </c>
      <c r="AM8" s="8">
        <v>190</v>
      </c>
      <c r="AN8" s="8">
        <v>297</v>
      </c>
      <c r="AO8" s="17">
        <v>199</v>
      </c>
      <c r="AP8" s="8">
        <v>211</v>
      </c>
      <c r="AQ8" s="8">
        <v>264</v>
      </c>
      <c r="AR8" s="8">
        <v>306</v>
      </c>
      <c r="AS8" s="8">
        <v>220</v>
      </c>
      <c r="AT8" s="8">
        <v>245</v>
      </c>
      <c r="AU8" s="8">
        <v>181</v>
      </c>
      <c r="AV8" s="181">
        <v>389</v>
      </c>
      <c r="AW8" s="8">
        <v>189</v>
      </c>
      <c r="AX8" s="8">
        <v>291</v>
      </c>
      <c r="AY8" s="8">
        <v>254</v>
      </c>
      <c r="AZ8" s="8">
        <v>270</v>
      </c>
      <c r="BA8" s="8">
        <v>208</v>
      </c>
      <c r="BB8" s="8">
        <v>192</v>
      </c>
      <c r="BC8" s="8">
        <v>177</v>
      </c>
      <c r="BD8" s="8">
        <v>221</v>
      </c>
      <c r="BE8" s="8">
        <v>248</v>
      </c>
      <c r="BF8" s="8">
        <v>254.4</v>
      </c>
      <c r="BG8" s="8">
        <v>268</v>
      </c>
      <c r="BH8" s="8">
        <v>266</v>
      </c>
      <c r="BI8" s="8">
        <v>316</v>
      </c>
      <c r="BJ8" s="8">
        <v>228</v>
      </c>
      <c r="BK8" s="8">
        <v>186</v>
      </c>
      <c r="BL8" s="8">
        <v>228</v>
      </c>
      <c r="BM8" s="8">
        <v>253</v>
      </c>
      <c r="BN8" s="8">
        <v>245</v>
      </c>
      <c r="BO8" s="8">
        <v>238</v>
      </c>
      <c r="BP8" s="8">
        <v>203</v>
      </c>
      <c r="BQ8" s="8">
        <v>211</v>
      </c>
      <c r="BR8" s="8">
        <v>185</v>
      </c>
      <c r="BS8" s="8">
        <v>213</v>
      </c>
      <c r="BT8" s="8">
        <v>192</v>
      </c>
      <c r="BU8" s="8">
        <v>192</v>
      </c>
      <c r="BV8" s="8">
        <v>218.5</v>
      </c>
      <c r="BW8" s="8">
        <v>298</v>
      </c>
      <c r="BX8" s="8">
        <v>221</v>
      </c>
      <c r="BY8" s="8">
        <v>204</v>
      </c>
      <c r="BZ8" s="8">
        <v>239</v>
      </c>
      <c r="CA8" s="8">
        <v>207</v>
      </c>
      <c r="CB8" s="8">
        <v>247</v>
      </c>
      <c r="CC8" s="8">
        <v>3032</v>
      </c>
      <c r="CD8" s="8">
        <v>194</v>
      </c>
      <c r="CE8" s="8">
        <v>221</v>
      </c>
      <c r="CF8" s="8">
        <v>258</v>
      </c>
      <c r="CG8" s="8">
        <v>252</v>
      </c>
      <c r="CH8" s="8">
        <v>252</v>
      </c>
      <c r="CI8" s="8">
        <v>255.5</v>
      </c>
      <c r="CJ8" s="8">
        <v>248</v>
      </c>
      <c r="CK8" s="8">
        <v>207</v>
      </c>
      <c r="CL8" s="8">
        <v>186</v>
      </c>
      <c r="CM8" s="8">
        <v>210</v>
      </c>
      <c r="CN8" s="8">
        <v>209.5</v>
      </c>
      <c r="CO8" s="8">
        <v>194</v>
      </c>
      <c r="CP8" s="8">
        <v>207</v>
      </c>
      <c r="CQ8" s="8">
        <v>211</v>
      </c>
      <c r="CR8" s="8">
        <v>218</v>
      </c>
      <c r="CS8" s="8">
        <v>229</v>
      </c>
      <c r="CT8" s="8">
        <v>315</v>
      </c>
      <c r="CU8" s="8">
        <v>215</v>
      </c>
      <c r="CV8" s="8">
        <v>222</v>
      </c>
      <c r="CW8" s="8">
        <v>275</v>
      </c>
      <c r="CX8" s="8">
        <v>297</v>
      </c>
      <c r="CY8" s="8">
        <v>270</v>
      </c>
      <c r="CZ8" s="8">
        <v>212</v>
      </c>
      <c r="DA8" s="8">
        <v>298</v>
      </c>
      <c r="DB8" s="8">
        <v>302</v>
      </c>
      <c r="DC8" s="8">
        <v>276</v>
      </c>
      <c r="DD8" s="8">
        <v>214</v>
      </c>
      <c r="DE8" s="8">
        <v>289</v>
      </c>
      <c r="DF8" s="8">
        <v>279</v>
      </c>
      <c r="DG8" s="8">
        <v>205.5</v>
      </c>
      <c r="DH8" s="8">
        <v>316</v>
      </c>
      <c r="DI8" s="8">
        <v>216</v>
      </c>
      <c r="DJ8" s="8">
        <v>207</v>
      </c>
      <c r="DK8" s="8">
        <v>300</v>
      </c>
      <c r="DL8" s="8">
        <v>287</v>
      </c>
      <c r="DM8" s="8">
        <v>237.5</v>
      </c>
      <c r="DN8" s="8">
        <v>242</v>
      </c>
      <c r="DO8" s="8">
        <v>249</v>
      </c>
      <c r="DP8" s="8">
        <v>247</v>
      </c>
      <c r="DQ8" s="8">
        <v>206</v>
      </c>
    </row>
    <row r="9" spans="1:125" ht="15.75">
      <c r="A9" s="68" t="s">
        <v>378</v>
      </c>
      <c r="B9" s="16">
        <v>14382</v>
      </c>
      <c r="C9">
        <v>36573</v>
      </c>
      <c r="D9" s="8">
        <v>15237</v>
      </c>
      <c r="E9" s="8">
        <v>11998</v>
      </c>
      <c r="F9" s="17">
        <v>16327</v>
      </c>
      <c r="G9" s="16">
        <v>15033</v>
      </c>
      <c r="H9" s="8">
        <v>11175</v>
      </c>
      <c r="I9" s="8">
        <v>12871</v>
      </c>
      <c r="J9" s="8">
        <v>26582</v>
      </c>
      <c r="K9" s="17">
        <v>11977</v>
      </c>
      <c r="L9" s="16">
        <v>27944</v>
      </c>
      <c r="M9" s="8">
        <v>11933</v>
      </c>
      <c r="N9" s="8">
        <v>11232</v>
      </c>
      <c r="O9" s="8">
        <v>13378</v>
      </c>
      <c r="P9" s="17">
        <v>22901</v>
      </c>
      <c r="Q9" s="16">
        <v>13910</v>
      </c>
      <c r="R9" s="8">
        <v>18945</v>
      </c>
      <c r="S9" s="8">
        <v>12413</v>
      </c>
      <c r="T9" s="8">
        <v>14954</v>
      </c>
      <c r="U9" s="17">
        <v>17445</v>
      </c>
      <c r="V9" s="16">
        <v>13432</v>
      </c>
      <c r="W9" s="8">
        <v>11647</v>
      </c>
      <c r="X9" s="8">
        <v>17107</v>
      </c>
      <c r="Y9" s="8">
        <v>22002</v>
      </c>
      <c r="Z9" s="17">
        <v>14334</v>
      </c>
      <c r="AA9" s="16">
        <v>13751</v>
      </c>
      <c r="AB9" s="8">
        <v>14817</v>
      </c>
      <c r="AC9" s="8">
        <v>8515</v>
      </c>
      <c r="AD9" s="8">
        <v>13381</v>
      </c>
      <c r="AE9" s="17">
        <v>16160</v>
      </c>
      <c r="AF9" s="16">
        <v>6860</v>
      </c>
      <c r="AG9" s="8">
        <v>17341</v>
      </c>
      <c r="AH9" s="8">
        <v>12433</v>
      </c>
      <c r="AI9" s="8">
        <v>11374</v>
      </c>
      <c r="AJ9" s="17">
        <v>11421</v>
      </c>
      <c r="AK9" s="16">
        <v>12445</v>
      </c>
      <c r="AL9" s="8">
        <v>14321</v>
      </c>
      <c r="AM9" s="8">
        <v>14318</v>
      </c>
      <c r="AN9" s="8">
        <v>22347</v>
      </c>
      <c r="AO9" s="17">
        <v>13266</v>
      </c>
      <c r="AP9" s="8">
        <v>15227</v>
      </c>
      <c r="AQ9" s="8">
        <v>21122</v>
      </c>
      <c r="AR9" s="8">
        <v>21752</v>
      </c>
      <c r="AS9" s="8">
        <v>22997</v>
      </c>
      <c r="AT9" s="8">
        <v>16069</v>
      </c>
      <c r="AU9" s="8">
        <v>14727</v>
      </c>
      <c r="AV9" s="181">
        <v>41181</v>
      </c>
      <c r="AW9" s="8">
        <v>12898</v>
      </c>
      <c r="AX9" s="8">
        <v>24010</v>
      </c>
      <c r="AY9" s="8">
        <v>20055</v>
      </c>
      <c r="AZ9" s="8">
        <v>21719</v>
      </c>
      <c r="BA9" s="8">
        <v>11153</v>
      </c>
      <c r="BB9" s="8">
        <v>12187</v>
      </c>
      <c r="BC9" s="8">
        <v>12468</v>
      </c>
      <c r="BD9" s="8">
        <v>13338</v>
      </c>
      <c r="BE9" s="8">
        <v>15058</v>
      </c>
      <c r="BF9" s="8">
        <v>19986</v>
      </c>
      <c r="BG9" s="8">
        <v>16981</v>
      </c>
      <c r="BH9" s="8">
        <v>22403</v>
      </c>
      <c r="BI9" s="8">
        <v>25562</v>
      </c>
      <c r="BJ9" s="8">
        <v>17313</v>
      </c>
      <c r="BK9" s="8">
        <v>14625</v>
      </c>
      <c r="BL9" s="8">
        <v>14458</v>
      </c>
      <c r="BM9" s="8">
        <v>14791</v>
      </c>
      <c r="BN9" s="8">
        <v>15775</v>
      </c>
      <c r="BO9" s="8">
        <v>16221</v>
      </c>
      <c r="BP9" s="8">
        <v>4109</v>
      </c>
      <c r="BQ9" s="8">
        <v>10884</v>
      </c>
      <c r="BR9" s="8">
        <v>13666</v>
      </c>
      <c r="BS9" s="8">
        <v>12108</v>
      </c>
      <c r="BT9" s="8">
        <v>13486</v>
      </c>
      <c r="BU9" s="8">
        <v>13625</v>
      </c>
      <c r="BV9" s="8">
        <v>13443</v>
      </c>
      <c r="BW9" s="8">
        <v>18297</v>
      </c>
      <c r="BX9" s="8">
        <v>14583</v>
      </c>
      <c r="BY9" s="8">
        <v>12524</v>
      </c>
      <c r="BZ9" s="8">
        <v>18294</v>
      </c>
      <c r="CA9" s="8">
        <v>14483</v>
      </c>
      <c r="CB9" s="8">
        <v>16548</v>
      </c>
      <c r="CC9" s="8">
        <v>88341</v>
      </c>
      <c r="CD9" s="8">
        <v>16655</v>
      </c>
      <c r="CE9" s="8">
        <v>15890</v>
      </c>
      <c r="CF9" s="8">
        <v>18146</v>
      </c>
      <c r="CG9" s="8">
        <v>17606</v>
      </c>
      <c r="CH9" s="8">
        <v>16057</v>
      </c>
      <c r="CI9" s="8">
        <v>13640</v>
      </c>
      <c r="CJ9" s="8">
        <v>18723</v>
      </c>
      <c r="CK9" s="8">
        <v>14343</v>
      </c>
      <c r="CL9" s="8">
        <v>13023</v>
      </c>
      <c r="CM9" s="8">
        <v>20124</v>
      </c>
      <c r="CN9" s="8">
        <v>12640</v>
      </c>
      <c r="CO9" s="8">
        <v>9272</v>
      </c>
      <c r="CP9" s="8">
        <v>10972</v>
      </c>
      <c r="CQ9" s="8">
        <v>11536</v>
      </c>
      <c r="CR9" s="8">
        <v>11541</v>
      </c>
      <c r="CS9" s="8">
        <v>13256</v>
      </c>
      <c r="CT9" s="8">
        <v>18873</v>
      </c>
      <c r="CU9" s="8">
        <v>12380</v>
      </c>
      <c r="CV9" s="8">
        <v>13428</v>
      </c>
      <c r="CW9" s="8">
        <v>25373</v>
      </c>
      <c r="CX9" s="8">
        <v>20995</v>
      </c>
      <c r="CY9" s="8">
        <v>20298</v>
      </c>
      <c r="CZ9" s="8">
        <v>14443</v>
      </c>
      <c r="DA9" s="8">
        <v>17825</v>
      </c>
      <c r="DB9" s="8">
        <v>15750</v>
      </c>
      <c r="DC9" s="8">
        <v>19574</v>
      </c>
      <c r="DD9" s="8">
        <v>10769</v>
      </c>
      <c r="DE9" s="8">
        <v>18997</v>
      </c>
      <c r="DF9" s="8">
        <v>19746</v>
      </c>
      <c r="DG9" s="8">
        <v>15810</v>
      </c>
      <c r="DH9" s="8">
        <v>26538</v>
      </c>
      <c r="DI9" s="8">
        <v>11738</v>
      </c>
      <c r="DJ9" s="8">
        <v>12453</v>
      </c>
      <c r="DK9" s="8">
        <v>19546</v>
      </c>
      <c r="DL9" s="8">
        <v>18325</v>
      </c>
      <c r="DM9" s="8">
        <v>12606</v>
      </c>
      <c r="DN9" s="8">
        <v>14662</v>
      </c>
      <c r="DO9" s="8">
        <v>15329</v>
      </c>
      <c r="DP9" s="8">
        <v>22475</v>
      </c>
      <c r="DQ9" s="8">
        <v>16336</v>
      </c>
    </row>
    <row r="10" spans="1:125" ht="15.75">
      <c r="A10" s="68" t="s">
        <v>379</v>
      </c>
      <c r="B10" s="16">
        <v>700</v>
      </c>
      <c r="C10">
        <v>709</v>
      </c>
      <c r="D10" s="8">
        <v>700</v>
      </c>
      <c r="E10" s="8">
        <v>701</v>
      </c>
      <c r="F10" s="17">
        <v>699</v>
      </c>
      <c r="G10" s="16">
        <v>706.3</v>
      </c>
      <c r="H10" s="8">
        <v>700.5</v>
      </c>
      <c r="I10" s="8">
        <v>701.8</v>
      </c>
      <c r="J10" s="8">
        <v>706.2</v>
      </c>
      <c r="K10" s="17">
        <v>701</v>
      </c>
      <c r="L10" s="16">
        <v>702</v>
      </c>
      <c r="M10" s="8">
        <v>698</v>
      </c>
      <c r="N10" s="8">
        <v>700</v>
      </c>
      <c r="O10" s="8">
        <v>698</v>
      </c>
      <c r="P10" s="17">
        <v>701</v>
      </c>
      <c r="Q10" s="16">
        <v>702</v>
      </c>
      <c r="R10" s="8">
        <v>708</v>
      </c>
      <c r="S10" s="8">
        <v>700</v>
      </c>
      <c r="T10" s="8">
        <v>705</v>
      </c>
      <c r="U10" s="17">
        <v>700</v>
      </c>
      <c r="V10" s="16">
        <v>700.2</v>
      </c>
      <c r="W10" s="8">
        <v>700.6</v>
      </c>
      <c r="X10" s="8">
        <v>705</v>
      </c>
      <c r="Y10" s="8">
        <v>704.4</v>
      </c>
      <c r="Z10" s="17">
        <v>700</v>
      </c>
      <c r="AA10" s="16">
        <v>700</v>
      </c>
      <c r="AB10" s="8">
        <v>699</v>
      </c>
      <c r="AC10" s="8">
        <v>701</v>
      </c>
      <c r="AD10" s="8">
        <v>700</v>
      </c>
      <c r="AE10" s="17">
        <v>588</v>
      </c>
      <c r="AF10" s="16">
        <v>195</v>
      </c>
      <c r="AG10" s="8">
        <v>700</v>
      </c>
      <c r="AH10" s="8">
        <v>701</v>
      </c>
      <c r="AI10" s="8">
        <v>700</v>
      </c>
      <c r="AJ10" s="17">
        <v>703</v>
      </c>
      <c r="AK10" s="16">
        <v>699</v>
      </c>
      <c r="AL10" s="8">
        <v>701.5</v>
      </c>
      <c r="AM10" s="8">
        <v>700</v>
      </c>
      <c r="AN10" s="8">
        <v>697</v>
      </c>
      <c r="AO10" s="17">
        <v>700</v>
      </c>
      <c r="AP10" s="8">
        <v>701</v>
      </c>
      <c r="AQ10" s="8">
        <v>703</v>
      </c>
      <c r="AR10" s="8">
        <v>699</v>
      </c>
      <c r="AS10" s="8">
        <v>701</v>
      </c>
      <c r="AT10" s="8">
        <v>699</v>
      </c>
      <c r="AU10" s="8">
        <v>704</v>
      </c>
      <c r="AV10" s="181">
        <v>707</v>
      </c>
      <c r="AW10" s="8">
        <v>700</v>
      </c>
      <c r="AX10" s="8">
        <v>700</v>
      </c>
      <c r="AY10" s="8">
        <v>702</v>
      </c>
      <c r="AZ10" s="8">
        <v>702.5</v>
      </c>
      <c r="BA10" s="8">
        <v>699</v>
      </c>
      <c r="BB10" s="8">
        <v>701</v>
      </c>
      <c r="BC10" s="8">
        <v>701.2</v>
      </c>
      <c r="BD10" s="8">
        <v>700.7</v>
      </c>
      <c r="BE10" s="8">
        <v>700.7</v>
      </c>
      <c r="BF10" s="8">
        <v>598.9</v>
      </c>
      <c r="BG10" s="8">
        <v>705</v>
      </c>
      <c r="BH10" s="8">
        <v>704</v>
      </c>
      <c r="BI10" s="8">
        <v>709</v>
      </c>
      <c r="BJ10" s="8">
        <v>701</v>
      </c>
      <c r="BK10" s="8">
        <v>701</v>
      </c>
      <c r="BL10" s="8">
        <v>700</v>
      </c>
      <c r="BM10" s="8">
        <v>705</v>
      </c>
      <c r="BN10" s="8">
        <v>704</v>
      </c>
      <c r="BO10" s="8">
        <v>702</v>
      </c>
      <c r="BP10" s="8">
        <v>502</v>
      </c>
      <c r="BQ10" s="8">
        <v>700</v>
      </c>
      <c r="BR10" s="8">
        <v>701</v>
      </c>
      <c r="BS10" s="8">
        <v>699</v>
      </c>
      <c r="BT10" s="8">
        <v>702</v>
      </c>
      <c r="BU10" s="8">
        <v>700.7</v>
      </c>
      <c r="BV10" s="8">
        <v>701</v>
      </c>
      <c r="BW10" s="8">
        <v>704</v>
      </c>
      <c r="BX10" s="8">
        <v>700.5</v>
      </c>
      <c r="BY10" s="8">
        <v>704</v>
      </c>
      <c r="BZ10" s="8">
        <v>701.2</v>
      </c>
      <c r="CA10" s="8">
        <v>706.5</v>
      </c>
      <c r="CB10" s="8">
        <v>700.8</v>
      </c>
      <c r="CC10" s="8">
        <v>-2425</v>
      </c>
      <c r="CD10" s="8">
        <v>701</v>
      </c>
      <c r="CE10" s="8">
        <v>701</v>
      </c>
      <c r="CF10" s="8">
        <v>699</v>
      </c>
      <c r="CG10" s="8">
        <v>700</v>
      </c>
      <c r="CH10" s="8">
        <v>702</v>
      </c>
      <c r="CI10" s="8">
        <v>698.6</v>
      </c>
      <c r="CJ10" s="8">
        <v>701</v>
      </c>
      <c r="CK10" s="8">
        <v>701</v>
      </c>
      <c r="CL10" s="8">
        <v>700</v>
      </c>
      <c r="CM10" s="8">
        <v>706</v>
      </c>
      <c r="CN10" s="8">
        <v>701</v>
      </c>
      <c r="CO10" s="8">
        <v>698.6</v>
      </c>
      <c r="CP10" s="8">
        <v>687</v>
      </c>
      <c r="CQ10" s="8">
        <v>700.6</v>
      </c>
      <c r="CR10" s="8">
        <v>699</v>
      </c>
      <c r="CS10" s="8">
        <v>700</v>
      </c>
      <c r="CT10" s="8">
        <v>706</v>
      </c>
      <c r="CU10" s="8">
        <v>701</v>
      </c>
      <c r="CV10" s="8">
        <v>702</v>
      </c>
      <c r="CW10" s="8">
        <v>713</v>
      </c>
      <c r="CX10" s="8">
        <v>703</v>
      </c>
      <c r="CY10" s="8">
        <v>695.3</v>
      </c>
      <c r="CZ10" s="8">
        <v>702</v>
      </c>
      <c r="DA10" s="8">
        <v>702.6</v>
      </c>
      <c r="DB10" s="8">
        <v>696.6</v>
      </c>
      <c r="DC10" s="8">
        <v>704.2</v>
      </c>
      <c r="DD10" s="8">
        <v>698</v>
      </c>
      <c r="DE10" s="8">
        <v>701.7</v>
      </c>
      <c r="DF10" s="8">
        <v>700.9</v>
      </c>
      <c r="DG10" s="8">
        <v>702</v>
      </c>
      <c r="DH10" s="8">
        <v>715</v>
      </c>
      <c r="DI10" s="8">
        <v>699</v>
      </c>
      <c r="DJ10" s="8">
        <v>697</v>
      </c>
      <c r="DK10" s="8">
        <v>706</v>
      </c>
      <c r="DL10" s="8">
        <v>700</v>
      </c>
      <c r="DM10" s="8">
        <v>702.6</v>
      </c>
      <c r="DN10" s="8">
        <v>700</v>
      </c>
      <c r="DO10" s="8">
        <v>701</v>
      </c>
      <c r="DP10" s="8">
        <v>706</v>
      </c>
      <c r="DQ10" s="8">
        <v>701</v>
      </c>
    </row>
    <row r="11" spans="1:125" ht="15.75">
      <c r="A11" s="68" t="s">
        <v>380</v>
      </c>
      <c r="B11" s="16">
        <v>-5028</v>
      </c>
      <c r="C11">
        <v>-22532</v>
      </c>
      <c r="D11" s="8">
        <v>-5441</v>
      </c>
      <c r="E11" s="8">
        <v>-3708</v>
      </c>
      <c r="F11" s="17">
        <v>-5509</v>
      </c>
      <c r="G11" s="16">
        <v>-5279</v>
      </c>
      <c r="H11" s="8">
        <v>-4210</v>
      </c>
      <c r="I11" s="8">
        <v>-4547</v>
      </c>
      <c r="J11" s="8">
        <v>-13173</v>
      </c>
      <c r="K11" s="17">
        <v>-3223</v>
      </c>
      <c r="L11" s="16">
        <v>-12675</v>
      </c>
      <c r="M11" s="8">
        <v>-4029</v>
      </c>
      <c r="N11" s="8">
        <v>-4441</v>
      </c>
      <c r="O11" s="8">
        <v>-4814</v>
      </c>
      <c r="P11" s="17">
        <v>-12032</v>
      </c>
      <c r="Q11" s="16">
        <v>-5379</v>
      </c>
      <c r="R11" s="8">
        <v>-9026</v>
      </c>
      <c r="S11" s="8">
        <v>-4903</v>
      </c>
      <c r="T11" s="8">
        <v>-6929</v>
      </c>
      <c r="U11" s="17">
        <v>-7595</v>
      </c>
      <c r="V11" s="16">
        <v>-5423</v>
      </c>
      <c r="W11" s="8">
        <v>-3842</v>
      </c>
      <c r="X11" s="8">
        <v>-6967</v>
      </c>
      <c r="Y11" s="8">
        <v>-9857</v>
      </c>
      <c r="Z11" s="17">
        <v>-5269</v>
      </c>
      <c r="AA11" s="16">
        <v>-5388</v>
      </c>
      <c r="AB11" s="8">
        <v>-6164</v>
      </c>
      <c r="AC11" s="8">
        <v>-2761</v>
      </c>
      <c r="AD11" s="8">
        <v>-3323</v>
      </c>
      <c r="AE11" s="17">
        <v>-13106</v>
      </c>
      <c r="AF11" s="16">
        <v>-18575</v>
      </c>
      <c r="AG11" s="8">
        <v>-8370</v>
      </c>
      <c r="AH11" s="8">
        <v>-4564</v>
      </c>
      <c r="AI11" s="8">
        <v>-3849</v>
      </c>
      <c r="AJ11" s="17">
        <v>-3789</v>
      </c>
      <c r="AK11" s="16">
        <v>-4300</v>
      </c>
      <c r="AL11" s="8">
        <v>-4579</v>
      </c>
      <c r="AM11" s="8">
        <v>-4492</v>
      </c>
      <c r="AN11" s="8">
        <v>-11008</v>
      </c>
      <c r="AO11" s="17">
        <v>-4431</v>
      </c>
      <c r="AP11" s="8">
        <v>-5453</v>
      </c>
      <c r="AQ11" s="8">
        <v>-8410</v>
      </c>
      <c r="AR11" s="8">
        <v>-11183</v>
      </c>
      <c r="AS11" s="8">
        <v>-10376</v>
      </c>
      <c r="AT11" s="8">
        <v>-6414</v>
      </c>
      <c r="AU11" s="8">
        <v>-3939</v>
      </c>
      <c r="AV11" s="181">
        <v>-26195</v>
      </c>
      <c r="AW11" s="8">
        <v>-3790</v>
      </c>
      <c r="AX11" s="8">
        <v>-11495</v>
      </c>
      <c r="AY11" s="8">
        <v>-8432</v>
      </c>
      <c r="AZ11" s="8">
        <v>-10390</v>
      </c>
      <c r="BA11" s="8">
        <v>-4157</v>
      </c>
      <c r="BB11" s="8">
        <v>-3710</v>
      </c>
      <c r="BC11" s="8">
        <v>-3266</v>
      </c>
      <c r="BD11" s="8">
        <v>-4677</v>
      </c>
      <c r="BE11" s="8">
        <v>-6026</v>
      </c>
      <c r="BF11" s="8">
        <v>-9642</v>
      </c>
      <c r="BG11" s="8">
        <v>-7829</v>
      </c>
      <c r="BH11" s="8">
        <v>-10415</v>
      </c>
      <c r="BI11" s="8">
        <v>-13449</v>
      </c>
      <c r="BJ11" s="8">
        <v>-6583</v>
      </c>
      <c r="BK11" s="8">
        <v>-4608</v>
      </c>
      <c r="BL11" s="8">
        <v>-5495</v>
      </c>
      <c r="BM11" s="8">
        <v>-5954</v>
      </c>
      <c r="BN11" s="8">
        <v>-6342</v>
      </c>
      <c r="BO11" s="8">
        <v>-6034</v>
      </c>
      <c r="BP11" s="8">
        <v>-1432</v>
      </c>
      <c r="BQ11" s="8">
        <v>-4005</v>
      </c>
      <c r="BR11" s="8">
        <v>-3979</v>
      </c>
      <c r="BS11" s="8">
        <v>-4671</v>
      </c>
      <c r="BT11" s="8">
        <v>-4192</v>
      </c>
      <c r="BU11" s="8">
        <v>-4150</v>
      </c>
      <c r="BV11" s="8">
        <v>-5384</v>
      </c>
      <c r="BW11" s="8">
        <v>-8255</v>
      </c>
      <c r="BX11" s="8">
        <v>-5136</v>
      </c>
      <c r="BY11" s="8">
        <v>-4117</v>
      </c>
      <c r="BZ11" s="8">
        <v>-6914</v>
      </c>
      <c r="CA11" s="8">
        <v>-5116</v>
      </c>
      <c r="CB11" s="8">
        <v>-7407</v>
      </c>
      <c r="CC11" s="8">
        <v>-237623</v>
      </c>
      <c r="CD11" s="8">
        <v>-5373</v>
      </c>
      <c r="CE11" s="8">
        <v>-5992</v>
      </c>
      <c r="CF11" s="8">
        <v>-8631</v>
      </c>
      <c r="CG11" s="8">
        <v>-7158</v>
      </c>
      <c r="CH11" s="8">
        <v>-6598</v>
      </c>
      <c r="CI11" s="8">
        <v>-5768</v>
      </c>
      <c r="CJ11" s="8">
        <v>-7613</v>
      </c>
      <c r="CK11" s="8">
        <v>-5278</v>
      </c>
      <c r="CL11" s="8">
        <v>-3793</v>
      </c>
      <c r="CM11" s="8">
        <v>-7404</v>
      </c>
      <c r="CN11" s="8">
        <v>-4695</v>
      </c>
      <c r="CO11" s="8">
        <v>-3099</v>
      </c>
      <c r="CP11" s="8">
        <v>-3981</v>
      </c>
      <c r="CQ11" s="8">
        <v>-4052</v>
      </c>
      <c r="CR11" s="8">
        <v>-4200</v>
      </c>
      <c r="CS11" s="8">
        <v>-4884</v>
      </c>
      <c r="CT11" s="8">
        <v>-9057</v>
      </c>
      <c r="CU11" s="8">
        <v>-4484</v>
      </c>
      <c r="CV11" s="8">
        <v>-4691</v>
      </c>
      <c r="CW11" s="8">
        <v>-12117</v>
      </c>
      <c r="CX11" s="8">
        <v>-9969</v>
      </c>
      <c r="CY11" s="8">
        <v>-9786</v>
      </c>
      <c r="CZ11" s="8">
        <v>-4633</v>
      </c>
      <c r="DA11" s="8">
        <v>-8358</v>
      </c>
      <c r="DB11" s="8">
        <v>-7406</v>
      </c>
      <c r="DC11" s="8">
        <v>-8000</v>
      </c>
      <c r="DD11" s="8">
        <v>-3780</v>
      </c>
      <c r="DE11" s="8">
        <v>-8348</v>
      </c>
      <c r="DF11" s="8">
        <v>-8634</v>
      </c>
      <c r="DG11" s="8">
        <v>-5346</v>
      </c>
      <c r="DH11" s="8">
        <v>-13990</v>
      </c>
      <c r="DI11" s="8">
        <v>-4453</v>
      </c>
      <c r="DJ11" s="8">
        <v>-4510</v>
      </c>
      <c r="DK11" s="8">
        <v>-9443</v>
      </c>
      <c r="DL11" s="8">
        <v>-7901</v>
      </c>
      <c r="DM11" s="8">
        <v>-4578</v>
      </c>
      <c r="DN11" s="8">
        <v>-5753</v>
      </c>
      <c r="DO11" s="8">
        <v>-6481</v>
      </c>
      <c r="DP11" s="8">
        <v>-10030</v>
      </c>
      <c r="DQ11" s="8">
        <v>-4984</v>
      </c>
    </row>
    <row r="12" spans="1:125" ht="15.75">
      <c r="A12" s="69" t="s">
        <v>381</v>
      </c>
      <c r="B12" s="70">
        <f t="shared" ref="B12:DU12" si="14">B$8*LN((14000-B$11)/B$9)+B$10</f>
        <v>759.62597477851307</v>
      </c>
      <c r="C12" s="71">
        <f t="shared" si="14"/>
        <v>708.55693860343388</v>
      </c>
      <c r="D12" s="71">
        <f t="shared" si="14"/>
        <v>753.36100510373137</v>
      </c>
      <c r="E12" s="71">
        <f t="shared" si="14"/>
        <v>776.51964985396467</v>
      </c>
      <c r="F12" s="72">
        <f t="shared" si="14"/>
        <v>735.14531083745271</v>
      </c>
      <c r="G12" s="70">
        <f t="shared" si="14"/>
        <v>758.34239864526592</v>
      </c>
      <c r="H12" s="71">
        <f t="shared" si="14"/>
        <v>803.52955993361547</v>
      </c>
      <c r="I12" s="71">
        <f t="shared" si="14"/>
        <v>776.3275917769414</v>
      </c>
      <c r="J12" s="71">
        <f t="shared" si="14"/>
        <v>712.3240864008477</v>
      </c>
      <c r="K12" s="72">
        <f t="shared" si="14"/>
        <v>767.83939028343616</v>
      </c>
      <c r="L12" s="70">
        <f t="shared" si="14"/>
        <v>688.24318974625271</v>
      </c>
      <c r="M12" s="71">
        <f t="shared" si="14"/>
        <v>780.94745413568148</v>
      </c>
      <c r="N12" s="71">
        <f t="shared" si="14"/>
        <v>822.96078062876268</v>
      </c>
      <c r="O12" s="71">
        <f t="shared" si="14"/>
        <v>770.63080755980479</v>
      </c>
      <c r="P12" s="72">
        <f t="shared" si="14"/>
        <v>745.3385065706841</v>
      </c>
      <c r="Q12" s="70">
        <f t="shared" si="14"/>
        <v>773.95329391510109</v>
      </c>
      <c r="R12" s="71">
        <f t="shared" si="14"/>
        <v>766.91535826983443</v>
      </c>
      <c r="S12" s="71">
        <f t="shared" si="14"/>
        <v>806.82638758993119</v>
      </c>
      <c r="T12" s="71">
        <f t="shared" si="14"/>
        <v>795.76237229613162</v>
      </c>
      <c r="U12" s="72">
        <f t="shared" si="14"/>
        <v>759.75444489669951</v>
      </c>
      <c r="V12" s="70">
        <f t="shared" si="14"/>
        <v>789.82277669116581</v>
      </c>
      <c r="W12" s="71">
        <f t="shared" si="14"/>
        <v>783.76878551235995</v>
      </c>
      <c r="X12" s="71">
        <f t="shared" si="14"/>
        <v>748.74433788898352</v>
      </c>
      <c r="Y12" s="71">
        <f t="shared" si="14"/>
        <v>723.28430915664069</v>
      </c>
      <c r="Z12" s="72">
        <f t="shared" si="14"/>
        <v>763.01887211624398</v>
      </c>
      <c r="AA12" s="70">
        <f t="shared" si="14"/>
        <v>783.48089292588418</v>
      </c>
      <c r="AB12" s="71">
        <f t="shared" si="14"/>
        <v>775.72279283245291</v>
      </c>
      <c r="AC12" s="71">
        <f t="shared" si="14"/>
        <v>837.7995398961549</v>
      </c>
      <c r="AD12" s="71">
        <f t="shared" si="14"/>
        <v>745.18487889544156</v>
      </c>
      <c r="AE12" s="72">
        <f t="shared" si="14"/>
        <v>707.99412418020302</v>
      </c>
      <c r="AF12" s="70">
        <f t="shared" si="14"/>
        <v>749.59021453322896</v>
      </c>
      <c r="AG12" s="71">
        <f t="shared" si="14"/>
        <v>778.17667065548721</v>
      </c>
      <c r="AH12" s="71">
        <f t="shared" si="14"/>
        <v>788.7905285563802</v>
      </c>
      <c r="AI12" s="71">
        <f t="shared" si="14"/>
        <v>793.27780912009189</v>
      </c>
      <c r="AJ12" s="72">
        <f t="shared" si="14"/>
        <v>796.49969628435383</v>
      </c>
      <c r="AK12" s="70">
        <f t="shared" si="14"/>
        <v>777.65875330167523</v>
      </c>
      <c r="AL12" s="71">
        <f t="shared" si="14"/>
        <v>752.51976414898377</v>
      </c>
      <c r="AM12" s="71">
        <f t="shared" si="14"/>
        <v>748.60593663887732</v>
      </c>
      <c r="AN12" s="71">
        <f t="shared" si="14"/>
        <v>730.41359587561101</v>
      </c>
      <c r="AO12" s="72">
        <f t="shared" si="14"/>
        <v>765.43710203475814</v>
      </c>
      <c r="AP12" s="59">
        <f t="shared" si="14"/>
        <v>752.68046884294483</v>
      </c>
      <c r="AQ12" s="59">
        <f t="shared" si="14"/>
        <v>718.6267240329779</v>
      </c>
      <c r="AR12" s="59">
        <f t="shared" si="14"/>
        <v>743.81781764784193</v>
      </c>
      <c r="AS12" s="59">
        <f t="shared" si="14"/>
        <v>713.81175918972906</v>
      </c>
      <c r="AT12" s="59">
        <f t="shared" si="14"/>
        <v>757.63560253081414</v>
      </c>
      <c r="AU12" s="59">
        <f t="shared" si="14"/>
        <v>739.71031716510004</v>
      </c>
      <c r="AV12" s="182">
        <f t="shared" si="14"/>
        <v>697.57282806365151</v>
      </c>
      <c r="AW12" s="59">
        <f t="shared" si="14"/>
        <v>760.77564156592643</v>
      </c>
      <c r="AX12" s="59">
        <f t="shared" si="14"/>
        <v>717.46347578372161</v>
      </c>
      <c r="AY12" s="59">
        <f t="shared" si="14"/>
        <v>730.45054295406158</v>
      </c>
      <c r="AZ12" s="59">
        <f t="shared" si="14"/>
        <v>733.81615485916416</v>
      </c>
      <c r="BA12" s="59">
        <f t="shared" si="14"/>
        <v>800.36830938543505</v>
      </c>
      <c r="BB12" s="59">
        <f t="shared" si="14"/>
        <v>772.76185125504833</v>
      </c>
      <c r="BC12" s="59">
        <f t="shared" si="14"/>
        <v>758.82657815975858</v>
      </c>
      <c r="BD12" s="59">
        <f t="shared" si="14"/>
        <v>775.10533326281961</v>
      </c>
      <c r="BE12" s="59">
        <f t="shared" si="14"/>
        <v>771.41026042870476</v>
      </c>
      <c r="BF12" s="59">
        <f t="shared" si="14"/>
        <v>641.63735887885662</v>
      </c>
      <c r="BG12" s="59">
        <f t="shared" si="14"/>
        <v>772.30666945952044</v>
      </c>
      <c r="BH12" s="59">
        <f t="shared" si="14"/>
        <v>726.87674986698914</v>
      </c>
      <c r="BI12" s="59">
        <f t="shared" si="14"/>
        <v>731.50642493234034</v>
      </c>
      <c r="BJ12" s="59">
        <f t="shared" si="14"/>
        <v>740.44578477942275</v>
      </c>
      <c r="BK12" s="59">
        <f t="shared" si="14"/>
        <v>745.79981169446023</v>
      </c>
      <c r="BL12" s="59">
        <f t="shared" si="14"/>
        <v>768.15150915127185</v>
      </c>
      <c r="BM12" s="59">
        <f t="shared" si="14"/>
        <v>780.75091641092683</v>
      </c>
      <c r="BN12" s="59">
        <f t="shared" si="14"/>
        <v>766.29401991515124</v>
      </c>
      <c r="BO12" s="59">
        <f t="shared" si="14"/>
        <v>752.24754320693955</v>
      </c>
      <c r="BP12" s="59">
        <f t="shared" si="14"/>
        <v>770.6225078975375</v>
      </c>
      <c r="BQ12" s="59">
        <f t="shared" si="14"/>
        <v>806.208047673946</v>
      </c>
      <c r="BR12" s="59">
        <f t="shared" si="14"/>
        <v>751.7442815503307</v>
      </c>
      <c r="BS12" s="59">
        <f t="shared" si="14"/>
        <v>791.25139201345371</v>
      </c>
      <c r="BT12" s="59">
        <f t="shared" si="14"/>
        <v>759.47132672559167</v>
      </c>
      <c r="BU12" s="59">
        <f t="shared" si="14"/>
        <v>755.75873027101807</v>
      </c>
      <c r="BV12" s="59">
        <f t="shared" si="14"/>
        <v>780.96869680070085</v>
      </c>
      <c r="BW12" s="59">
        <f t="shared" si="14"/>
        <v>762.35721796464588</v>
      </c>
      <c r="BX12" s="59">
        <f t="shared" si="14"/>
        <v>760.54899533913135</v>
      </c>
      <c r="BY12" s="59">
        <f t="shared" si="14"/>
        <v>779.31759978806178</v>
      </c>
      <c r="BZ12" s="59">
        <f t="shared" si="14"/>
        <v>733.18911129219168</v>
      </c>
      <c r="CA12" s="59">
        <f t="shared" si="14"/>
        <v>763.95287750971886</v>
      </c>
      <c r="CB12" s="59">
        <f t="shared" si="14"/>
        <v>764.39082251824232</v>
      </c>
      <c r="CC12" s="59">
        <f t="shared" si="14"/>
        <v>748.67811227037464</v>
      </c>
      <c r="CD12" s="59">
        <f t="shared" si="14"/>
        <v>730.32695525707823</v>
      </c>
      <c r="CE12" s="59">
        <f t="shared" si="14"/>
        <v>751.75092906946986</v>
      </c>
      <c r="CF12" s="59">
        <f t="shared" si="14"/>
        <v>755.98458823920237</v>
      </c>
      <c r="CG12" s="59">
        <f t="shared" si="14"/>
        <v>746.3121395445188</v>
      </c>
      <c r="CH12" s="59">
        <f t="shared" si="14"/>
        <v>764.76037121828767</v>
      </c>
      <c r="CI12" s="59">
        <f t="shared" si="14"/>
        <v>793.40527205723868</v>
      </c>
      <c r="CJ12" s="59">
        <f t="shared" si="14"/>
        <v>736.59848317867795</v>
      </c>
      <c r="CK12" s="59">
        <f t="shared" si="14"/>
        <v>762.21042392728793</v>
      </c>
      <c r="CL12" s="59">
        <f t="shared" si="14"/>
        <v>758.04838595627871</v>
      </c>
      <c r="CM12" s="59">
        <f t="shared" si="14"/>
        <v>718.94958444219708</v>
      </c>
      <c r="CN12" s="59">
        <f t="shared" si="14"/>
        <v>782.99614627932158</v>
      </c>
      <c r="CO12" s="59">
        <f t="shared" si="14"/>
        <v>817.332049988427</v>
      </c>
      <c r="CP12" s="59">
        <f t="shared" si="14"/>
        <v>789.25159785724782</v>
      </c>
      <c r="CQ12" s="59">
        <f t="shared" si="14"/>
        <v>795.0824032000761</v>
      </c>
      <c r="CR12" s="59">
        <f t="shared" si="14"/>
        <v>798.30241859849707</v>
      </c>
      <c r="CS12" s="59">
        <f t="shared" si="14"/>
        <v>781.03502146618928</v>
      </c>
      <c r="CT12" s="59">
        <f t="shared" si="14"/>
        <v>769.0746807413193</v>
      </c>
      <c r="CU12" s="59">
        <f t="shared" si="14"/>
        <v>787.17699353658747</v>
      </c>
      <c r="CV12" s="59">
        <f t="shared" si="14"/>
        <v>775.41541009350794</v>
      </c>
      <c r="CW12" s="59">
        <f t="shared" si="14"/>
        <v>720.94772736247978</v>
      </c>
      <c r="CX12" s="59">
        <f t="shared" si="14"/>
        <v>742.34567334353494</v>
      </c>
      <c r="CY12" s="59">
        <f t="shared" si="14"/>
        <v>738.11519958517533</v>
      </c>
      <c r="CZ12" s="59">
        <f t="shared" si="14"/>
        <v>756.00155883476418</v>
      </c>
      <c r="DA12" s="59">
        <f t="shared" si="14"/>
        <v>770.12150529923679</v>
      </c>
      <c r="DB12" s="59">
        <f t="shared" si="14"/>
        <v>789.26292916974364</v>
      </c>
      <c r="DC12" s="59">
        <f t="shared" si="14"/>
        <v>736.44792234589397</v>
      </c>
      <c r="DD12" s="59">
        <f t="shared" si="14"/>
        <v>805.30015506014911</v>
      </c>
      <c r="DE12" s="59">
        <f t="shared" si="14"/>
        <v>748.64971453422322</v>
      </c>
      <c r="DF12" s="59">
        <f t="shared" si="14"/>
        <v>738.98413091790326</v>
      </c>
      <c r="DG12" s="59">
        <f t="shared" si="14"/>
        <v>743.47874236475923</v>
      </c>
      <c r="DH12" s="59">
        <f t="shared" si="14"/>
        <v>731.8332047905451</v>
      </c>
      <c r="DI12" s="59">
        <f t="shared" si="14"/>
        <v>796.71743161977088</v>
      </c>
      <c r="DJ12" s="59">
        <f t="shared" si="14"/>
        <v>779.04436075120373</v>
      </c>
      <c r="DK12" s="59">
        <f t="shared" si="14"/>
        <v>760.54038428522108</v>
      </c>
      <c r="DL12" s="59">
        <f t="shared" si="14"/>
        <v>751.16235638091405</v>
      </c>
      <c r="DM12" s="59">
        <f t="shared" si="14"/>
        <v>794.70373354517255</v>
      </c>
      <c r="DN12" s="59">
        <f t="shared" si="14"/>
        <v>772.12719631016137</v>
      </c>
      <c r="DO12" s="59">
        <f t="shared" si="14"/>
        <v>773.14804081215038</v>
      </c>
      <c r="DP12" s="59">
        <f t="shared" si="14"/>
        <v>722.52416893950135</v>
      </c>
      <c r="DQ12" s="59">
        <f t="shared" si="14"/>
        <v>731.9464030884975</v>
      </c>
      <c r="DR12" s="59" t="e">
        <f t="shared" si="14"/>
        <v>#DIV/0!</v>
      </c>
      <c r="DS12" s="59" t="e">
        <f t="shared" si="14"/>
        <v>#DIV/0!</v>
      </c>
      <c r="DT12" s="59" t="e">
        <f t="shared" si="14"/>
        <v>#DIV/0!</v>
      </c>
      <c r="DU12" s="59" t="e">
        <f t="shared" si="14"/>
        <v>#DIV/0!</v>
      </c>
    </row>
    <row r="13" spans="1:125" ht="18.75">
      <c r="B13" s="9" t="s">
        <v>19</v>
      </c>
      <c r="G13" s="61" t="s">
        <v>38</v>
      </c>
      <c r="L13" s="61" t="s">
        <v>54</v>
      </c>
      <c r="Q13" s="61" t="s">
        <v>72</v>
      </c>
      <c r="V13" s="61" t="s">
        <v>92</v>
      </c>
      <c r="AA13" s="61" t="s">
        <v>112</v>
      </c>
      <c r="AF13" s="61" t="s">
        <v>139</v>
      </c>
      <c r="AK13" s="61" t="s">
        <v>161</v>
      </c>
      <c r="AP13" s="73" t="s">
        <v>178</v>
      </c>
      <c r="AZ13" s="73" t="s">
        <v>221</v>
      </c>
      <c r="BJ13" s="73" t="s">
        <v>251</v>
      </c>
      <c r="BT13" s="73" t="s">
        <v>274</v>
      </c>
      <c r="CD13" s="73" t="s">
        <v>284</v>
      </c>
      <c r="CN13" s="73" t="s">
        <v>304</v>
      </c>
      <c r="CX13" s="73" t="s">
        <v>274</v>
      </c>
      <c r="DH13" s="73" t="s">
        <v>346</v>
      </c>
    </row>
    <row r="15" spans="1:125">
      <c r="DK15" s="8" t="s">
        <v>382</v>
      </c>
    </row>
    <row r="16" spans="1:125">
      <c r="DK16" s="8" t="s">
        <v>383</v>
      </c>
    </row>
    <row r="17" spans="115:115">
      <c r="DK17" s="8" t="s">
        <v>384</v>
      </c>
    </row>
    <row r="18" spans="115:115">
      <c r="DK18" s="8" t="s">
        <v>385</v>
      </c>
    </row>
    <row r="21" spans="115:115" ht="15.75" customHeight="1"/>
    <row r="22" spans="115:115" ht="15.75" customHeight="1"/>
    <row r="23" spans="115:115" ht="15.75" customHeight="1"/>
    <row r="24" spans="115:115" ht="15.75" customHeight="1"/>
    <row r="25" spans="115:115" ht="15.75" customHeight="1"/>
    <row r="26" spans="115:115" ht="15.75" customHeight="1"/>
    <row r="27" spans="115:115" ht="15.75" customHeight="1"/>
    <row r="28" spans="115:115" ht="15.75" customHeight="1"/>
    <row r="29" spans="115:115" ht="15.75" customHeight="1"/>
    <row r="30" spans="115:115" ht="15.75" customHeight="1"/>
    <row r="31" spans="115:115" ht="15.75" customHeight="1"/>
    <row r="32" spans="115: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Q1000"/>
  <sheetViews>
    <sheetView workbookViewId="0">
      <pane xSplit="1" topLeftCell="BG1" activePane="topRight" state="frozen"/>
      <selection pane="topRight" activeCell="BJ12" sqref="BJ12"/>
    </sheetView>
  </sheetViews>
  <sheetFormatPr defaultColWidth="14.42578125" defaultRowHeight="15" customHeight="1"/>
  <cols>
    <col min="1" max="2" width="8.85546875" customWidth="1"/>
    <col min="3" max="3" width="8.28515625" customWidth="1"/>
    <col min="4" max="121" width="8.85546875" customWidth="1"/>
  </cols>
  <sheetData>
    <row r="1" spans="1:121" ht="15.75">
      <c r="A1" s="62" t="s">
        <v>376</v>
      </c>
      <c r="B1" s="63" t="str">
        <f>Main!$B2</f>
        <v>LV2143</v>
      </c>
      <c r="C1" s="64" t="str">
        <f t="shared" ref="C1:AO1" ca="1" si="0">INDIRECT("Main!B" &amp; (COLUMN()-2)*3+2)</f>
        <v>LV2177</v>
      </c>
      <c r="D1" s="64" t="str">
        <f t="shared" ca="1" si="0"/>
        <v>LV1762</v>
      </c>
      <c r="E1" s="64" t="str">
        <f t="shared" ca="1" si="0"/>
        <v>LV2085</v>
      </c>
      <c r="F1" s="64" t="str">
        <f t="shared" ca="1" si="0"/>
        <v>LV2138</v>
      </c>
      <c r="G1" s="64" t="str">
        <f t="shared" ca="1" si="0"/>
        <v>LV2125</v>
      </c>
      <c r="H1" s="64" t="str">
        <f t="shared" ca="1" si="0"/>
        <v>LV2148</v>
      </c>
      <c r="I1" s="64" t="str">
        <f t="shared" ca="1" si="0"/>
        <v>LV2060</v>
      </c>
      <c r="J1" s="64" t="str">
        <f t="shared" ca="1" si="0"/>
        <v>LV2029</v>
      </c>
      <c r="K1" s="64" t="str">
        <f t="shared" ca="1" si="0"/>
        <v>LV2050</v>
      </c>
      <c r="L1" s="64" t="str">
        <f t="shared" ca="1" si="0"/>
        <v>LV2119</v>
      </c>
      <c r="M1" s="64" t="str">
        <f t="shared" ca="1" si="0"/>
        <v>LV2086</v>
      </c>
      <c r="N1" s="64" t="str">
        <f t="shared" ca="1" si="0"/>
        <v>LV2193</v>
      </c>
      <c r="O1" s="64" t="str">
        <f t="shared" ca="1" si="0"/>
        <v>LV2182</v>
      </c>
      <c r="P1" s="64" t="str">
        <f t="shared" ca="1" si="0"/>
        <v>LV2134</v>
      </c>
      <c r="Q1" s="64" t="str">
        <f t="shared" ca="1" si="0"/>
        <v>LV2201</v>
      </c>
      <c r="R1" s="64" t="str">
        <f t="shared" ca="1" si="0"/>
        <v>LV2032</v>
      </c>
      <c r="S1" s="64" t="str">
        <f t="shared" ca="1" si="0"/>
        <v>LV2070</v>
      </c>
      <c r="T1" s="64" t="str">
        <f t="shared" ca="1" si="0"/>
        <v>LV1788</v>
      </c>
      <c r="U1" s="64" t="str">
        <f t="shared" ca="1" si="0"/>
        <v>LV2121</v>
      </c>
      <c r="V1" s="64" t="str">
        <f t="shared" ca="1" si="0"/>
        <v>LV2122</v>
      </c>
      <c r="W1" s="64" t="str">
        <f t="shared" ca="1" si="0"/>
        <v>LV2090</v>
      </c>
      <c r="X1" s="64" t="str">
        <f t="shared" ca="1" si="0"/>
        <v>LV2062</v>
      </c>
      <c r="Y1" s="64" t="str">
        <f t="shared" ca="1" si="0"/>
        <v>LV2063</v>
      </c>
      <c r="Z1" s="64" t="str">
        <f t="shared" ca="1" si="0"/>
        <v>LV2126</v>
      </c>
      <c r="AA1" s="64" t="str">
        <f t="shared" ca="1" si="0"/>
        <v>LV2136</v>
      </c>
      <c r="AB1" s="64" t="str">
        <f t="shared" ca="1" si="0"/>
        <v>LV2176</v>
      </c>
      <c r="AC1" s="64" t="str">
        <f t="shared" ca="1" si="0"/>
        <v>LV2079</v>
      </c>
      <c r="AD1" s="64" t="str">
        <f t="shared" ca="1" si="0"/>
        <v>LV2083</v>
      </c>
      <c r="AE1" s="64" t="str">
        <f t="shared" ca="1" si="0"/>
        <v>LV2200</v>
      </c>
      <c r="AF1" s="64" t="str">
        <f t="shared" ca="1" si="0"/>
        <v>LV2146</v>
      </c>
      <c r="AG1" s="64" t="str">
        <f t="shared" ca="1" si="0"/>
        <v>LV2155</v>
      </c>
      <c r="AH1" s="64" t="str">
        <f t="shared" ca="1" si="0"/>
        <v>LV2169</v>
      </c>
      <c r="AI1" s="64" t="str">
        <f t="shared" ca="1" si="0"/>
        <v>LV2084</v>
      </c>
      <c r="AJ1" s="64" t="str">
        <f t="shared" ca="1" si="0"/>
        <v>LV2199</v>
      </c>
      <c r="AK1" s="64" t="str">
        <f t="shared" ca="1" si="0"/>
        <v>LV2144</v>
      </c>
      <c r="AL1" s="64" t="str">
        <f t="shared" ca="1" si="0"/>
        <v>LV2065</v>
      </c>
      <c r="AM1" s="64" t="str">
        <f t="shared" ca="1" si="0"/>
        <v>LV2031</v>
      </c>
      <c r="AN1" s="64" t="str">
        <f t="shared" ca="1" si="0"/>
        <v>LV2167</v>
      </c>
      <c r="AO1" s="64" t="str">
        <f t="shared" ca="1" si="0"/>
        <v>LV2128</v>
      </c>
      <c r="AP1" s="64" t="str">
        <f t="shared" ref="AP1:DQ1" ca="1" si="1">INDIRECT("LongBoards!B" &amp; (COLUMN()-42)*3+2)</f>
        <v>LV2194</v>
      </c>
      <c r="AQ1" s="64" t="str">
        <f t="shared" ca="1" si="1"/>
        <v>LV2140</v>
      </c>
      <c r="AR1" s="64" t="str">
        <f t="shared" ca="1" si="1"/>
        <v>LV2075</v>
      </c>
      <c r="AS1" s="64" t="str">
        <f t="shared" ca="1" si="1"/>
        <v>LV2131</v>
      </c>
      <c r="AT1" s="64" t="str">
        <f t="shared" ca="1" si="1"/>
        <v>LV2192</v>
      </c>
      <c r="AU1" s="64" t="str">
        <f t="shared" ca="1" si="1"/>
        <v>LV2165</v>
      </c>
      <c r="AV1" s="64" t="str">
        <f t="shared" ca="1" si="1"/>
        <v>LV2087</v>
      </c>
      <c r="AW1" s="64" t="str">
        <f t="shared" ca="1" si="1"/>
        <v>LV2064</v>
      </c>
      <c r="AX1" s="64" t="str">
        <f t="shared" ca="1" si="1"/>
        <v>LV2117</v>
      </c>
      <c r="AY1" s="64" t="str">
        <f t="shared" ca="1" si="1"/>
        <v>LV2098</v>
      </c>
      <c r="AZ1" s="64" t="str">
        <f t="shared" ca="1" si="1"/>
        <v>LV2100</v>
      </c>
      <c r="BA1" s="64" t="str">
        <f t="shared" ca="1" si="1"/>
        <v>LV1785</v>
      </c>
      <c r="BB1" s="64" t="str">
        <f t="shared" ca="1" si="1"/>
        <v>LV2091</v>
      </c>
      <c r="BC1" s="64" t="str">
        <f t="shared" ca="1" si="1"/>
        <v>LV2095</v>
      </c>
      <c r="BD1" s="64" t="str">
        <f t="shared" ca="1" si="1"/>
        <v>LV2187</v>
      </c>
      <c r="BE1" s="64" t="str">
        <f t="shared" ca="1" si="1"/>
        <v>LV2190</v>
      </c>
      <c r="BF1" s="64" t="str">
        <f t="shared" ca="1" si="1"/>
        <v>LV2186</v>
      </c>
      <c r="BG1" s="64" t="str">
        <f t="shared" ca="1" si="1"/>
        <v>LV2077</v>
      </c>
      <c r="BH1" s="64" t="str">
        <f t="shared" ca="1" si="1"/>
        <v>LV1760</v>
      </c>
      <c r="BI1" s="64" t="str">
        <f t="shared" ca="1" si="1"/>
        <v>LV2123</v>
      </c>
      <c r="BJ1" s="64" t="s">
        <v>590</v>
      </c>
      <c r="BK1" s="64" t="str">
        <f t="shared" ca="1" si="1"/>
        <v>LV1789</v>
      </c>
      <c r="BL1" s="64" t="str">
        <f t="shared" ca="1" si="1"/>
        <v>LV2179</v>
      </c>
      <c r="BM1" s="64" t="str">
        <f t="shared" ca="1" si="1"/>
        <v>LV2173</v>
      </c>
      <c r="BN1" s="64" t="str">
        <f t="shared" ca="1" si="1"/>
        <v>LV2166</v>
      </c>
      <c r="BO1" s="64" t="str">
        <f t="shared" ca="1" si="1"/>
        <v>LV2157</v>
      </c>
      <c r="BP1" s="64" t="str">
        <f t="shared" ca="1" si="1"/>
        <v>LV2082</v>
      </c>
      <c r="BQ1" s="64" t="str">
        <f t="shared" ca="1" si="1"/>
        <v>LV2072</v>
      </c>
      <c r="BR1" s="64" t="str">
        <f t="shared" ca="1" si="1"/>
        <v>LV2058</v>
      </c>
      <c r="BS1" s="64" t="str">
        <f t="shared" ca="1" si="1"/>
        <v>LV2161</v>
      </c>
      <c r="BT1" s="64" t="str">
        <f t="shared" ca="1" si="1"/>
        <v>LV2093</v>
      </c>
      <c r="BU1" s="64" t="str">
        <f t="shared" ca="1" si="1"/>
        <v>LV2052</v>
      </c>
      <c r="BV1" s="64" t="str">
        <f t="shared" ca="1" si="1"/>
        <v>LV2078</v>
      </c>
      <c r="BW1" s="64" t="str">
        <f t="shared" ca="1" si="1"/>
        <v>LV2174</v>
      </c>
      <c r="BX1" s="64" t="str">
        <f t="shared" ca="1" si="1"/>
        <v>LV2164</v>
      </c>
      <c r="BY1" s="64" t="str">
        <f t="shared" ca="1" si="1"/>
        <v>LV2030</v>
      </c>
      <c r="BZ1" s="64" t="str">
        <f t="shared" ca="1" si="1"/>
        <v>LV2163</v>
      </c>
      <c r="CA1" s="64" t="str">
        <f t="shared" ca="1" si="1"/>
        <v>LV2066</v>
      </c>
      <c r="CB1" s="64" t="str">
        <f t="shared" ca="1" si="1"/>
        <v>LV2067</v>
      </c>
      <c r="CC1" s="64" t="str">
        <f t="shared" ca="1" si="1"/>
        <v>LV2094</v>
      </c>
      <c r="CD1" s="64" t="str">
        <f t="shared" ca="1" si="1"/>
        <v>LV2106</v>
      </c>
      <c r="CE1" s="64" t="str">
        <f t="shared" ca="1" si="1"/>
        <v>LV2145</v>
      </c>
      <c r="CF1" s="64" t="str">
        <f t="shared" ca="1" si="1"/>
        <v>LV2069</v>
      </c>
      <c r="CG1" s="64" t="str">
        <f t="shared" ca="1" si="1"/>
        <v>LV2171</v>
      </c>
      <c r="CH1" s="64" t="str">
        <f t="shared" ca="1" si="1"/>
        <v>LV2147</v>
      </c>
      <c r="CI1" s="64" t="str">
        <f t="shared" ca="1" si="1"/>
        <v>LV2159</v>
      </c>
      <c r="CJ1" s="64" t="str">
        <f t="shared" ca="1" si="1"/>
        <v>LV2162</v>
      </c>
      <c r="CK1" s="64" t="str">
        <f t="shared" ca="1" si="1"/>
        <v>LV2054</v>
      </c>
      <c r="CL1" s="64" t="str">
        <f t="shared" ca="1" si="1"/>
        <v>LV2047</v>
      </c>
      <c r="CM1" s="64" t="str">
        <f t="shared" ca="1" si="1"/>
        <v>LV2139</v>
      </c>
      <c r="CN1" s="74" t="str">
        <f t="shared" ca="1" si="1"/>
        <v>LV2120</v>
      </c>
      <c r="CO1" s="74" t="str">
        <f t="shared" ca="1" si="1"/>
        <v>LV2071</v>
      </c>
      <c r="CP1" s="74" t="str">
        <f t="shared" ca="1" si="1"/>
        <v>LV2175</v>
      </c>
      <c r="CQ1" s="74" t="str">
        <f t="shared" ca="1" si="1"/>
        <v>LV2034</v>
      </c>
      <c r="CR1" s="74" t="str">
        <f t="shared" ca="1" si="1"/>
        <v>LV2081</v>
      </c>
      <c r="CS1" s="74" t="str">
        <f t="shared" ca="1" si="1"/>
        <v>LV2152</v>
      </c>
      <c r="CT1" s="74" t="str">
        <f t="shared" ca="1" si="1"/>
        <v>LV2160</v>
      </c>
      <c r="CU1" s="74" t="str">
        <f t="shared" ca="1" si="1"/>
        <v>LV2089</v>
      </c>
      <c r="CV1" s="74" t="str">
        <f t="shared" ca="1" si="1"/>
        <v>LV2178</v>
      </c>
      <c r="CW1" s="74" t="str">
        <f t="shared" ca="1" si="1"/>
        <v>LV2096</v>
      </c>
      <c r="CX1" s="74" t="str">
        <f t="shared" ca="1" si="1"/>
        <v>LV2130</v>
      </c>
      <c r="CY1" s="74" t="str">
        <f t="shared" ca="1" si="1"/>
        <v>LV2076</v>
      </c>
      <c r="CZ1" s="74" t="str">
        <f t="shared" ca="1" si="1"/>
        <v>LV2172</v>
      </c>
      <c r="DA1" s="74" t="str">
        <f t="shared" ca="1" si="1"/>
        <v>LV2168</v>
      </c>
      <c r="DB1" s="74" t="str">
        <f t="shared" ca="1" si="1"/>
        <v>LV2185</v>
      </c>
      <c r="DC1" s="74" t="str">
        <f t="shared" ca="1" si="1"/>
        <v>LV2158</v>
      </c>
      <c r="DD1" s="74" t="str">
        <f t="shared" ca="1" si="1"/>
        <v>LV2088</v>
      </c>
      <c r="DE1" s="74" t="str">
        <f t="shared" ca="1" si="1"/>
        <v>LV2181</v>
      </c>
      <c r="DF1" s="74" t="str">
        <f t="shared" ca="1" si="1"/>
        <v>LV2118</v>
      </c>
      <c r="DG1" s="74" t="str">
        <f t="shared" ca="1" si="1"/>
        <v>LV2195</v>
      </c>
      <c r="DH1" s="74" t="str">
        <f t="shared" ca="1" si="1"/>
        <v>LV2124</v>
      </c>
      <c r="DI1" s="74" t="str">
        <f t="shared" ca="1" si="1"/>
        <v>LV2074</v>
      </c>
      <c r="DJ1" s="74" t="str">
        <f t="shared" ca="1" si="1"/>
        <v>LV2092</v>
      </c>
      <c r="DK1" s="74" t="str">
        <f t="shared" ca="1" si="1"/>
        <v>LV2073</v>
      </c>
      <c r="DL1" s="74" t="str">
        <f t="shared" ca="1" si="1"/>
        <v>LV2191</v>
      </c>
      <c r="DM1" s="74" t="str">
        <f t="shared" ca="1" si="1"/>
        <v>LV2188</v>
      </c>
      <c r="DN1" s="74" t="str">
        <f t="shared" ca="1" si="1"/>
        <v>LV2184</v>
      </c>
      <c r="DO1" s="74" t="str">
        <f t="shared" ca="1" si="1"/>
        <v>LV2137</v>
      </c>
      <c r="DP1" s="74" t="str">
        <f t="shared" ca="1" si="1"/>
        <v>LV2057</v>
      </c>
      <c r="DQ1" s="74" t="str">
        <f t="shared" ca="1" si="1"/>
        <v>LV2127</v>
      </c>
    </row>
    <row r="2" spans="1:121" ht="15.75">
      <c r="A2" s="68">
        <v>700</v>
      </c>
      <c r="B2" s="10">
        <f t="shared" ref="B2:AO2" ca="1" si="2">INDIRECT("Main!F" &amp; (COLUMN()-2)*3+4)</f>
        <v>27229</v>
      </c>
      <c r="C2" s="11">
        <f t="shared" ca="1" si="2"/>
        <v>33658</v>
      </c>
      <c r="D2" s="11">
        <f t="shared" ca="1" si="2"/>
        <v>29142</v>
      </c>
      <c r="E2" s="11">
        <f t="shared" ca="1" si="2"/>
        <v>25983</v>
      </c>
      <c r="F2" s="12">
        <f t="shared" ca="1" si="2"/>
        <v>32263</v>
      </c>
      <c r="G2" s="10">
        <f t="shared" ca="1" si="2"/>
        <v>25883</v>
      </c>
      <c r="H2" s="11">
        <f t="shared" ca="1" si="2"/>
        <v>19486</v>
      </c>
      <c r="I2" s="11">
        <f t="shared" ca="1" si="2"/>
        <v>23808</v>
      </c>
      <c r="J2" s="11">
        <f t="shared" ca="1" si="2"/>
        <v>33569</v>
      </c>
      <c r="K2" s="12">
        <f t="shared" ca="1" si="2"/>
        <v>25413</v>
      </c>
      <c r="L2" s="10">
        <f t="shared" ca="1" si="2"/>
        <v>41252</v>
      </c>
      <c r="M2" s="11">
        <f t="shared" ca="1" si="2"/>
        <v>25215</v>
      </c>
      <c r="N2" s="11">
        <f t="shared" ca="1" si="2"/>
        <v>21332</v>
      </c>
      <c r="O2" s="11">
        <f t="shared" ca="1" si="2"/>
        <v>26554</v>
      </c>
      <c r="P2" s="12">
        <f t="shared" ca="1" si="2"/>
        <v>33526</v>
      </c>
      <c r="Q2" s="10">
        <f t="shared" ca="1" si="2"/>
        <v>25276</v>
      </c>
      <c r="R2" s="11">
        <f t="shared" ca="1" si="2"/>
        <v>27836</v>
      </c>
      <c r="S2" s="11">
        <f t="shared" ca="1" si="2"/>
        <v>22700</v>
      </c>
      <c r="T2" s="11">
        <f t="shared" ca="1" si="2"/>
        <v>22708</v>
      </c>
      <c r="U2" s="12">
        <f t="shared" ca="1" si="2"/>
        <v>29673</v>
      </c>
      <c r="V2" s="10">
        <f t="shared" ca="1" si="2"/>
        <v>23801</v>
      </c>
      <c r="W2" s="11">
        <f t="shared" ca="1" si="2"/>
        <v>24443</v>
      </c>
      <c r="X2" s="11">
        <f t="shared" ca="1" si="2"/>
        <v>31110</v>
      </c>
      <c r="Y2" s="11">
        <f ca="1">INDIRECT("Main!F" &amp; (COLUMN()-2)*3+4)</f>
        <v>33089</v>
      </c>
      <c r="Z2" s="12">
        <f t="shared" ca="1" si="2"/>
        <v>27493</v>
      </c>
      <c r="AA2" s="10">
        <f t="shared" ca="1" si="2"/>
        <v>24940</v>
      </c>
      <c r="AB2" s="11">
        <f t="shared" ca="1" si="2"/>
        <v>25778</v>
      </c>
      <c r="AC2" s="11">
        <f t="shared" ca="1" si="2"/>
        <v>19544</v>
      </c>
      <c r="AD2" s="11">
        <f t="shared" ca="1" si="2"/>
        <v>32454</v>
      </c>
      <c r="AE2" s="12">
        <f t="shared" ca="1" si="2"/>
        <v>41050</v>
      </c>
      <c r="AF2" s="10">
        <f t="shared" ca="1" si="2"/>
        <v>29110</v>
      </c>
      <c r="AG2" s="11">
        <f t="shared" ca="1" si="2"/>
        <v>26520</v>
      </c>
      <c r="AH2" s="11">
        <f t="shared" ca="1" si="2"/>
        <v>24206</v>
      </c>
      <c r="AI2" s="11">
        <f t="shared" ca="1" si="2"/>
        <v>23656</v>
      </c>
      <c r="AJ2" s="12">
        <f t="shared" ca="1" si="2"/>
        <v>23074</v>
      </c>
      <c r="AK2" s="10">
        <f t="shared" ca="1" si="2"/>
        <v>24863</v>
      </c>
      <c r="AL2" s="11">
        <f t="shared" ca="1" si="2"/>
        <v>30193</v>
      </c>
      <c r="AM2" s="11">
        <f t="shared" ca="1" si="2"/>
        <v>31270</v>
      </c>
      <c r="AN2" s="11">
        <f t="shared" ca="1" si="2"/>
        <v>33660</v>
      </c>
      <c r="AO2" s="12">
        <f t="shared" ca="1" si="2"/>
        <v>27288</v>
      </c>
      <c r="AP2" s="10">
        <f t="shared" ref="AP2:DQ2" ca="1" si="3">INDIRECT("LongBoards!F" &amp; (COLUMN()-42)*3+4)</f>
        <v>25999</v>
      </c>
      <c r="AQ2" s="11">
        <f t="shared" ca="1" si="3"/>
        <v>33575</v>
      </c>
      <c r="AR2" s="11">
        <f t="shared" ca="1" si="3"/>
        <v>27020</v>
      </c>
      <c r="AS2" s="11">
        <f t="shared" ca="1" si="3"/>
        <v>35721</v>
      </c>
      <c r="AT2" s="11">
        <f t="shared" ca="1" si="3"/>
        <v>25579</v>
      </c>
      <c r="AU2" s="11">
        <f t="shared" ca="1" si="3"/>
        <v>29776</v>
      </c>
      <c r="AV2" s="183">
        <f t="shared" ca="1" si="3"/>
        <v>38613</v>
      </c>
      <c r="AW2" s="11">
        <f t="shared" ca="1" si="3"/>
        <v>26026</v>
      </c>
      <c r="AX2" s="11">
        <f t="shared" ca="1" si="3"/>
        <v>32188</v>
      </c>
      <c r="AY2" s="12">
        <f t="shared" ca="1" si="3"/>
        <v>29191</v>
      </c>
      <c r="AZ2" s="12">
        <f t="shared" ca="1" si="3"/>
        <v>28947</v>
      </c>
      <c r="BA2" s="11">
        <f t="shared" ca="1" si="3"/>
        <v>20049</v>
      </c>
      <c r="BB2" s="11">
        <f t="shared" ca="1" si="3"/>
        <v>23836</v>
      </c>
      <c r="BC2" s="11">
        <f t="shared" ca="1" si="3"/>
        <v>26842</v>
      </c>
      <c r="BD2" s="11">
        <f t="shared" ca="1" si="3"/>
        <v>23888</v>
      </c>
      <c r="BE2" s="11">
        <f t="shared" ca="1" si="3"/>
        <v>23852</v>
      </c>
      <c r="BF2" s="11">
        <f t="shared" ca="1" si="3"/>
        <v>0</v>
      </c>
      <c r="BG2" s="11">
        <f t="shared" ca="1" si="3"/>
        <v>23551</v>
      </c>
      <c r="BH2" s="11">
        <f t="shared" ca="1" si="3"/>
        <v>30518</v>
      </c>
      <c r="BI2" s="12">
        <f t="shared" ca="1" si="3"/>
        <v>29079</v>
      </c>
      <c r="BJ2" s="10">
        <f ca="1">INDIRECT("LongBoards!F" &amp; (COLUMN()-42)*3+4)</f>
        <v>29003</v>
      </c>
      <c r="BK2" s="11">
        <f t="shared" ca="1" si="3"/>
        <v>28774</v>
      </c>
      <c r="BL2" s="11">
        <f t="shared" ca="1" si="3"/>
        <v>24850</v>
      </c>
      <c r="BM2" s="11">
        <f t="shared" ca="1" si="3"/>
        <v>23443</v>
      </c>
      <c r="BN2" s="11">
        <f t="shared" ca="1" si="3"/>
        <v>24503</v>
      </c>
      <c r="BO2" s="11">
        <f t="shared" ca="1" si="3"/>
        <v>26292</v>
      </c>
      <c r="BP2" s="11">
        <f t="shared" ca="1" si="3"/>
        <v>24085</v>
      </c>
      <c r="BQ2" s="11">
        <f t="shared" ca="1" si="3"/>
        <v>19566</v>
      </c>
      <c r="BR2" s="11">
        <f t="shared" ca="1" si="3"/>
        <v>28041</v>
      </c>
      <c r="BS2" s="12">
        <f t="shared" ca="1" si="3"/>
        <v>19937</v>
      </c>
      <c r="BT2" s="10">
        <f t="shared" ca="1" si="3"/>
        <v>26354</v>
      </c>
      <c r="BU2" s="11">
        <f t="shared" ca="1" si="3"/>
        <v>27266</v>
      </c>
      <c r="BV2" s="11">
        <f t="shared" ca="1" si="3"/>
        <v>22807</v>
      </c>
      <c r="BW2" s="11">
        <f t="shared" ca="1" si="3"/>
        <v>26903</v>
      </c>
      <c r="BX2" s="11">
        <f t="shared" ca="1" si="3"/>
        <v>25738</v>
      </c>
      <c r="BY2" s="11">
        <f t="shared" ca="1" si="3"/>
        <v>22836</v>
      </c>
      <c r="BZ2" s="11">
        <f t="shared" ca="1" si="3"/>
        <v>28816</v>
      </c>
      <c r="CA2" s="11">
        <f t="shared" ca="1" si="3"/>
        <v>25408</v>
      </c>
      <c r="CB2" s="11">
        <f t="shared" ca="1" si="3"/>
        <v>24767</v>
      </c>
      <c r="CC2" s="12">
        <f t="shared" ca="1" si="3"/>
        <v>29945</v>
      </c>
      <c r="CD2" s="8">
        <f t="shared" ca="1" si="3"/>
        <v>30702</v>
      </c>
      <c r="CE2" s="8">
        <f t="shared" ca="1" si="3"/>
        <v>26696</v>
      </c>
      <c r="CF2" s="8">
        <f t="shared" ca="1" si="3"/>
        <v>25935</v>
      </c>
      <c r="CG2" s="8">
        <f t="shared" ca="1" si="3"/>
        <v>27450</v>
      </c>
      <c r="CH2" s="8">
        <f t="shared" ca="1" si="3"/>
        <v>25069</v>
      </c>
      <c r="CI2" s="8">
        <f ca="1">INDIRECT("LongBoards!F" &amp; (COLUMN()-42)*3+4)</f>
        <v>21834</v>
      </c>
      <c r="CJ2" s="8">
        <f t="shared" ca="1" si="3"/>
        <v>28782</v>
      </c>
      <c r="CK2" s="8">
        <f t="shared" ca="1" si="3"/>
        <v>25797</v>
      </c>
      <c r="CL2" s="8">
        <f t="shared" ca="1" si="3"/>
        <v>26353</v>
      </c>
      <c r="CM2" s="8">
        <f t="shared" ca="1" si="3"/>
        <v>33312</v>
      </c>
      <c r="CN2" s="75">
        <f t="shared" ca="1" si="3"/>
        <v>22075</v>
      </c>
      <c r="CO2" s="56">
        <f ca="1">INDIRECT("LongBoards!F" &amp; (COLUMN()-42)*3+4)</f>
        <v>18381</v>
      </c>
      <c r="CP2" s="56">
        <f t="shared" ca="1" si="3"/>
        <v>21482</v>
      </c>
      <c r="CQ2" s="56">
        <f t="shared" ca="1" si="3"/>
        <v>21192</v>
      </c>
      <c r="CR2" s="56">
        <f t="shared" ca="1" si="3"/>
        <v>21109</v>
      </c>
      <c r="CS2" s="56">
        <f t="shared" ca="1" si="3"/>
        <v>23244</v>
      </c>
      <c r="CT2" s="56">
        <f t="shared" ca="1" si="3"/>
        <v>25305</v>
      </c>
      <c r="CU2" s="56">
        <f t="shared" ca="1" si="3"/>
        <v>21705</v>
      </c>
      <c r="CV2" s="56">
        <f t="shared" ca="1" si="3"/>
        <v>23569</v>
      </c>
      <c r="CW2" s="76">
        <f t="shared" ca="1" si="3"/>
        <v>31215</v>
      </c>
      <c r="CX2" s="75">
        <f t="shared" ca="1" si="3"/>
        <v>28626</v>
      </c>
      <c r="CY2" s="56">
        <f t="shared" ca="1" si="3"/>
        <v>27990</v>
      </c>
      <c r="CZ2" s="56">
        <f t="shared" ca="1" si="3"/>
        <v>26279</v>
      </c>
      <c r="DA2" s="56">
        <f t="shared" ca="1" si="3"/>
        <v>25606</v>
      </c>
      <c r="DB2" s="56">
        <f t="shared" ca="1" si="3"/>
        <v>23470</v>
      </c>
      <c r="DC2" s="56">
        <f t="shared" ca="1" si="3"/>
        <v>30426</v>
      </c>
      <c r="DD2" s="56">
        <f t="shared" ca="1" si="3"/>
        <v>19484</v>
      </c>
      <c r="DE2" s="56">
        <f t="shared" ca="1" si="3"/>
        <v>28704</v>
      </c>
      <c r="DF2" s="56">
        <f t="shared" ca="1" si="3"/>
        <v>30164</v>
      </c>
      <c r="DG2" s="76">
        <f t="shared" ca="1" si="3"/>
        <v>28303</v>
      </c>
      <c r="DH2" s="75">
        <f t="shared" ca="1" si="3"/>
        <v>28580</v>
      </c>
      <c r="DI2" s="56">
        <f t="shared" ca="1" si="3"/>
        <v>20732</v>
      </c>
      <c r="DJ2" s="56">
        <f t="shared" ca="1" si="3"/>
        <v>22744</v>
      </c>
      <c r="DK2" s="56">
        <f t="shared" ca="1" si="3"/>
        <v>24562</v>
      </c>
      <c r="DL2" s="56">
        <f t="shared" ca="1" si="3"/>
        <v>28403</v>
      </c>
      <c r="DM2" s="56">
        <f t="shared" ca="1" si="3"/>
        <v>22165</v>
      </c>
      <c r="DN2" s="56">
        <f t="shared" ca="1" si="3"/>
        <v>23940</v>
      </c>
      <c r="DO2" s="56">
        <f t="shared" ca="1" si="3"/>
        <v>24236</v>
      </c>
      <c r="DP2" s="56">
        <f t="shared" ca="1" si="3"/>
        <v>31777</v>
      </c>
      <c r="DQ2" s="76">
        <f t="shared" ca="1" si="3"/>
        <v>29976</v>
      </c>
    </row>
    <row r="3" spans="1:121" ht="15.75">
      <c r="A3" s="68">
        <v>750</v>
      </c>
      <c r="B3" s="16">
        <f t="shared" ref="B3:AO3" ca="1" si="4">INDIRECT("Main!G" &amp; (COLUMN()-2)*3+4)</f>
        <v>37560</v>
      </c>
      <c r="C3" s="8">
        <f t="shared" ca="1" si="4"/>
        <v>44009</v>
      </c>
      <c r="D3" s="8">
        <f t="shared" ca="1" si="4"/>
        <v>39313</v>
      </c>
      <c r="E3" s="8">
        <f t="shared" ca="1" si="4"/>
        <v>36884</v>
      </c>
      <c r="F3" s="17">
        <f t="shared" ca="1" si="4"/>
        <v>45005</v>
      </c>
      <c r="G3" s="16">
        <f t="shared" ca="1" si="4"/>
        <v>35391</v>
      </c>
      <c r="H3" s="8">
        <f t="shared" ca="1" si="4"/>
        <v>27302</v>
      </c>
      <c r="I3" s="8">
        <f t="shared" ca="1" si="4"/>
        <v>33559</v>
      </c>
      <c r="J3" s="8">
        <f t="shared" ca="1" si="4"/>
        <v>45086</v>
      </c>
      <c r="K3" s="17">
        <f t="shared" ca="1" si="4"/>
        <v>35937</v>
      </c>
      <c r="L3" s="16">
        <f t="shared" ca="1" si="4"/>
        <v>53964</v>
      </c>
      <c r="M3" s="8">
        <f t="shared" ca="1" si="4"/>
        <v>35583</v>
      </c>
      <c r="N3" s="8">
        <f t="shared" ca="1" si="4"/>
        <v>28345</v>
      </c>
      <c r="O3" s="8">
        <f t="shared" ca="1" si="4"/>
        <v>36418</v>
      </c>
      <c r="P3" s="17">
        <f t="shared" ca="1" si="4"/>
        <v>42849</v>
      </c>
      <c r="Q3" s="16">
        <f t="shared" ca="1" si="4"/>
        <v>35007</v>
      </c>
      <c r="R3" s="8">
        <f t="shared" ca="1" si="4"/>
        <v>36546</v>
      </c>
      <c r="S3" s="8">
        <f t="shared" ca="1" si="4"/>
        <v>30183</v>
      </c>
      <c r="T3" s="8">
        <f t="shared" ca="1" si="4"/>
        <v>30148</v>
      </c>
      <c r="U3" s="17">
        <f t="shared" ca="1" si="4"/>
        <v>39484</v>
      </c>
      <c r="V3" s="16">
        <f t="shared" ca="1" si="4"/>
        <v>31611</v>
      </c>
      <c r="W3" s="8">
        <f t="shared" ca="1" si="4"/>
        <v>34809</v>
      </c>
      <c r="X3" s="8">
        <f t="shared" ca="1" si="4"/>
        <v>44114</v>
      </c>
      <c r="Y3" s="8">
        <f t="shared" ca="1" si="4"/>
        <v>45886</v>
      </c>
      <c r="Z3" s="17">
        <f t="shared" ca="1" si="4"/>
        <v>38277</v>
      </c>
      <c r="AA3" s="16">
        <f t="shared" ca="1" si="4"/>
        <v>33168</v>
      </c>
      <c r="AB3" s="8">
        <f t="shared" ca="1" si="4"/>
        <v>34213</v>
      </c>
      <c r="AC3" s="8">
        <f t="shared" ca="1" si="4"/>
        <v>27312</v>
      </c>
      <c r="AD3" s="8">
        <f t="shared" ca="1" si="4"/>
        <v>46597</v>
      </c>
      <c r="AE3" s="17">
        <f t="shared" ca="1" si="4"/>
        <v>57979</v>
      </c>
      <c r="AF3" s="16">
        <f t="shared" ca="1" si="4"/>
        <v>39151</v>
      </c>
      <c r="AG3" s="8">
        <f t="shared" ca="1" si="4"/>
        <v>34788</v>
      </c>
      <c r="AH3" s="8">
        <f t="shared" ca="1" si="4"/>
        <v>32987</v>
      </c>
      <c r="AI3" s="8">
        <f t="shared" ca="1" si="4"/>
        <v>33181</v>
      </c>
      <c r="AJ3" s="17">
        <f t="shared" ca="1" si="4"/>
        <v>31390</v>
      </c>
      <c r="AK3" s="16">
        <f t="shared" ca="1" si="4"/>
        <v>34764</v>
      </c>
      <c r="AL3" s="8">
        <f t="shared" ca="1" si="4"/>
        <v>42667</v>
      </c>
      <c r="AM3" s="8">
        <f t="shared" ca="1" si="4"/>
        <v>44169</v>
      </c>
      <c r="AN3" s="8">
        <f t="shared" ca="1" si="4"/>
        <v>44472</v>
      </c>
      <c r="AO3" s="17">
        <f t="shared" ca="1" si="4"/>
        <v>37952</v>
      </c>
      <c r="AP3" s="16">
        <f t="shared" ref="AP3:DQ3" ca="1" si="5">INDIRECT("LongBoards!G" &amp; (COLUMN()-42)*3+4)</f>
        <v>35665</v>
      </c>
      <c r="AQ3" s="52">
        <f t="shared" ca="1" si="5"/>
        <v>44857</v>
      </c>
      <c r="AR3" s="52">
        <f t="shared" ca="1" si="5"/>
        <v>35355</v>
      </c>
      <c r="AS3" s="52">
        <f t="shared" ca="1" si="5"/>
        <v>51232</v>
      </c>
      <c r="AT3" s="52">
        <f t="shared" ca="1" si="5"/>
        <v>33983</v>
      </c>
      <c r="AU3" s="52">
        <f t="shared" ca="1" si="5"/>
        <v>42650</v>
      </c>
      <c r="AV3" s="184">
        <f t="shared" ca="1" si="5"/>
        <v>44708</v>
      </c>
      <c r="AW3" s="52">
        <f t="shared" ca="1" si="5"/>
        <v>37166</v>
      </c>
      <c r="AX3" s="52">
        <f t="shared" ca="1" si="5"/>
        <v>42638</v>
      </c>
      <c r="AY3" s="17">
        <f t="shared" ca="1" si="5"/>
        <v>38731</v>
      </c>
      <c r="AZ3" s="17">
        <f t="shared" ca="1" si="5"/>
        <v>38883</v>
      </c>
      <c r="BA3" s="52">
        <f t="shared" ca="1" si="5"/>
        <v>28130</v>
      </c>
      <c r="BB3" s="52">
        <f t="shared" ca="1" si="5"/>
        <v>33885</v>
      </c>
      <c r="BC3" s="52">
        <f t="shared" ca="1" si="5"/>
        <v>38297</v>
      </c>
      <c r="BD3" s="52">
        <f t="shared" ca="1" si="5"/>
        <v>32148</v>
      </c>
      <c r="BE3" s="52">
        <f t="shared" ca="1" si="5"/>
        <v>31460</v>
      </c>
      <c r="BF3" s="52">
        <f ca="1">INDIRECT("LongBoards!G" &amp; (COLUMN()-42)*3+4)</f>
        <v>27706</v>
      </c>
      <c r="BG3" s="52">
        <f t="shared" ca="1" si="5"/>
        <v>31475</v>
      </c>
      <c r="BH3" s="52">
        <f t="shared" ca="1" si="5"/>
        <v>41011</v>
      </c>
      <c r="BI3" s="17">
        <f t="shared" ca="1" si="5"/>
        <v>38704</v>
      </c>
      <c r="BJ3" s="16">
        <f t="shared" ca="1" si="5"/>
        <v>39002</v>
      </c>
      <c r="BK3" s="52">
        <f t="shared" ca="1" si="5"/>
        <v>41021</v>
      </c>
      <c r="BL3" s="52">
        <f t="shared" ca="1" si="5"/>
        <v>33760</v>
      </c>
      <c r="BM3" s="52">
        <f t="shared" ca="1" si="5"/>
        <v>31154</v>
      </c>
      <c r="BN3" s="52">
        <f t="shared" ca="1" si="5"/>
        <v>32488</v>
      </c>
      <c r="BO3" s="52">
        <f t="shared" ca="1" si="5"/>
        <v>35100</v>
      </c>
      <c r="BP3" s="52">
        <f t="shared" ca="1" si="5"/>
        <v>31660</v>
      </c>
      <c r="BQ3" s="52">
        <f t="shared" ca="1" si="5"/>
        <v>27551</v>
      </c>
      <c r="BR3" s="52">
        <f t="shared" ca="1" si="5"/>
        <v>39772</v>
      </c>
      <c r="BS3" s="17">
        <f t="shared" ca="1" si="5"/>
        <v>27403</v>
      </c>
      <c r="BT3" s="16">
        <f t="shared" ca="1" si="5"/>
        <v>37184</v>
      </c>
      <c r="BU3" s="52">
        <f t="shared" ca="1" si="5"/>
        <v>38431</v>
      </c>
      <c r="BV3" s="52">
        <f t="shared" ca="1" si="5"/>
        <v>31857</v>
      </c>
      <c r="BW3" s="52">
        <f t="shared" ca="1" si="5"/>
        <v>35210</v>
      </c>
      <c r="BX3" s="52">
        <f t="shared" ca="1" si="5"/>
        <v>34568</v>
      </c>
      <c r="BY3" s="52">
        <f t="shared" ca="1" si="5"/>
        <v>31699</v>
      </c>
      <c r="BZ3" s="52">
        <f t="shared" ca="1" si="5"/>
        <v>38126</v>
      </c>
      <c r="CA3" s="52">
        <f t="shared" ca="1" si="5"/>
        <v>36060</v>
      </c>
      <c r="CB3" s="52">
        <f t="shared" ca="1" si="5"/>
        <v>33468</v>
      </c>
      <c r="CC3" s="17">
        <f t="shared" ca="1" si="5"/>
        <v>34283</v>
      </c>
      <c r="CD3" s="8">
        <f t="shared" ca="1" si="5"/>
        <v>42984</v>
      </c>
      <c r="CE3" s="8">
        <f t="shared" ca="1" si="5"/>
        <v>36725</v>
      </c>
      <c r="CF3" s="8">
        <f t="shared" ca="1" si="5"/>
        <v>35136</v>
      </c>
      <c r="CG3" s="8">
        <f t="shared" ca="1" si="5"/>
        <v>36064</v>
      </c>
      <c r="CH3" s="8">
        <f t="shared" ca="1" si="5"/>
        <v>33230</v>
      </c>
      <c r="CI3" s="8">
        <f t="shared" ca="1" si="5"/>
        <v>28816</v>
      </c>
      <c r="CJ3" s="8">
        <f t="shared" ca="1" si="5"/>
        <v>38270</v>
      </c>
      <c r="CK3" s="8">
        <f t="shared" ca="1" si="5"/>
        <v>35918</v>
      </c>
      <c r="CL3" s="8">
        <f t="shared" ca="1" si="5"/>
        <v>37315</v>
      </c>
      <c r="CM3" s="8">
        <f t="shared" ca="1" si="5"/>
        <v>46978</v>
      </c>
      <c r="CN3" s="77">
        <f t="shared" ca="1" si="5"/>
        <v>31118</v>
      </c>
      <c r="CO3" s="8">
        <f t="shared" ca="1" si="5"/>
        <v>26272</v>
      </c>
      <c r="CP3" s="8">
        <f t="shared" ca="1" si="5"/>
        <v>29961</v>
      </c>
      <c r="CQ3" s="8">
        <f t="shared" ca="1" si="5"/>
        <v>29397</v>
      </c>
      <c r="CR3" s="8">
        <f t="shared" ca="1" si="5"/>
        <v>29246</v>
      </c>
      <c r="CS3" s="8">
        <f t="shared" ca="1" si="5"/>
        <v>31263</v>
      </c>
      <c r="CT3" s="8">
        <f t="shared" ca="1" si="5"/>
        <v>33121</v>
      </c>
      <c r="CU3" s="8">
        <f t="shared" ca="1" si="5"/>
        <v>30402</v>
      </c>
      <c r="CV3" s="8">
        <f t="shared" ca="1" si="5"/>
        <v>31918</v>
      </c>
      <c r="CW3" s="78">
        <f t="shared" ca="1" si="5"/>
        <v>42257</v>
      </c>
      <c r="CX3" s="77">
        <f t="shared" ca="1" si="5"/>
        <v>37707</v>
      </c>
      <c r="CY3" s="8">
        <f t="shared" ca="1" si="5"/>
        <v>37510</v>
      </c>
      <c r="CZ3" s="8">
        <f t="shared" ca="1" si="5"/>
        <v>35715</v>
      </c>
      <c r="DA3" s="8">
        <f t="shared" ca="1" si="5"/>
        <v>33808</v>
      </c>
      <c r="DB3" s="8">
        <f t="shared" ca="1" si="5"/>
        <v>30823</v>
      </c>
      <c r="DC3" s="8">
        <f t="shared" ca="1" si="5"/>
        <v>40328</v>
      </c>
      <c r="DD3" s="8">
        <f t="shared" ca="1" si="5"/>
        <v>27051</v>
      </c>
      <c r="DE3" s="8">
        <f t="shared" ca="1" si="5"/>
        <v>37936</v>
      </c>
      <c r="DF3" s="8">
        <f t="shared" ca="1" si="5"/>
        <v>40262</v>
      </c>
      <c r="DG3" s="78">
        <f t="shared" ca="1" si="5"/>
        <v>39234</v>
      </c>
      <c r="DH3" s="77">
        <f t="shared" ca="1" si="5"/>
        <v>38260</v>
      </c>
      <c r="DI3" s="8">
        <f t="shared" ca="1" si="5"/>
        <v>29062</v>
      </c>
      <c r="DJ3" s="8">
        <f t="shared" ca="1" si="5"/>
        <v>32147</v>
      </c>
      <c r="DK3" s="8">
        <f t="shared" ca="1" si="5"/>
        <v>32420</v>
      </c>
      <c r="DL3" s="8">
        <f t="shared" ca="1" si="5"/>
        <v>37306</v>
      </c>
      <c r="DM3" s="8">
        <f t="shared" ca="1" si="5"/>
        <v>29450</v>
      </c>
      <c r="DN3" s="8">
        <f t="shared" ca="1" si="5"/>
        <v>31849</v>
      </c>
      <c r="DO3" s="8">
        <f t="shared" ca="1" si="5"/>
        <v>32411</v>
      </c>
      <c r="DP3" s="8">
        <f t="shared" ca="1" si="5"/>
        <v>43401</v>
      </c>
      <c r="DQ3" s="78">
        <f t="shared" ca="1" si="5"/>
        <v>40751</v>
      </c>
    </row>
    <row r="4" spans="1:121" ht="15.75">
      <c r="A4" s="68">
        <v>775</v>
      </c>
      <c r="B4" s="16">
        <f t="shared" ref="B4:AO4" ca="1" si="6">INDIRECT("Main!H" &amp; (COLUMN()-2)*3+4)</f>
        <v>43775</v>
      </c>
      <c r="C4" s="8">
        <f t="shared" ca="1" si="6"/>
        <v>49828</v>
      </c>
      <c r="D4" s="8">
        <f t="shared" ca="1" si="6"/>
        <v>45195</v>
      </c>
      <c r="E4" s="8">
        <f t="shared" ca="1" si="6"/>
        <v>43674</v>
      </c>
      <c r="F4" s="17">
        <f t="shared" ca="1" si="6"/>
        <v>52762</v>
      </c>
      <c r="G4" s="16">
        <f t="shared" ca="1" si="6"/>
        <v>41429</v>
      </c>
      <c r="H4" s="8">
        <f t="shared" ca="1" si="6"/>
        <v>31975</v>
      </c>
      <c r="I4" s="8">
        <f t="shared" ca="1" si="6"/>
        <v>39210</v>
      </c>
      <c r="J4" s="8">
        <f t="shared" ca="1" si="6"/>
        <v>51560</v>
      </c>
      <c r="K4" s="17">
        <f t="shared" ca="1" si="6"/>
        <v>42498</v>
      </c>
      <c r="L4" s="16">
        <f t="shared" ca="1" si="6"/>
        <v>60521</v>
      </c>
      <c r="M4" s="8">
        <f t="shared" ca="1" si="6"/>
        <v>41802</v>
      </c>
      <c r="N4" s="8">
        <f t="shared" ca="1" si="6"/>
        <v>32295</v>
      </c>
      <c r="O4" s="8">
        <f t="shared" ca="1" si="6"/>
        <v>42551</v>
      </c>
      <c r="P4" s="17">
        <f t="shared" ca="1" si="6"/>
        <v>47872</v>
      </c>
      <c r="Q4" s="16">
        <f t="shared" ca="1" si="6"/>
        <v>40994</v>
      </c>
      <c r="R4" s="8">
        <f t="shared" ca="1" si="6"/>
        <v>41440</v>
      </c>
      <c r="S4" s="8">
        <f t="shared" ca="1" si="6"/>
        <v>34392</v>
      </c>
      <c r="T4" s="8">
        <f t="shared" ca="1" si="6"/>
        <v>34213</v>
      </c>
      <c r="U4" s="17">
        <f t="shared" ca="1" si="6"/>
        <v>45137</v>
      </c>
      <c r="V4" s="16">
        <f t="shared" ca="1" si="6"/>
        <v>36217</v>
      </c>
      <c r="W4" s="8">
        <f t="shared" ca="1" si="6"/>
        <v>41267</v>
      </c>
      <c r="X4" s="8">
        <f t="shared" ca="1" si="6"/>
        <v>51946</v>
      </c>
      <c r="Y4" s="8">
        <f t="shared" ca="1" si="6"/>
        <v>52244</v>
      </c>
      <c r="Z4" s="17">
        <f t="shared" ca="1" si="6"/>
        <v>44840</v>
      </c>
      <c r="AA4" s="16">
        <f t="shared" ca="1" si="6"/>
        <v>37938</v>
      </c>
      <c r="AB4" s="8">
        <f t="shared" ca="1" si="6"/>
        <v>39070</v>
      </c>
      <c r="AC4" s="8">
        <f t="shared" ca="1" si="6"/>
        <v>31899</v>
      </c>
      <c r="AD4" s="8">
        <f t="shared" ca="1" si="6"/>
        <v>55313</v>
      </c>
      <c r="AE4" s="17">
        <f t="shared" ca="1" si="6"/>
        <v>65187</v>
      </c>
      <c r="AF4" s="16">
        <f t="shared" ca="1" si="6"/>
        <v>45011</v>
      </c>
      <c r="AG4" s="8">
        <f t="shared" ca="1" si="6"/>
        <v>39450</v>
      </c>
      <c r="AH4" s="8">
        <f t="shared" ca="1" si="6"/>
        <v>38039</v>
      </c>
      <c r="AI4" s="8">
        <f t="shared" ca="1" si="6"/>
        <v>38716</v>
      </c>
      <c r="AJ4" s="17">
        <f t="shared" ca="1" si="6"/>
        <v>36230</v>
      </c>
      <c r="AK4" s="16">
        <f t="shared" ca="1" si="6"/>
        <v>40760</v>
      </c>
      <c r="AL4" s="8">
        <f t="shared" ca="1" si="6"/>
        <v>50268</v>
      </c>
      <c r="AM4" s="8">
        <f t="shared" ca="1" si="6"/>
        <v>51867</v>
      </c>
      <c r="AN4" s="8">
        <f t="shared" ca="1" si="6"/>
        <v>50577</v>
      </c>
      <c r="AO4" s="17">
        <f t="shared" ca="1" si="6"/>
        <v>44417</v>
      </c>
      <c r="AP4" s="16">
        <f t="shared" ref="AP4:DQ4" ca="1" si="7">INDIRECT("LongBoards!H" &amp; (COLUMN()-42)*3+4)</f>
        <v>41771</v>
      </c>
      <c r="AQ4" s="52">
        <f t="shared" ca="1" si="7"/>
        <v>51309</v>
      </c>
      <c r="AR4" s="52">
        <f t="shared" ca="1" si="7"/>
        <v>40287</v>
      </c>
      <c r="AS4" s="52">
        <f t="shared" ca="1" si="7"/>
        <v>59265</v>
      </c>
      <c r="AT4" s="52">
        <f t="shared" ca="1" si="7"/>
        <v>38901</v>
      </c>
      <c r="AU4" s="52">
        <f t="shared" ca="1" si="7"/>
        <v>50956</v>
      </c>
      <c r="AV4" s="184">
        <f t="shared" ca="1" si="7"/>
        <v>51421</v>
      </c>
      <c r="AW4" s="52">
        <f t="shared" ca="1" si="7"/>
        <v>43727</v>
      </c>
      <c r="AX4" s="52">
        <f t="shared" ca="1" si="7"/>
        <v>48614</v>
      </c>
      <c r="AY4" s="17">
        <f t="shared" ca="1" si="7"/>
        <v>44127</v>
      </c>
      <c r="AZ4" s="17">
        <f t="shared" ca="1" si="7"/>
        <v>44662</v>
      </c>
      <c r="BA4" s="52">
        <f t="shared" ca="1" si="7"/>
        <v>32962</v>
      </c>
      <c r="BB4" s="52">
        <f t="shared" ca="1" si="7"/>
        <v>39879</v>
      </c>
      <c r="BC4" s="52">
        <f t="shared" ca="1" si="7"/>
        <v>45360</v>
      </c>
      <c r="BD4" s="52">
        <f t="shared" ca="1" si="7"/>
        <v>37039</v>
      </c>
      <c r="BE4" s="52">
        <f t="shared" ca="1" si="7"/>
        <v>35963</v>
      </c>
      <c r="BF4" s="52">
        <f t="shared" ca="1" si="7"/>
        <v>32634</v>
      </c>
      <c r="BG4" s="52">
        <f t="shared" ca="1" si="7"/>
        <v>35773</v>
      </c>
      <c r="BH4" s="52">
        <f t="shared" ca="1" si="7"/>
        <v>46958</v>
      </c>
      <c r="BI4" s="17">
        <f t="shared" ca="1" si="7"/>
        <v>44194</v>
      </c>
      <c r="BJ4" s="16">
        <f t="shared" ca="1" si="7"/>
        <v>44817</v>
      </c>
      <c r="BK4" s="52">
        <f t="shared" ca="1" si="7"/>
        <v>48834</v>
      </c>
      <c r="BL4" s="52">
        <f t="shared" ca="1" si="7"/>
        <v>38714</v>
      </c>
      <c r="BM4" s="52">
        <f t="shared" ca="1" si="7"/>
        <v>35393</v>
      </c>
      <c r="BN4" s="52">
        <f t="shared" ca="1" si="7"/>
        <v>37087</v>
      </c>
      <c r="BO4" s="52">
        <f t="shared" ca="1" si="7"/>
        <v>40127</v>
      </c>
      <c r="BP4" s="52">
        <f t="shared" ca="1" si="7"/>
        <v>35900</v>
      </c>
      <c r="BQ4" s="52">
        <f t="shared" ca="1" si="7"/>
        <v>32368</v>
      </c>
      <c r="BR4" s="52">
        <f t="shared" ca="1" si="7"/>
        <v>47110</v>
      </c>
      <c r="BS4" s="17">
        <f t="shared" ca="1" si="7"/>
        <v>31976</v>
      </c>
      <c r="BT4" s="16">
        <f t="shared" ca="1" si="7"/>
        <v>44176</v>
      </c>
      <c r="BU4" s="52">
        <f t="shared" ca="1" si="7"/>
        <v>45465</v>
      </c>
      <c r="BV4" s="52">
        <f t="shared" ca="1" si="7"/>
        <v>37023</v>
      </c>
      <c r="BW4" s="52">
        <f t="shared" ca="1" si="7"/>
        <v>39848</v>
      </c>
      <c r="BX4" s="52">
        <f t="shared" ca="1" si="7"/>
        <v>39965</v>
      </c>
      <c r="BY4" s="52">
        <f t="shared" ca="1" si="7"/>
        <v>37159</v>
      </c>
      <c r="BZ4" s="52">
        <f t="shared" ca="1" si="7"/>
        <v>43570</v>
      </c>
      <c r="CA4" s="52">
        <f t="shared" ca="1" si="7"/>
        <v>42338</v>
      </c>
      <c r="CB4" s="52">
        <f t="shared" ca="1" si="7"/>
        <v>38544</v>
      </c>
      <c r="CC4" s="17">
        <f t="shared" ca="1" si="7"/>
        <v>39025</v>
      </c>
      <c r="CD4" s="8">
        <f t="shared" ca="1" si="7"/>
        <v>50718</v>
      </c>
      <c r="CE4" s="8">
        <f t="shared" ca="1" si="7"/>
        <v>42586</v>
      </c>
      <c r="CF4" s="8">
        <f t="shared" ca="1" si="7"/>
        <v>40312</v>
      </c>
      <c r="CG4" s="8">
        <f t="shared" ca="1" si="7"/>
        <v>41152</v>
      </c>
      <c r="CH4" s="8">
        <f t="shared" ca="1" si="7"/>
        <v>38048</v>
      </c>
      <c r="CI4" s="8">
        <f t="shared" ca="1" si="7"/>
        <v>32776</v>
      </c>
      <c r="CJ4" s="8">
        <f t="shared" ca="1" si="7"/>
        <v>43725</v>
      </c>
      <c r="CK4" s="8">
        <f t="shared" ca="1" si="7"/>
        <v>41807</v>
      </c>
      <c r="CL4" s="8">
        <f t="shared" ca="1" si="7"/>
        <v>44373</v>
      </c>
      <c r="CM4" s="8">
        <f t="shared" ca="1" si="7"/>
        <v>55367</v>
      </c>
      <c r="CN4" s="77">
        <f t="shared" ca="1" si="7"/>
        <v>36366</v>
      </c>
      <c r="CO4" s="8">
        <f t="shared" ca="1" si="7"/>
        <v>31017</v>
      </c>
      <c r="CP4" s="8">
        <f t="shared" ca="1" si="7"/>
        <v>35000</v>
      </c>
      <c r="CQ4" s="8">
        <f t="shared" ca="1" si="7"/>
        <v>34208</v>
      </c>
      <c r="CR4" s="8">
        <f t="shared" ca="1" si="7"/>
        <v>33880</v>
      </c>
      <c r="CS4" s="8">
        <f t="shared" ca="1" si="7"/>
        <v>35883</v>
      </c>
      <c r="CT4" s="8">
        <f t="shared" ca="1" si="7"/>
        <v>37516</v>
      </c>
      <c r="CU4" s="8">
        <f t="shared" ca="1" si="7"/>
        <v>35669</v>
      </c>
      <c r="CV4" s="8">
        <f t="shared" ca="1" si="7"/>
        <v>36647</v>
      </c>
      <c r="CW4" s="78">
        <f t="shared" ca="1" si="7"/>
        <v>48633</v>
      </c>
      <c r="CX4" s="77">
        <f t="shared" ca="1" si="7"/>
        <v>42882</v>
      </c>
      <c r="CY4" s="8">
        <f t="shared" ca="1" si="7"/>
        <v>43019</v>
      </c>
      <c r="CZ4" s="8">
        <f t="shared" ca="1" si="7"/>
        <v>41006</v>
      </c>
      <c r="DA4" s="8">
        <f t="shared" ca="1" si="7"/>
        <v>38457</v>
      </c>
      <c r="DB4" s="8">
        <f t="shared" ca="1" si="7"/>
        <v>34962</v>
      </c>
      <c r="DC4" s="8">
        <f t="shared" ca="1" si="7"/>
        <v>45965</v>
      </c>
      <c r="DD4" s="8">
        <f t="shared" ca="1" si="7"/>
        <v>31594</v>
      </c>
      <c r="DE4" s="8">
        <f t="shared" ca="1" si="7"/>
        <v>43166</v>
      </c>
      <c r="DF4" s="8">
        <f t="shared" ca="1" si="7"/>
        <v>46094</v>
      </c>
      <c r="DG4" s="78">
        <f t="shared" ca="1" si="7"/>
        <v>46043</v>
      </c>
      <c r="DH4" s="77">
        <f t="shared" ca="1" si="7"/>
        <v>43797</v>
      </c>
      <c r="DI4" s="8">
        <f t="shared" ca="1" si="7"/>
        <v>33855</v>
      </c>
      <c r="DJ4" s="8">
        <f t="shared" ca="1" si="7"/>
        <v>37635</v>
      </c>
      <c r="DK4" s="8">
        <f t="shared" ca="1" si="7"/>
        <v>36888</v>
      </c>
      <c r="DL4" s="8">
        <f t="shared" ca="1" si="7"/>
        <v>42350</v>
      </c>
      <c r="DM4" s="8">
        <f t="shared" ca="1" si="7"/>
        <v>33615</v>
      </c>
      <c r="DN4" s="8">
        <f t="shared" ca="1" si="7"/>
        <v>36196</v>
      </c>
      <c r="DO4" s="8">
        <f t="shared" ca="1" si="7"/>
        <v>36990</v>
      </c>
      <c r="DP4" s="8">
        <f t="shared" ca="1" si="7"/>
        <v>50125</v>
      </c>
      <c r="DQ4" s="78">
        <f t="shared" ca="1" si="7"/>
        <v>47311</v>
      </c>
    </row>
    <row r="5" spans="1:121" ht="15.75">
      <c r="A5" s="68">
        <v>800</v>
      </c>
      <c r="B5" s="16">
        <f t="shared" ref="B5:AO5" ca="1" si="8">INDIRECT("Main!I" &amp; (COLUMN()-2)*3+4)</f>
        <v>50738</v>
      </c>
      <c r="C5" s="8">
        <f t="shared" ca="1" si="8"/>
        <v>55932</v>
      </c>
      <c r="D5" s="8">
        <f t="shared" ca="1" si="8"/>
        <v>51658</v>
      </c>
      <c r="E5" s="8">
        <f t="shared" ca="1" si="8"/>
        <v>51504</v>
      </c>
      <c r="F5" s="17">
        <f t="shared" ca="1" si="8"/>
        <v>60851</v>
      </c>
      <c r="G5" s="16">
        <f t="shared" ca="1" si="8"/>
        <v>48330</v>
      </c>
      <c r="H5" s="8">
        <f t="shared" ca="1" si="8"/>
        <v>37137</v>
      </c>
      <c r="I5" s="8">
        <f t="shared" ca="1" si="8"/>
        <v>45424</v>
      </c>
      <c r="J5" s="8">
        <f t="shared" ca="1" si="8"/>
        <v>57521</v>
      </c>
      <c r="K5" s="17">
        <f t="shared" ca="1" si="8"/>
        <v>50163</v>
      </c>
      <c r="L5" s="16" t="str">
        <f t="shared" ca="1" si="8"/>
        <v>Saturates</v>
      </c>
      <c r="M5" s="8">
        <f t="shared" ca="1" si="8"/>
        <v>49079</v>
      </c>
      <c r="N5" s="8">
        <f t="shared" ca="1" si="8"/>
        <v>36526</v>
      </c>
      <c r="O5" s="8">
        <f t="shared" ca="1" si="8"/>
        <v>49506</v>
      </c>
      <c r="P5" s="17">
        <f t="shared" ca="1" si="8"/>
        <v>53195</v>
      </c>
      <c r="Q5" s="16">
        <f t="shared" ca="1" si="8"/>
        <v>47754</v>
      </c>
      <c r="R5" s="8">
        <f t="shared" ca="1" si="8"/>
        <v>46695</v>
      </c>
      <c r="S5" s="8">
        <f t="shared" ca="1" si="8"/>
        <v>38877</v>
      </c>
      <c r="T5" s="8">
        <f t="shared" ca="1" si="8"/>
        <v>38421</v>
      </c>
      <c r="U5" s="17">
        <f t="shared" ca="1" si="8"/>
        <v>51305</v>
      </c>
      <c r="V5" s="16">
        <f t="shared" ca="1" si="8"/>
        <v>41259</v>
      </c>
      <c r="W5" s="8">
        <f t="shared" ca="1" si="8"/>
        <v>48655</v>
      </c>
      <c r="X5" s="8">
        <f t="shared" ca="1" si="8"/>
        <v>59742</v>
      </c>
      <c r="Y5" s="8">
        <f t="shared" ca="1" si="8"/>
        <v>59870</v>
      </c>
      <c r="Z5" s="17">
        <f t="shared" ca="1" si="8"/>
        <v>52257</v>
      </c>
      <c r="AA5" s="16">
        <f t="shared" ca="1" si="8"/>
        <v>43149</v>
      </c>
      <c r="AB5" s="8">
        <f t="shared" ca="1" si="8"/>
        <v>44380</v>
      </c>
      <c r="AC5" s="8">
        <f t="shared" ca="1" si="8"/>
        <v>36981</v>
      </c>
      <c r="AD5" s="8">
        <f t="shared" ca="1" si="8"/>
        <v>62851</v>
      </c>
      <c r="AE5" s="17" t="str">
        <f t="shared" ca="1" si="8"/>
        <v>Saturates</v>
      </c>
      <c r="AF5" s="16">
        <f t="shared" ca="1" si="8"/>
        <v>51349</v>
      </c>
      <c r="AG5" s="8">
        <f t="shared" ca="1" si="8"/>
        <v>44474</v>
      </c>
      <c r="AH5" s="8">
        <f t="shared" ca="1" si="8"/>
        <v>43553</v>
      </c>
      <c r="AI5" s="8">
        <f t="shared" ca="1" si="8"/>
        <v>45403</v>
      </c>
      <c r="AJ5" s="17">
        <f t="shared" ca="1" si="8"/>
        <v>41863</v>
      </c>
      <c r="AK5" s="16">
        <f t="shared" ca="1" si="8"/>
        <v>47614</v>
      </c>
      <c r="AL5" s="8">
        <f t="shared" ca="1" si="8"/>
        <v>58237</v>
      </c>
      <c r="AM5" s="8">
        <f t="shared" ca="1" si="8"/>
        <v>59222</v>
      </c>
      <c r="AN5" s="8">
        <f t="shared" ca="1" si="8"/>
        <v>56993</v>
      </c>
      <c r="AO5" s="17">
        <f t="shared" ca="1" si="8"/>
        <v>51905</v>
      </c>
      <c r="AP5" s="16">
        <f t="shared" ref="AP5:DQ5" ca="1" si="9">INDIRECT("LongBoards!I" &amp; (COLUMN()-42)*3+4)</f>
        <v>48732</v>
      </c>
      <c r="AQ5" s="79">
        <f t="shared" ca="1" si="9"/>
        <v>57225</v>
      </c>
      <c r="AR5" s="52">
        <f t="shared" ca="1" si="9"/>
        <v>45641</v>
      </c>
      <c r="AS5" s="52" t="str">
        <f t="shared" ca="1" si="9"/>
        <v>saturates</v>
      </c>
      <c r="AT5" s="52">
        <f t="shared" ca="1" si="9"/>
        <v>44289</v>
      </c>
      <c r="AU5" s="52">
        <f t="shared" ca="1" si="9"/>
        <v>59845</v>
      </c>
      <c r="AV5" s="184">
        <f t="shared" ca="1" si="9"/>
        <v>58497</v>
      </c>
      <c r="AW5" s="52">
        <f t="shared" ca="1" si="9"/>
        <v>51708</v>
      </c>
      <c r="AX5" s="52">
        <f t="shared" ca="1" si="9"/>
        <v>55048</v>
      </c>
      <c r="AY5" s="17">
        <f t="shared" ca="1" si="9"/>
        <v>49982</v>
      </c>
      <c r="AZ5" s="17">
        <f t="shared" ca="1" si="9"/>
        <v>50967</v>
      </c>
      <c r="BA5" s="52">
        <f t="shared" ca="1" si="9"/>
        <v>38281</v>
      </c>
      <c r="BB5" s="52">
        <f t="shared" ca="1" si="9"/>
        <v>46767</v>
      </c>
      <c r="BC5" s="52">
        <f t="shared" ca="1" si="9"/>
        <v>53423</v>
      </c>
      <c r="BD5" s="52">
        <f t="shared" ca="1" si="9"/>
        <v>42714</v>
      </c>
      <c r="BE5" s="52">
        <f t="shared" ca="1" si="9"/>
        <v>40884</v>
      </c>
      <c r="BF5" s="52">
        <f t="shared" ca="1" si="9"/>
        <v>38004</v>
      </c>
      <c r="BG5" s="52">
        <f t="shared" ca="1" si="9"/>
        <v>40504</v>
      </c>
      <c r="BH5" s="52">
        <f t="shared" ca="1" si="9"/>
        <v>53446</v>
      </c>
      <c r="BI5" s="17">
        <f t="shared" ca="1" si="9"/>
        <v>50150</v>
      </c>
      <c r="BJ5" s="16">
        <f t="shared" ca="1" si="9"/>
        <v>51216</v>
      </c>
      <c r="BK5" s="52">
        <f t="shared" ca="1" si="9"/>
        <v>57086</v>
      </c>
      <c r="BL5" s="52">
        <f t="shared" ca="1" si="9"/>
        <v>44363</v>
      </c>
      <c r="BM5" s="52">
        <f t="shared" ca="1" si="9"/>
        <v>40010</v>
      </c>
      <c r="BN5" s="52">
        <f t="shared" ca="1" si="9"/>
        <v>42052</v>
      </c>
      <c r="BO5" s="52">
        <f t="shared" ca="1" si="9"/>
        <v>45605</v>
      </c>
      <c r="BP5" s="52">
        <f t="shared" ca="1" si="9"/>
        <v>40490</v>
      </c>
      <c r="BQ5" s="52">
        <f t="shared" ca="1" si="9"/>
        <v>37610</v>
      </c>
      <c r="BR5" s="52">
        <f t="shared" ca="1" si="9"/>
        <v>54950</v>
      </c>
      <c r="BS5" s="17">
        <f t="shared" ca="1" si="9"/>
        <v>37200</v>
      </c>
      <c r="BT5" s="16">
        <f t="shared" ca="1" si="9"/>
        <v>52275</v>
      </c>
      <c r="BU5" s="52">
        <f t="shared" ca="1" si="9"/>
        <v>53322</v>
      </c>
      <c r="BV5" s="52">
        <f t="shared" ca="1" si="9"/>
        <v>42445</v>
      </c>
      <c r="BW5" s="52">
        <f t="shared" ca="1" si="9"/>
        <v>44856</v>
      </c>
      <c r="BX5" s="52">
        <f t="shared" ca="1" si="9"/>
        <v>45924</v>
      </c>
      <c r="BY5" s="52">
        <f t="shared" ca="1" si="9"/>
        <v>43296</v>
      </c>
      <c r="BZ5" s="52">
        <f t="shared" ca="1" si="9"/>
        <v>49563</v>
      </c>
      <c r="CA5" s="52">
        <f t="shared" ca="1" si="9"/>
        <v>49738</v>
      </c>
      <c r="CB5" s="52">
        <f t="shared" ca="1" si="9"/>
        <v>44253</v>
      </c>
      <c r="CC5" s="17">
        <f t="shared" ca="1" si="9"/>
        <v>44188</v>
      </c>
      <c r="CD5" s="8">
        <f t="shared" ca="1" si="9"/>
        <v>59128</v>
      </c>
      <c r="CE5" s="8">
        <f t="shared" ca="1" si="9"/>
        <v>49529</v>
      </c>
      <c r="CF5" s="8">
        <f t="shared" ca="1" si="9"/>
        <v>46249</v>
      </c>
      <c r="CG5" s="8">
        <f t="shared" ca="1" si="9"/>
        <v>46675</v>
      </c>
      <c r="CH5" s="8">
        <f t="shared" ca="1" si="9"/>
        <v>43330</v>
      </c>
      <c r="CI5" s="8">
        <f t="shared" ca="1" si="9"/>
        <v>37152</v>
      </c>
      <c r="CJ5" s="8">
        <f t="shared" ca="1" si="9"/>
        <v>49684</v>
      </c>
      <c r="CK5" s="8">
        <f t="shared" ca="1" si="9"/>
        <v>48549</v>
      </c>
      <c r="CL5" s="8">
        <f t="shared" ca="1" si="9"/>
        <v>52839</v>
      </c>
      <c r="CM5" s="8">
        <f t="shared" ca="1" si="9"/>
        <v>63363</v>
      </c>
      <c r="CN5" s="77">
        <f t="shared" ca="1" si="9"/>
        <v>42416</v>
      </c>
      <c r="CO5" s="8">
        <f t="shared" ca="1" si="9"/>
        <v>36186</v>
      </c>
      <c r="CP5" s="8">
        <f t="shared" ca="1" si="9"/>
        <v>40464</v>
      </c>
      <c r="CQ5" s="8">
        <f t="shared" ca="1" si="9"/>
        <v>39412</v>
      </c>
      <c r="CR5" s="8">
        <f t="shared" ca="1" si="9"/>
        <v>39474</v>
      </c>
      <c r="CS5" s="8">
        <f t="shared" ca="1" si="9"/>
        <v>40928</v>
      </c>
      <c r="CT5" s="8">
        <f t="shared" ca="1" si="9"/>
        <v>42194</v>
      </c>
      <c r="CU5" s="8">
        <f t="shared" ca="1" si="9"/>
        <v>41312</v>
      </c>
      <c r="CV5" s="8">
        <f t="shared" ca="1" si="9"/>
        <v>42045</v>
      </c>
      <c r="CW5" s="78">
        <f t="shared" ca="1" si="9"/>
        <v>55540</v>
      </c>
      <c r="CX5" s="77">
        <f t="shared" ca="1" si="9"/>
        <v>48496</v>
      </c>
      <c r="CY5" s="8">
        <f t="shared" ca="1" si="9"/>
        <v>48979</v>
      </c>
      <c r="CZ5" s="8">
        <f t="shared" ca="1" si="9"/>
        <v>47157</v>
      </c>
      <c r="DA5" s="8">
        <f t="shared" ca="1" si="9"/>
        <v>43512</v>
      </c>
      <c r="DB5" s="8">
        <f t="shared" ca="1" si="9"/>
        <v>39494</v>
      </c>
      <c r="DC5" s="8">
        <f t="shared" ca="1" si="9"/>
        <v>52040</v>
      </c>
      <c r="DD5" s="8">
        <f t="shared" ca="1" si="9"/>
        <v>36566</v>
      </c>
      <c r="DE5" s="8">
        <f t="shared" ca="1" si="9"/>
        <v>48821</v>
      </c>
      <c r="DF5" s="8">
        <f t="shared" ca="1" si="9"/>
        <v>52334</v>
      </c>
      <c r="DG5" s="78">
        <f t="shared" ca="1" si="9"/>
        <v>53778</v>
      </c>
      <c r="DH5" s="77">
        <f t="shared" ca="1" si="9"/>
        <v>49840</v>
      </c>
      <c r="DI5" s="8">
        <f t="shared" ca="1" si="9"/>
        <v>38909</v>
      </c>
      <c r="DJ5" s="8">
        <f t="shared" ca="1" si="9"/>
        <v>43996</v>
      </c>
      <c r="DK5" s="8">
        <f t="shared" ca="1" si="9"/>
        <v>41710</v>
      </c>
      <c r="DL5" s="8">
        <f t="shared" ca="1" si="9"/>
        <v>47780</v>
      </c>
      <c r="DM5" s="8">
        <f t="shared" ca="1" si="9"/>
        <v>38147</v>
      </c>
      <c r="DN5" s="8">
        <f t="shared" ca="1" si="9"/>
        <v>41017</v>
      </c>
      <c r="DO5" s="8">
        <f t="shared" ca="1" si="9"/>
        <v>41917</v>
      </c>
      <c r="DP5" s="8">
        <f t="shared" ca="1" si="9"/>
        <v>56704</v>
      </c>
      <c r="DQ5" s="78">
        <f t="shared" ca="1" si="9"/>
        <v>54711</v>
      </c>
    </row>
    <row r="6" spans="1:121" ht="15.75">
      <c r="A6" s="68">
        <v>825</v>
      </c>
      <c r="B6" s="16">
        <f t="shared" ref="B6:AO6" ca="1" si="10">INDIRECT("Main!J" &amp; (COLUMN()-2)*3+4)</f>
        <v>57759</v>
      </c>
      <c r="C6" s="8">
        <f t="shared" ca="1" si="10"/>
        <v>61256</v>
      </c>
      <c r="D6" s="8">
        <f t="shared" ca="1" si="10"/>
        <v>57743</v>
      </c>
      <c r="E6" s="8">
        <f t="shared" ca="1" si="10"/>
        <v>59218</v>
      </c>
      <c r="F6" s="17" t="str">
        <f t="shared" ca="1" si="10"/>
        <v>Saturates</v>
      </c>
      <c r="G6" s="16">
        <f t="shared" ca="1" si="10"/>
        <v>55919</v>
      </c>
      <c r="H6" s="8">
        <f t="shared" ca="1" si="10"/>
        <v>42662</v>
      </c>
      <c r="I6" s="8">
        <f t="shared" ca="1" si="10"/>
        <v>52513</v>
      </c>
      <c r="J6" s="8">
        <f t="shared" ca="1" si="10"/>
        <v>62620</v>
      </c>
      <c r="K6" s="17">
        <f t="shared" ca="1" si="10"/>
        <v>58065</v>
      </c>
      <c r="L6" s="16" t="str">
        <f t="shared" ca="1" si="10"/>
        <v>Saturates</v>
      </c>
      <c r="M6" s="8">
        <f t="shared" ca="1" si="10"/>
        <v>56919</v>
      </c>
      <c r="N6" s="8">
        <f t="shared" ca="1" si="10"/>
        <v>41101</v>
      </c>
      <c r="O6" s="8">
        <f t="shared" ca="1" si="10"/>
        <v>56788</v>
      </c>
      <c r="P6" s="17">
        <f t="shared" ca="1" si="10"/>
        <v>58532</v>
      </c>
      <c r="Q6" s="16">
        <f t="shared" ca="1" si="10"/>
        <v>55126</v>
      </c>
      <c r="R6" s="8">
        <f t="shared" ca="1" si="10"/>
        <v>52252</v>
      </c>
      <c r="S6" s="8">
        <f t="shared" ca="1" si="10"/>
        <v>43627</v>
      </c>
      <c r="T6" s="8">
        <f t="shared" ca="1" si="10"/>
        <v>43062</v>
      </c>
      <c r="U6" s="17">
        <f t="shared" ca="1" si="10"/>
        <v>56695</v>
      </c>
      <c r="V6" s="16">
        <f t="shared" ca="1" si="10"/>
        <v>46792</v>
      </c>
      <c r="W6" s="8">
        <f t="shared" ca="1" si="10"/>
        <v>56342</v>
      </c>
      <c r="X6" s="8" t="str">
        <f t="shared" ca="1" si="10"/>
        <v>Saturates</v>
      </c>
      <c r="Y6" s="8">
        <f t="shared" ca="1" si="10"/>
        <v>0</v>
      </c>
      <c r="Z6" s="17">
        <f t="shared" ca="1" si="10"/>
        <v>59410</v>
      </c>
      <c r="AA6" s="16">
        <f t="shared" ca="1" si="10"/>
        <v>48892</v>
      </c>
      <c r="AB6" s="8">
        <f t="shared" ca="1" si="10"/>
        <v>50157</v>
      </c>
      <c r="AC6" s="8">
        <f t="shared" ca="1" si="10"/>
        <v>42552</v>
      </c>
      <c r="AD6" s="8" t="str">
        <f t="shared" ca="1" si="10"/>
        <v>Saturates</v>
      </c>
      <c r="AE6" s="17" t="str">
        <f t="shared" ca="1" si="10"/>
        <v>Saturates</v>
      </c>
      <c r="AF6" s="16">
        <f t="shared" ca="1" si="10"/>
        <v>57971</v>
      </c>
      <c r="AG6" s="8">
        <f t="shared" ca="1" si="10"/>
        <v>49787</v>
      </c>
      <c r="AH6" s="8">
        <f t="shared" ca="1" si="10"/>
        <v>49707</v>
      </c>
      <c r="AI6" s="8">
        <f t="shared" ca="1" si="10"/>
        <v>52966</v>
      </c>
      <c r="AJ6" s="17">
        <f t="shared" ca="1" si="10"/>
        <v>48207</v>
      </c>
      <c r="AK6" s="16">
        <f t="shared" ca="1" si="10"/>
        <v>55251</v>
      </c>
      <c r="AL6" s="8">
        <f t="shared" ca="1" si="10"/>
        <v>64817</v>
      </c>
      <c r="AM6" s="8" t="str">
        <f t="shared" ca="1" si="10"/>
        <v>saturates</v>
      </c>
      <c r="AN6" s="8">
        <f t="shared" ca="1" si="10"/>
        <v>62331</v>
      </c>
      <c r="AO6" s="17">
        <f t="shared" ca="1" si="10"/>
        <v>58921</v>
      </c>
      <c r="AP6" s="16">
        <f t="shared" ref="AP6:DQ6" ca="1" si="11">INDIRECT("LongBoards!J" &amp; (COLUMN()-42)*3+4)</f>
        <v>56429</v>
      </c>
      <c r="AQ6" s="52">
        <f t="shared" ca="1" si="11"/>
        <v>61705</v>
      </c>
      <c r="AR6" s="52">
        <f t="shared" ca="1" si="11"/>
        <v>51391</v>
      </c>
      <c r="AS6" s="52" t="str">
        <f t="shared" ca="1" si="11"/>
        <v>saturates</v>
      </c>
      <c r="AT6" s="52">
        <f t="shared" ca="1" si="11"/>
        <v>50103</v>
      </c>
      <c r="AU6" s="52" t="str">
        <f t="shared" ca="1" si="11"/>
        <v>saturate</v>
      </c>
      <c r="AV6" s="184">
        <f t="shared" ca="1" si="11"/>
        <v>64417</v>
      </c>
      <c r="AW6" s="52">
        <f t="shared" ca="1" si="11"/>
        <v>58746</v>
      </c>
      <c r="AX6" s="52">
        <f t="shared" ca="1" si="11"/>
        <v>60537</v>
      </c>
      <c r="AY6" s="17">
        <f t="shared" ca="1" si="11"/>
        <v>56182</v>
      </c>
      <c r="AZ6" s="17">
        <f t="shared" ca="1" si="11"/>
        <v>57572</v>
      </c>
      <c r="BA6" s="52">
        <f t="shared" ca="1" si="11"/>
        <v>44049</v>
      </c>
      <c r="BB6" s="52">
        <f t="shared" ca="1" si="11"/>
        <v>54484</v>
      </c>
      <c r="BC6" s="52">
        <f t="shared" ca="1" si="11"/>
        <v>60386</v>
      </c>
      <c r="BD6" s="52">
        <f t="shared" ca="1" si="11"/>
        <v>49006</v>
      </c>
      <c r="BE6" s="52">
        <f t="shared" ca="1" si="11"/>
        <v>46241</v>
      </c>
      <c r="BF6" s="52">
        <f t="shared" ca="1" si="11"/>
        <v>43858</v>
      </c>
      <c r="BG6" s="52">
        <f t="shared" ca="1" si="11"/>
        <v>45723</v>
      </c>
      <c r="BH6" s="52">
        <f t="shared" ca="1" si="11"/>
        <v>59284</v>
      </c>
      <c r="BI6" s="17">
        <f t="shared" ca="1" si="11"/>
        <v>56605</v>
      </c>
      <c r="BJ6" s="16">
        <f t="shared" ca="1" si="11"/>
        <v>57844</v>
      </c>
      <c r="BK6" s="52">
        <f t="shared" ca="1" si="11"/>
        <v>63693</v>
      </c>
      <c r="BL6" s="52">
        <f t="shared" ca="1" si="11"/>
        <v>50804</v>
      </c>
      <c r="BM6" s="52">
        <f t="shared" ca="1" si="11"/>
        <v>45247</v>
      </c>
      <c r="BN6" s="52">
        <f t="shared" ca="1" si="11"/>
        <v>47442</v>
      </c>
      <c r="BO6" s="52">
        <f t="shared" ca="1" si="11"/>
        <v>51567</v>
      </c>
      <c r="BP6" s="52">
        <f t="shared" ca="1" si="11"/>
        <v>45423</v>
      </c>
      <c r="BQ6" s="52">
        <f t="shared" ca="1" si="11"/>
        <v>43376</v>
      </c>
      <c r="BR6" s="52">
        <f t="shared" ca="1" si="11"/>
        <v>61421</v>
      </c>
      <c r="BS6" s="17">
        <f t="shared" ca="1" si="11"/>
        <v>43070</v>
      </c>
      <c r="BT6" s="16">
        <f t="shared" ca="1" si="11"/>
        <v>60529</v>
      </c>
      <c r="BU6" s="52">
        <f t="shared" ca="1" si="11"/>
        <v>60121</v>
      </c>
      <c r="BV6" s="52">
        <f t="shared" ca="1" si="11"/>
        <v>48767</v>
      </c>
      <c r="BW6" s="52">
        <f t="shared" ca="1" si="11"/>
        <v>50149</v>
      </c>
      <c r="BX6" s="52">
        <f t="shared" ca="1" si="11"/>
        <v>52663</v>
      </c>
      <c r="BY6" s="52">
        <f t="shared" ca="1" si="11"/>
        <v>50200</v>
      </c>
      <c r="BZ6" s="52">
        <f t="shared" ca="1" si="11"/>
        <v>55859</v>
      </c>
      <c r="CA6" s="52">
        <f t="shared" ca="1" si="11"/>
        <v>57007</v>
      </c>
      <c r="CB6" s="52">
        <f t="shared" ca="1" si="11"/>
        <v>50448</v>
      </c>
      <c r="CC6" s="17">
        <f t="shared" ca="1" si="11"/>
        <v>49763</v>
      </c>
      <c r="CD6" s="8" t="str">
        <f t="shared" ca="1" si="11"/>
        <v>sat</v>
      </c>
      <c r="CE6" s="8">
        <f t="shared" ca="1" si="11"/>
        <v>56667</v>
      </c>
      <c r="CF6" s="8">
        <f t="shared" ca="1" si="11"/>
        <v>52624</v>
      </c>
      <c r="CG6" s="8">
        <f t="shared" ca="1" si="11"/>
        <v>52673</v>
      </c>
      <c r="CH6" s="8">
        <f t="shared" ca="1" si="11"/>
        <v>49072</v>
      </c>
      <c r="CI6" s="8">
        <f t="shared" ca="1" si="11"/>
        <v>41903</v>
      </c>
      <c r="CJ6" s="8">
        <f t="shared" ca="1" si="11"/>
        <v>55838</v>
      </c>
      <c r="CK6" s="8">
        <f t="shared" ca="1" si="11"/>
        <v>55413</v>
      </c>
      <c r="CL6" s="8">
        <f t="shared" ca="1" si="11"/>
        <v>59975</v>
      </c>
      <c r="CM6" s="8" t="str">
        <f t="shared" ca="1" si="11"/>
        <v>saturates</v>
      </c>
      <c r="CN6" s="77">
        <f t="shared" ca="1" si="11"/>
        <v>49590</v>
      </c>
      <c r="CO6" s="8">
        <f t="shared" ca="1" si="11"/>
        <v>42060</v>
      </c>
      <c r="CP6" s="8">
        <f t="shared" ca="1" si="11"/>
        <v>46560</v>
      </c>
      <c r="CQ6" s="8">
        <f t="shared" ca="1" si="11"/>
        <v>45693</v>
      </c>
      <c r="CR6" s="8">
        <f t="shared" ca="1" si="11"/>
        <v>45712</v>
      </c>
      <c r="CS6" s="8">
        <f t="shared" ca="1" si="11"/>
        <v>46390</v>
      </c>
      <c r="CT6" s="8">
        <f t="shared" ca="1" si="11"/>
        <v>47194</v>
      </c>
      <c r="CU6" s="8">
        <f t="shared" ca="1" si="11"/>
        <v>47925</v>
      </c>
      <c r="CV6" s="8">
        <f t="shared" ca="1" si="11"/>
        <v>48114</v>
      </c>
      <c r="CW6" s="78">
        <f t="shared" ca="1" si="11"/>
        <v>61913</v>
      </c>
      <c r="CX6" s="77">
        <f t="shared" ca="1" si="11"/>
        <v>54438</v>
      </c>
      <c r="CY6" s="8">
        <f t="shared" ca="1" si="11"/>
        <v>55154</v>
      </c>
      <c r="CZ6" s="8">
        <f t="shared" ca="1" si="11"/>
        <v>53780</v>
      </c>
      <c r="DA6" s="8">
        <f t="shared" ca="1" si="11"/>
        <v>48974</v>
      </c>
      <c r="DB6" s="8">
        <f t="shared" ca="1" si="11"/>
        <v>44300</v>
      </c>
      <c r="DC6" s="8">
        <f t="shared" ca="1" si="11"/>
        <v>57903</v>
      </c>
      <c r="DD6" s="8">
        <f t="shared" ca="1" si="11"/>
        <v>42114</v>
      </c>
      <c r="DE6" s="8">
        <f t="shared" ca="1" si="11"/>
        <v>54310</v>
      </c>
      <c r="DF6" s="8">
        <f t="shared" ca="1" si="11"/>
        <v>57390</v>
      </c>
      <c r="DG6" s="78">
        <f t="shared" ca="1" si="11"/>
        <v>61360</v>
      </c>
      <c r="DH6" s="77">
        <f t="shared" ca="1" si="11"/>
        <v>56325</v>
      </c>
      <c r="DI6" s="8">
        <f t="shared" ca="1" si="11"/>
        <v>45004</v>
      </c>
      <c r="DJ6" s="8">
        <f t="shared" ca="1" si="11"/>
        <v>51500</v>
      </c>
      <c r="DK6" s="8">
        <f t="shared" ca="1" si="11"/>
        <v>46960</v>
      </c>
      <c r="DL6" s="8">
        <f t="shared" ca="1" si="11"/>
        <v>53497</v>
      </c>
      <c r="DM6" s="8">
        <f t="shared" ca="1" si="11"/>
        <v>43031</v>
      </c>
      <c r="DN6" s="8">
        <f t="shared" ca="1" si="11"/>
        <v>46432</v>
      </c>
      <c r="DO6" s="8">
        <f t="shared" ca="1" si="11"/>
        <v>47164</v>
      </c>
      <c r="DP6" s="8">
        <f t="shared" ca="1" si="11"/>
        <v>62066</v>
      </c>
      <c r="DQ6" s="78">
        <f t="shared" ca="1" si="11"/>
        <v>61939</v>
      </c>
    </row>
    <row r="7" spans="1:121" ht="15.75">
      <c r="A7" s="68">
        <v>850</v>
      </c>
      <c r="B7" s="16">
        <f t="shared" ref="B7:AO7" ca="1" si="12">INDIRECT("Main!K" &amp; (COLUMN()-2)*3+4)</f>
        <v>63571</v>
      </c>
      <c r="C7" s="8">
        <f t="shared" ca="1" si="12"/>
        <v>0</v>
      </c>
      <c r="D7" s="8">
        <f t="shared" ca="1" si="12"/>
        <v>62903</v>
      </c>
      <c r="E7" s="8" t="str">
        <f t="shared" ca="1" si="12"/>
        <v>Saturates</v>
      </c>
      <c r="F7" s="17" t="str">
        <f t="shared" ca="1" si="12"/>
        <v>Saturates</v>
      </c>
      <c r="G7" s="16">
        <f t="shared" ca="1" si="12"/>
        <v>62685</v>
      </c>
      <c r="H7" s="8">
        <f t="shared" ca="1" si="12"/>
        <v>49234</v>
      </c>
      <c r="I7" s="8">
        <f t="shared" ca="1" si="12"/>
        <v>58678</v>
      </c>
      <c r="J7" s="8" t="str">
        <f t="shared" ca="1" si="12"/>
        <v>saturates</v>
      </c>
      <c r="K7" s="17">
        <f t="shared" ca="1" si="12"/>
        <v>64555</v>
      </c>
      <c r="L7" s="16" t="str">
        <f t="shared" ca="1" si="12"/>
        <v>Saturates</v>
      </c>
      <c r="M7" s="8">
        <f t="shared" ca="1" si="12"/>
        <v>63442</v>
      </c>
      <c r="N7" s="8">
        <f t="shared" ca="1" si="12"/>
        <v>45967</v>
      </c>
      <c r="O7" s="8">
        <f t="shared" ca="1" si="12"/>
        <v>62925</v>
      </c>
      <c r="P7" s="17">
        <f t="shared" ca="1" si="12"/>
        <v>62886</v>
      </c>
      <c r="Q7" s="16">
        <f t="shared" ca="1" si="12"/>
        <v>61556</v>
      </c>
      <c r="R7" s="8">
        <f t="shared" ca="1" si="12"/>
        <v>57992</v>
      </c>
      <c r="S7" s="8">
        <f t="shared" ca="1" si="12"/>
        <v>48722</v>
      </c>
      <c r="T7" s="8">
        <f t="shared" ca="1" si="12"/>
        <v>48069</v>
      </c>
      <c r="U7" s="17">
        <f t="shared" ca="1" si="12"/>
        <v>60914</v>
      </c>
      <c r="V7" s="16">
        <f t="shared" ca="1" si="12"/>
        <v>52652</v>
      </c>
      <c r="W7" s="8">
        <f t="shared" ca="1" si="12"/>
        <v>62873</v>
      </c>
      <c r="X7" s="8" t="str">
        <f t="shared" ca="1" si="12"/>
        <v>Saturates</v>
      </c>
      <c r="Y7" s="8">
        <f t="shared" ca="1" si="12"/>
        <v>0</v>
      </c>
      <c r="Z7" s="17" t="str">
        <f t="shared" ca="1" si="12"/>
        <v>Saturates</v>
      </c>
      <c r="AA7" s="16">
        <f t="shared" ca="1" si="12"/>
        <v>55197</v>
      </c>
      <c r="AB7" s="8">
        <f t="shared" ca="1" si="12"/>
        <v>56020</v>
      </c>
      <c r="AC7" s="8">
        <f t="shared" ca="1" si="12"/>
        <v>48582</v>
      </c>
      <c r="AD7" s="8" t="str">
        <f t="shared" ca="1" si="12"/>
        <v>Saturates</v>
      </c>
      <c r="AE7" s="17" t="str">
        <f t="shared" ca="1" si="12"/>
        <v>Saturates</v>
      </c>
      <c r="AF7" s="16">
        <f t="shared" ca="1" si="12"/>
        <v>63659</v>
      </c>
      <c r="AG7" s="8">
        <f t="shared" ca="1" si="12"/>
        <v>54788</v>
      </c>
      <c r="AH7" s="8">
        <f t="shared" ca="1" si="12"/>
        <v>55769</v>
      </c>
      <c r="AI7" s="8">
        <f t="shared" ca="1" si="12"/>
        <v>60208</v>
      </c>
      <c r="AJ7" s="17">
        <f t="shared" ca="1" si="12"/>
        <v>55033</v>
      </c>
      <c r="AK7" s="16">
        <f t="shared" ca="1" si="12"/>
        <v>62113</v>
      </c>
      <c r="AL7" s="8" t="str">
        <f t="shared" ca="1" si="12"/>
        <v>saturates</v>
      </c>
      <c r="AM7" s="8" t="str">
        <f t="shared" ca="1" si="12"/>
        <v>saturates</v>
      </c>
      <c r="AN7" s="8" t="str">
        <f t="shared" ca="1" si="12"/>
        <v>saturates</v>
      </c>
      <c r="AO7" s="17">
        <f t="shared" ca="1" si="12"/>
        <v>64992</v>
      </c>
      <c r="AP7" s="16">
        <f t="shared" ref="AP7:DQ7" ca="1" si="13">INDIRECT("LongBoards!K" &amp; (COLUMN()-42)*3+4)</f>
        <v>63205</v>
      </c>
      <c r="AQ7" s="52" t="str">
        <f t="shared" ca="1" si="13"/>
        <v>saturates</v>
      </c>
      <c r="AR7" s="52">
        <f t="shared" ca="1" si="13"/>
        <v>56892</v>
      </c>
      <c r="AS7" s="52" t="str">
        <f t="shared" ca="1" si="13"/>
        <v>saturates</v>
      </c>
      <c r="AT7" s="52">
        <f t="shared" ca="1" si="13"/>
        <v>56207</v>
      </c>
      <c r="AU7" s="52" t="str">
        <f t="shared" ca="1" si="13"/>
        <v>saturate</v>
      </c>
      <c r="AV7" s="184">
        <f t="shared" ca="1" si="13"/>
        <v>0</v>
      </c>
      <c r="AW7" s="52">
        <f t="shared" ca="1" si="13"/>
        <v>64796</v>
      </c>
      <c r="AX7" s="52" t="str">
        <f t="shared" ca="1" si="13"/>
        <v>saturates</v>
      </c>
      <c r="AY7" s="17">
        <f t="shared" ca="1" si="13"/>
        <v>61719</v>
      </c>
      <c r="AZ7" s="17">
        <f t="shared" ca="1" si="13"/>
        <v>63074</v>
      </c>
      <c r="BA7" s="52">
        <f t="shared" ca="1" si="13"/>
        <v>50863</v>
      </c>
      <c r="BB7" s="52">
        <f t="shared" ca="1" si="13"/>
        <v>60885</v>
      </c>
      <c r="BC7" s="52" t="str">
        <f t="shared" ca="1" si="13"/>
        <v>saturates</v>
      </c>
      <c r="BD7" s="52">
        <f t="shared" ca="1" si="13"/>
        <v>55805</v>
      </c>
      <c r="BE7" s="52">
        <f t="shared" ca="1" si="13"/>
        <v>52080</v>
      </c>
      <c r="BF7" s="52">
        <f t="shared" ca="1" si="13"/>
        <v>50151</v>
      </c>
      <c r="BG7" s="52">
        <f t="shared" ca="1" si="13"/>
        <v>51278</v>
      </c>
      <c r="BH7" s="52">
        <f t="shared" ca="1" si="13"/>
        <v>64292</v>
      </c>
      <c r="BI7" s="17">
        <f t="shared" ca="1" si="13"/>
        <v>62572</v>
      </c>
      <c r="BJ7" s="16">
        <f t="shared" ca="1" si="13"/>
        <v>63561</v>
      </c>
      <c r="BK7" s="52" t="str">
        <f t="shared" ca="1" si="13"/>
        <v>saturated</v>
      </c>
      <c r="BL7" s="52">
        <f t="shared" ca="1" si="13"/>
        <v>57032</v>
      </c>
      <c r="BM7" s="52">
        <f t="shared" ca="1" si="13"/>
        <v>50956</v>
      </c>
      <c r="BN7" s="52">
        <f t="shared" ca="1" si="13"/>
        <v>53193</v>
      </c>
      <c r="BO7" s="52">
        <f t="shared" ca="1" si="13"/>
        <v>57665</v>
      </c>
      <c r="BP7" s="52">
        <f t="shared" ca="1" si="13"/>
        <v>50760</v>
      </c>
      <c r="BQ7" s="52">
        <f t="shared" ca="1" si="13"/>
        <v>49993</v>
      </c>
      <c r="BR7" s="52" t="str">
        <f t="shared" ca="1" si="13"/>
        <v>saturated</v>
      </c>
      <c r="BS7" s="17">
        <f t="shared" ca="1" si="13"/>
        <v>50060</v>
      </c>
      <c r="BT7" s="16" t="str">
        <f t="shared" ca="1" si="13"/>
        <v>saturated</v>
      </c>
      <c r="BU7" s="52" t="str">
        <f t="shared" ca="1" si="13"/>
        <v>saturates</v>
      </c>
      <c r="BV7" s="52">
        <f t="shared" ca="1" si="13"/>
        <v>55249</v>
      </c>
      <c r="BW7" s="52">
        <f t="shared" ca="1" si="13"/>
        <v>55250</v>
      </c>
      <c r="BX7" s="52">
        <f t="shared" ca="1" si="13"/>
        <v>59178</v>
      </c>
      <c r="BY7" s="52">
        <f t="shared" ca="1" si="13"/>
        <v>57290</v>
      </c>
      <c r="BZ7" s="52">
        <f t="shared" ca="1" si="13"/>
        <v>61394</v>
      </c>
      <c r="CA7" s="52">
        <f t="shared" ca="1" si="13"/>
        <v>63085</v>
      </c>
      <c r="CB7" s="52">
        <f t="shared" ca="1" si="13"/>
        <v>56834</v>
      </c>
      <c r="CC7" s="17">
        <f t="shared" ca="1" si="13"/>
        <v>55730</v>
      </c>
      <c r="CD7" s="8" t="str">
        <f t="shared" ca="1" si="13"/>
        <v>sat</v>
      </c>
      <c r="CE7" s="8">
        <f t="shared" ca="1" si="13"/>
        <v>62654</v>
      </c>
      <c r="CF7" s="8">
        <f t="shared" ca="1" si="13"/>
        <v>58354</v>
      </c>
      <c r="CG7" s="8">
        <f t="shared" ca="1" si="13"/>
        <v>58336</v>
      </c>
      <c r="CH7" s="8">
        <f t="shared" ca="1" si="13"/>
        <v>55245</v>
      </c>
      <c r="CI7" s="8">
        <f t="shared" ca="1" si="13"/>
        <v>47026</v>
      </c>
      <c r="CJ7" s="8">
        <f t="shared" ca="1" si="13"/>
        <v>61108</v>
      </c>
      <c r="CK7" s="8">
        <f t="shared" ca="1" si="13"/>
        <v>61103</v>
      </c>
      <c r="CL7" s="8" t="str">
        <f t="shared" ca="1" si="13"/>
        <v>saturates</v>
      </c>
      <c r="CM7" s="8" t="str">
        <f t="shared" ca="1" si="13"/>
        <v>saturates</v>
      </c>
      <c r="CN7" s="77">
        <f t="shared" ca="1" si="13"/>
        <v>53372</v>
      </c>
      <c r="CO7" s="8">
        <f t="shared" ca="1" si="13"/>
        <v>48922</v>
      </c>
      <c r="CP7" s="8">
        <f t="shared" ca="1" si="13"/>
        <v>53472</v>
      </c>
      <c r="CQ7" s="8">
        <f t="shared" ca="1" si="13"/>
        <v>52700</v>
      </c>
      <c r="CR7" s="8">
        <f t="shared" ca="1" si="13"/>
        <v>52655</v>
      </c>
      <c r="CS7" s="8">
        <f t="shared" ca="1" si="13"/>
        <v>52298</v>
      </c>
      <c r="CT7" s="8">
        <f t="shared" ca="1" si="13"/>
        <v>52413</v>
      </c>
      <c r="CU7" s="8">
        <f t="shared" ca="1" si="13"/>
        <v>55135</v>
      </c>
      <c r="CV7" s="8">
        <f t="shared" ca="1" si="13"/>
        <v>54646</v>
      </c>
      <c r="CW7" s="78" t="str">
        <f t="shared" ca="1" si="13"/>
        <v>saturates</v>
      </c>
      <c r="CX7" s="77">
        <f t="shared" ca="1" si="13"/>
        <v>60067</v>
      </c>
      <c r="CY7" s="8">
        <f t="shared" ca="1" si="13"/>
        <v>60298</v>
      </c>
      <c r="CZ7" s="8">
        <f t="shared" ca="1" si="13"/>
        <v>59497</v>
      </c>
      <c r="DA7" s="8">
        <f t="shared" ca="1" si="13"/>
        <v>54192</v>
      </c>
      <c r="DB7" s="8">
        <f t="shared" ca="1" si="13"/>
        <v>49426</v>
      </c>
      <c r="DC7" s="8">
        <f t="shared" ca="1" si="13"/>
        <v>62401</v>
      </c>
      <c r="DD7" s="8">
        <f t="shared" ca="1" si="13"/>
        <v>48681</v>
      </c>
      <c r="DE7" s="8">
        <f t="shared" ca="1" si="13"/>
        <v>58538</v>
      </c>
      <c r="DF7" s="8">
        <f t="shared" ca="1" si="13"/>
        <v>61507</v>
      </c>
      <c r="DG7" s="78" t="str">
        <f t="shared" ca="1" si="13"/>
        <v>saturates</v>
      </c>
      <c r="DH7" s="77">
        <f t="shared" ca="1" si="13"/>
        <v>62203</v>
      </c>
      <c r="DI7" s="8">
        <f t="shared" ca="1" si="13"/>
        <v>51698</v>
      </c>
      <c r="DJ7" s="8">
        <f t="shared" ca="1" si="13"/>
        <v>58391</v>
      </c>
      <c r="DK7" s="8">
        <f t="shared" ca="1" si="13"/>
        <v>52592</v>
      </c>
      <c r="DL7" s="8">
        <f t="shared" ca="1" si="13"/>
        <v>58258</v>
      </c>
      <c r="DM7" s="8">
        <f t="shared" ca="1" si="13"/>
        <v>48298</v>
      </c>
      <c r="DN7" s="8">
        <f t="shared" ca="1" si="13"/>
        <v>52312</v>
      </c>
      <c r="DO7" s="8">
        <f t="shared" ca="1" si="13"/>
        <v>52713</v>
      </c>
      <c r="DP7" s="8" t="str">
        <f t="shared" ca="1" si="13"/>
        <v>saturates</v>
      </c>
      <c r="DQ7" s="78" t="str">
        <f t="shared" ca="1" si="13"/>
        <v>saturates</v>
      </c>
    </row>
    <row r="8" spans="1:121" ht="15.75">
      <c r="A8" s="68" t="s">
        <v>377</v>
      </c>
      <c r="B8" s="80">
        <v>479.5</v>
      </c>
      <c r="C8" s="59">
        <v>379</v>
      </c>
      <c r="D8" s="59">
        <v>953</v>
      </c>
      <c r="E8" s="59">
        <v>225</v>
      </c>
      <c r="F8" s="81">
        <v>262</v>
      </c>
      <c r="G8" s="80">
        <v>258.5</v>
      </c>
      <c r="H8" s="59">
        <v>230</v>
      </c>
      <c r="I8" s="59">
        <v>337</v>
      </c>
      <c r="J8" s="59">
        <v>320</v>
      </c>
      <c r="K8" s="81">
        <v>166.2</v>
      </c>
      <c r="L8" s="80">
        <v>1204</v>
      </c>
      <c r="M8" s="59">
        <v>317</v>
      </c>
      <c r="N8" s="59">
        <v>338</v>
      </c>
      <c r="O8" s="59">
        <v>345</v>
      </c>
      <c r="P8" s="81">
        <v>575</v>
      </c>
      <c r="Q8" s="80">
        <v>302</v>
      </c>
      <c r="R8" s="59">
        <v>389</v>
      </c>
      <c r="S8" s="59">
        <v>368</v>
      </c>
      <c r="T8" s="59">
        <v>388</v>
      </c>
      <c r="U8" s="81">
        <v>519</v>
      </c>
      <c r="V8" s="80">
        <v>269</v>
      </c>
      <c r="W8" s="59">
        <v>335</v>
      </c>
      <c r="X8" s="59">
        <v>201</v>
      </c>
      <c r="Y8" s="59">
        <v>137.5</v>
      </c>
      <c r="Z8" s="81">
        <v>266</v>
      </c>
      <c r="AA8" s="80">
        <v>263</v>
      </c>
      <c r="AB8" s="59">
        <v>315</v>
      </c>
      <c r="AC8" s="59">
        <v>252</v>
      </c>
      <c r="AD8" s="59">
        <v>179</v>
      </c>
      <c r="AE8" s="81">
        <v>233</v>
      </c>
      <c r="AF8" s="80">
        <v>512</v>
      </c>
      <c r="AG8" s="59">
        <v>461</v>
      </c>
      <c r="AH8" s="59">
        <v>308</v>
      </c>
      <c r="AI8" s="59">
        <v>226</v>
      </c>
      <c r="AJ8" s="81">
        <v>215</v>
      </c>
      <c r="AK8" s="80">
        <v>272</v>
      </c>
      <c r="AL8" s="59">
        <v>589</v>
      </c>
      <c r="AM8" s="59">
        <v>212</v>
      </c>
      <c r="AN8" s="59">
        <v>1137</v>
      </c>
      <c r="AO8" s="81">
        <v>494</v>
      </c>
      <c r="AP8" s="82">
        <v>263</v>
      </c>
      <c r="AQ8" s="59">
        <v>279</v>
      </c>
      <c r="AR8" s="59">
        <v>346</v>
      </c>
      <c r="AS8" s="59">
        <v>1066</v>
      </c>
      <c r="AT8" s="59">
        <v>291</v>
      </c>
      <c r="AU8" s="59">
        <v>193</v>
      </c>
      <c r="AV8" s="182">
        <v>335</v>
      </c>
      <c r="AW8" s="59">
        <v>575</v>
      </c>
      <c r="AX8" s="59">
        <v>665</v>
      </c>
      <c r="AY8" s="81">
        <v>492</v>
      </c>
      <c r="AZ8" s="80">
        <v>524</v>
      </c>
      <c r="BA8" s="59">
        <v>227</v>
      </c>
      <c r="BB8" s="59">
        <v>305.5</v>
      </c>
      <c r="BC8" s="59">
        <v>311</v>
      </c>
      <c r="BD8" s="59">
        <v>217</v>
      </c>
      <c r="BE8" s="59">
        <v>260</v>
      </c>
      <c r="BF8" s="59">
        <v>305.60000000000002</v>
      </c>
      <c r="BG8" s="59">
        <v>324</v>
      </c>
      <c r="BH8" s="59">
        <v>299</v>
      </c>
      <c r="BI8" s="81">
        <v>395</v>
      </c>
      <c r="BJ8" s="80">
        <v>488</v>
      </c>
      <c r="BK8" s="59">
        <v>154</v>
      </c>
      <c r="BL8" s="59">
        <v>285</v>
      </c>
      <c r="BM8" s="59">
        <v>288</v>
      </c>
      <c r="BN8" s="59">
        <v>302</v>
      </c>
      <c r="BO8" s="59">
        <v>320</v>
      </c>
      <c r="BP8" s="59">
        <v>327</v>
      </c>
      <c r="BQ8" s="59">
        <v>229</v>
      </c>
      <c r="BR8" s="59">
        <v>167</v>
      </c>
      <c r="BS8" s="81">
        <v>182</v>
      </c>
      <c r="BT8" s="80">
        <v>181</v>
      </c>
      <c r="BU8" s="59">
        <v>275</v>
      </c>
      <c r="BV8" s="59">
        <v>303</v>
      </c>
      <c r="BW8" s="59">
        <v>440</v>
      </c>
      <c r="BX8" s="59">
        <v>254</v>
      </c>
      <c r="BY8" s="59">
        <v>223</v>
      </c>
      <c r="BZ8" s="59">
        <v>408</v>
      </c>
      <c r="CA8" s="59">
        <v>393</v>
      </c>
      <c r="CB8" s="59">
        <v>267</v>
      </c>
      <c r="CC8" s="81">
        <v>121</v>
      </c>
      <c r="CD8" s="59">
        <v>162</v>
      </c>
      <c r="CE8" s="59">
        <v>347</v>
      </c>
      <c r="CF8" s="59">
        <v>353</v>
      </c>
      <c r="CG8" s="59">
        <v>335</v>
      </c>
      <c r="CH8" s="59">
        <v>265</v>
      </c>
      <c r="CI8" s="59">
        <v>287.5</v>
      </c>
      <c r="CJ8" s="59">
        <v>509</v>
      </c>
      <c r="CK8" s="59">
        <v>427</v>
      </c>
      <c r="CL8" s="59">
        <v>212</v>
      </c>
      <c r="CM8" s="59">
        <v>182</v>
      </c>
      <c r="CN8" s="55">
        <v>525</v>
      </c>
      <c r="CO8" s="59">
        <v>209</v>
      </c>
      <c r="CP8" s="59">
        <v>236</v>
      </c>
      <c r="CQ8" s="59">
        <v>206</v>
      </c>
      <c r="CR8" s="59">
        <v>201</v>
      </c>
      <c r="CS8" s="59">
        <v>286</v>
      </c>
      <c r="CT8" s="59">
        <v>375</v>
      </c>
      <c r="CU8" s="59">
        <v>223</v>
      </c>
      <c r="CV8" s="59">
        <v>241</v>
      </c>
      <c r="CW8" s="83">
        <v>406</v>
      </c>
      <c r="CX8" s="55">
        <v>408.6</v>
      </c>
      <c r="CY8" s="59">
        <v>548</v>
      </c>
      <c r="CZ8" s="59">
        <v>370</v>
      </c>
      <c r="DA8" s="59">
        <v>385</v>
      </c>
      <c r="DB8" s="59">
        <v>332</v>
      </c>
      <c r="DC8" s="59">
        <v>305.5</v>
      </c>
      <c r="DD8" s="59">
        <v>213</v>
      </c>
      <c r="DE8" s="59">
        <v>308</v>
      </c>
      <c r="DF8" s="59">
        <v>295</v>
      </c>
      <c r="DG8" s="83">
        <v>237</v>
      </c>
      <c r="DH8" s="55">
        <v>407</v>
      </c>
      <c r="DI8" s="59">
        <v>243</v>
      </c>
      <c r="DJ8" s="59">
        <v>241</v>
      </c>
      <c r="DK8" s="59">
        <v>309</v>
      </c>
      <c r="DL8" s="59">
        <v>590</v>
      </c>
      <c r="DM8" s="59">
        <v>301</v>
      </c>
      <c r="DN8" s="59">
        <v>279</v>
      </c>
      <c r="DO8" s="59">
        <v>358</v>
      </c>
      <c r="DP8" s="59">
        <v>257</v>
      </c>
      <c r="DQ8" s="83">
        <v>245</v>
      </c>
    </row>
    <row r="9" spans="1:121" ht="15.75">
      <c r="A9" s="68" t="s">
        <v>378</v>
      </c>
      <c r="B9" s="16">
        <v>76119</v>
      </c>
      <c r="C9">
        <v>73719</v>
      </c>
      <c r="D9" s="8">
        <v>116890</v>
      </c>
      <c r="E9" s="8">
        <v>37985</v>
      </c>
      <c r="F9" s="17">
        <v>61451</v>
      </c>
      <c r="G9" s="16">
        <v>38507</v>
      </c>
      <c r="H9" s="8">
        <v>30984</v>
      </c>
      <c r="I9" s="8">
        <v>50539</v>
      </c>
      <c r="J9" s="8">
        <v>65339</v>
      </c>
      <c r="K9" s="17">
        <v>29982</v>
      </c>
      <c r="L9" s="16">
        <v>299918</v>
      </c>
      <c r="M9" s="8">
        <v>50369</v>
      </c>
      <c r="N9" s="8">
        <v>44630</v>
      </c>
      <c r="O9" s="8">
        <v>52823</v>
      </c>
      <c r="P9" s="17">
        <v>110282</v>
      </c>
      <c r="Q9" s="16">
        <v>45849</v>
      </c>
      <c r="R9" s="8">
        <v>66003</v>
      </c>
      <c r="S9" s="8">
        <v>51446</v>
      </c>
      <c r="T9" s="8">
        <v>52859</v>
      </c>
      <c r="U9" s="17">
        <v>72573</v>
      </c>
      <c r="V9" s="16">
        <v>39536</v>
      </c>
      <c r="W9" s="8">
        <v>54277</v>
      </c>
      <c r="X9" s="8">
        <v>44555</v>
      </c>
      <c r="Y9" s="119">
        <v>25036</v>
      </c>
      <c r="Z9" s="17">
        <v>44613</v>
      </c>
      <c r="AA9" s="16">
        <v>39454</v>
      </c>
      <c r="AB9" s="8">
        <v>52358</v>
      </c>
      <c r="AC9" s="8">
        <v>36102</v>
      </c>
      <c r="AD9" s="8">
        <v>40723</v>
      </c>
      <c r="AE9" s="17">
        <v>63861</v>
      </c>
      <c r="AF9" s="16">
        <v>79469</v>
      </c>
      <c r="AG9" s="8">
        <v>63289</v>
      </c>
      <c r="AH9" s="8">
        <v>45408</v>
      </c>
      <c r="AI9" s="8">
        <v>34692</v>
      </c>
      <c r="AJ9" s="17">
        <v>32797</v>
      </c>
      <c r="AK9" s="16">
        <v>42420</v>
      </c>
      <c r="AL9" s="8">
        <v>99721</v>
      </c>
      <c r="AM9" s="8">
        <v>46353</v>
      </c>
      <c r="AN9" s="8">
        <v>117456</v>
      </c>
      <c r="AO9" s="17">
        <v>66225</v>
      </c>
      <c r="AP9" s="54">
        <v>39658</v>
      </c>
      <c r="AQ9" s="52">
        <v>54902</v>
      </c>
      <c r="AR9" s="52">
        <v>48062</v>
      </c>
      <c r="AS9" s="52">
        <v>323218</v>
      </c>
      <c r="AT9" s="52">
        <v>46569</v>
      </c>
      <c r="AU9" s="52">
        <v>44481</v>
      </c>
      <c r="AV9" s="184">
        <v>79251</v>
      </c>
      <c r="AW9" s="52">
        <v>75736</v>
      </c>
      <c r="AX9" s="52">
        <v>95138</v>
      </c>
      <c r="AY9" s="17">
        <v>74603</v>
      </c>
      <c r="AZ9" s="16">
        <v>78878</v>
      </c>
      <c r="BA9" s="52">
        <v>31679</v>
      </c>
      <c r="BB9" s="52">
        <v>46389</v>
      </c>
      <c r="BC9" s="52">
        <v>50886</v>
      </c>
      <c r="BD9" s="52">
        <v>32982</v>
      </c>
      <c r="BE9" s="52">
        <v>36447</v>
      </c>
      <c r="BF9" s="52">
        <v>58130</v>
      </c>
      <c r="BG9" s="52">
        <v>47878</v>
      </c>
      <c r="BH9" s="52">
        <v>57712</v>
      </c>
      <c r="BI9" s="17">
        <v>61681</v>
      </c>
      <c r="BJ9" s="16">
        <v>76207</v>
      </c>
      <c r="BK9" s="52">
        <v>31946</v>
      </c>
      <c r="BL9" s="52">
        <v>51943</v>
      </c>
      <c r="BM9" s="52">
        <v>40094</v>
      </c>
      <c r="BN9" s="52">
        <v>45266</v>
      </c>
      <c r="BO9" s="52">
        <v>55192</v>
      </c>
      <c r="BP9" s="52">
        <v>45944</v>
      </c>
      <c r="BQ9" s="52">
        <v>32296</v>
      </c>
      <c r="BR9" s="52">
        <v>33743</v>
      </c>
      <c r="BS9" s="17">
        <v>23286</v>
      </c>
      <c r="BT9" s="16">
        <v>34611</v>
      </c>
      <c r="BU9" s="52">
        <v>57266</v>
      </c>
      <c r="BV9" s="52">
        <v>51753</v>
      </c>
      <c r="BW9" s="52">
        <v>61441</v>
      </c>
      <c r="BX9" s="52">
        <v>45584</v>
      </c>
      <c r="BY9" s="52">
        <v>37877</v>
      </c>
      <c r="BZ9" s="52">
        <v>58812</v>
      </c>
      <c r="CA9" s="52">
        <v>61681</v>
      </c>
      <c r="CB9" s="52">
        <v>45643</v>
      </c>
      <c r="CC9" s="17">
        <v>9918</v>
      </c>
      <c r="CD9" s="8">
        <v>34151</v>
      </c>
      <c r="CE9" s="8">
        <v>51904</v>
      </c>
      <c r="CF9" s="8">
        <v>51359</v>
      </c>
      <c r="CG9" s="8">
        <v>47130</v>
      </c>
      <c r="CH9" s="8">
        <v>40439</v>
      </c>
      <c r="CI9" s="8">
        <v>38271</v>
      </c>
      <c r="CJ9" s="8">
        <v>73094</v>
      </c>
      <c r="CK9" s="8">
        <v>63906</v>
      </c>
      <c r="CL9" s="8">
        <v>41981</v>
      </c>
      <c r="CM9" s="8">
        <v>43475</v>
      </c>
      <c r="CN9" s="77">
        <v>37082</v>
      </c>
      <c r="CO9" s="8">
        <v>28540</v>
      </c>
      <c r="CP9" s="8">
        <v>35375</v>
      </c>
      <c r="CQ9" s="8">
        <v>29802</v>
      </c>
      <c r="CR9" s="8">
        <v>29426</v>
      </c>
      <c r="CS9" s="8">
        <v>42583</v>
      </c>
      <c r="CT9" s="8">
        <v>56438</v>
      </c>
      <c r="CU9" s="8">
        <v>34846</v>
      </c>
      <c r="CV9" s="8">
        <v>37019</v>
      </c>
      <c r="CW9" s="78">
        <v>85238</v>
      </c>
      <c r="CX9" s="77">
        <v>61003</v>
      </c>
      <c r="CY9" s="8">
        <v>77337</v>
      </c>
      <c r="CZ9" s="8">
        <v>54506</v>
      </c>
      <c r="DA9" s="8">
        <v>52729</v>
      </c>
      <c r="DB9" s="8">
        <v>46069</v>
      </c>
      <c r="DC9" s="8">
        <v>55809</v>
      </c>
      <c r="DD9" s="8">
        <v>27658</v>
      </c>
      <c r="DE9" s="8">
        <v>52418</v>
      </c>
      <c r="DF9" s="8">
        <v>54964</v>
      </c>
      <c r="DG9" s="78">
        <v>40365</v>
      </c>
      <c r="DH9" s="77">
        <v>62843</v>
      </c>
      <c r="DI9" s="8">
        <v>35601</v>
      </c>
      <c r="DJ9" s="8">
        <v>35902</v>
      </c>
      <c r="DK9" s="8">
        <v>45194</v>
      </c>
      <c r="DL9" s="8">
        <v>77955</v>
      </c>
      <c r="DM9" s="8">
        <v>40815</v>
      </c>
      <c r="DN9" s="8">
        <v>40326</v>
      </c>
      <c r="DO9" s="8">
        <v>55723</v>
      </c>
      <c r="DP9" s="8">
        <v>48417</v>
      </c>
      <c r="DQ9" s="78">
        <v>48102</v>
      </c>
    </row>
    <row r="10" spans="1:121" ht="15.75">
      <c r="A10" s="68" t="s">
        <v>379</v>
      </c>
      <c r="B10" s="16">
        <v>564</v>
      </c>
      <c r="C10">
        <v>700</v>
      </c>
      <c r="D10" s="8">
        <v>179</v>
      </c>
      <c r="E10" s="8">
        <v>662</v>
      </c>
      <c r="F10" s="17">
        <v>700</v>
      </c>
      <c r="G10" s="16">
        <v>645</v>
      </c>
      <c r="H10" s="8">
        <v>691</v>
      </c>
      <c r="I10" s="8">
        <v>626.4</v>
      </c>
      <c r="J10" s="8">
        <v>700</v>
      </c>
      <c r="K10" s="17">
        <v>700</v>
      </c>
      <c r="L10" s="16">
        <v>700</v>
      </c>
      <c r="M10" s="8">
        <v>621</v>
      </c>
      <c r="N10" s="8">
        <v>702</v>
      </c>
      <c r="O10" s="8">
        <v>611</v>
      </c>
      <c r="P10" s="17">
        <v>737</v>
      </c>
      <c r="Q10" s="16">
        <v>632</v>
      </c>
      <c r="R10" s="8">
        <v>710</v>
      </c>
      <c r="S10" s="8">
        <v>697</v>
      </c>
      <c r="T10" s="8">
        <v>695</v>
      </c>
      <c r="U10" s="17">
        <v>532</v>
      </c>
      <c r="V10" s="16">
        <v>704.4</v>
      </c>
      <c r="W10" s="8">
        <v>616</v>
      </c>
      <c r="X10" s="8">
        <v>700</v>
      </c>
      <c r="Y10" s="119">
        <v>700</v>
      </c>
      <c r="Z10" s="17">
        <v>650</v>
      </c>
      <c r="AA10" s="16">
        <v>699</v>
      </c>
      <c r="AB10" s="8">
        <v>715</v>
      </c>
      <c r="AC10" s="8">
        <v>702</v>
      </c>
      <c r="AD10" s="8">
        <v>700</v>
      </c>
      <c r="AE10" s="17">
        <v>700</v>
      </c>
      <c r="AF10" s="16">
        <v>567</v>
      </c>
      <c r="AG10" s="8">
        <v>626</v>
      </c>
      <c r="AH10" s="8">
        <v>666</v>
      </c>
      <c r="AI10" s="8">
        <v>671</v>
      </c>
      <c r="AJ10" s="17">
        <v>707.5</v>
      </c>
      <c r="AK10" s="16">
        <v>647</v>
      </c>
      <c r="AL10" s="8">
        <v>464</v>
      </c>
      <c r="AM10" s="8">
        <v>700</v>
      </c>
      <c r="AN10" s="8">
        <v>-159</v>
      </c>
      <c r="AO10" s="17">
        <v>455</v>
      </c>
      <c r="AP10" s="54">
        <v>642</v>
      </c>
      <c r="AQ10" s="52">
        <v>700</v>
      </c>
      <c r="AR10" s="52">
        <v>648</v>
      </c>
      <c r="AS10" s="52">
        <v>700</v>
      </c>
      <c r="AT10" s="52">
        <v>705</v>
      </c>
      <c r="AU10" s="52">
        <v>700</v>
      </c>
      <c r="AV10" s="184">
        <v>700</v>
      </c>
      <c r="AW10" s="52">
        <v>374</v>
      </c>
      <c r="AX10" s="52">
        <v>449</v>
      </c>
      <c r="AY10" s="17">
        <v>594</v>
      </c>
      <c r="AZ10" s="16">
        <v>551</v>
      </c>
      <c r="BA10" s="52">
        <v>692.3</v>
      </c>
      <c r="BB10" s="52">
        <v>624</v>
      </c>
      <c r="BC10" s="52">
        <v>605.70000000000005</v>
      </c>
      <c r="BD10" s="52">
        <v>705.5</v>
      </c>
      <c r="BE10" s="52">
        <v>701.3</v>
      </c>
      <c r="BF10" s="52">
        <v>600.5</v>
      </c>
      <c r="BG10" s="52">
        <v>705.6</v>
      </c>
      <c r="BH10" s="52">
        <v>700</v>
      </c>
      <c r="BI10" s="17">
        <v>633</v>
      </c>
      <c r="BJ10" s="16">
        <v>579</v>
      </c>
      <c r="BK10" s="52">
        <v>700</v>
      </c>
      <c r="BL10" s="52">
        <v>730</v>
      </c>
      <c r="BM10" s="52">
        <v>699</v>
      </c>
      <c r="BN10" s="52">
        <v>703</v>
      </c>
      <c r="BO10" s="52">
        <v>715</v>
      </c>
      <c r="BP10" s="52">
        <v>700</v>
      </c>
      <c r="BQ10" s="52">
        <v>695</v>
      </c>
      <c r="BR10" s="52">
        <v>700</v>
      </c>
      <c r="BS10" s="17">
        <v>698</v>
      </c>
      <c r="BT10" s="16">
        <v>700</v>
      </c>
      <c r="BU10" s="52">
        <v>700</v>
      </c>
      <c r="BV10" s="52">
        <v>706</v>
      </c>
      <c r="BW10" s="52">
        <v>640.70000000000005</v>
      </c>
      <c r="BX10" s="52">
        <v>720.7</v>
      </c>
      <c r="BY10" s="52">
        <v>710</v>
      </c>
      <c r="BZ10" s="52">
        <v>604</v>
      </c>
      <c r="CA10" s="52">
        <v>584.6</v>
      </c>
      <c r="CB10" s="52">
        <v>714</v>
      </c>
      <c r="CC10" s="17">
        <v>689</v>
      </c>
      <c r="CD10" s="8">
        <v>700</v>
      </c>
      <c r="CE10" s="8">
        <v>607</v>
      </c>
      <c r="CF10" s="8">
        <v>632</v>
      </c>
      <c r="CG10" s="8">
        <v>646</v>
      </c>
      <c r="CH10" s="8">
        <v>703</v>
      </c>
      <c r="CI10" s="8">
        <v>703.6</v>
      </c>
      <c r="CJ10" s="8">
        <v>561</v>
      </c>
      <c r="CK10" s="8">
        <v>576</v>
      </c>
      <c r="CL10" s="8">
        <v>700</v>
      </c>
      <c r="CM10" s="8">
        <v>700</v>
      </c>
      <c r="CN10" s="77">
        <v>188</v>
      </c>
      <c r="CO10" s="8">
        <v>696</v>
      </c>
      <c r="CP10" s="8">
        <v>696</v>
      </c>
      <c r="CQ10" s="8">
        <v>703</v>
      </c>
      <c r="CR10" s="8">
        <v>706.4</v>
      </c>
      <c r="CS10" s="8">
        <v>702</v>
      </c>
      <c r="CT10" s="8">
        <v>707</v>
      </c>
      <c r="CU10" s="8">
        <v>699</v>
      </c>
      <c r="CV10" s="8">
        <v>707</v>
      </c>
      <c r="CW10" s="78">
        <v>700</v>
      </c>
      <c r="CX10" s="77">
        <v>635.29999999999995</v>
      </c>
      <c r="CY10" s="8">
        <v>535.79999999999995</v>
      </c>
      <c r="CZ10" s="8">
        <v>621</v>
      </c>
      <c r="DA10" s="8">
        <v>646.70000000000005</v>
      </c>
      <c r="DB10" s="8">
        <v>703.5</v>
      </c>
      <c r="DC10" s="8">
        <v>700</v>
      </c>
      <c r="DD10" s="8">
        <v>694</v>
      </c>
      <c r="DE10" s="8">
        <v>700</v>
      </c>
      <c r="DF10" s="8">
        <v>700</v>
      </c>
      <c r="DG10" s="78">
        <v>658</v>
      </c>
      <c r="DH10" s="77">
        <v>621</v>
      </c>
      <c r="DI10" s="8">
        <v>696</v>
      </c>
      <c r="DJ10" s="8">
        <v>664</v>
      </c>
      <c r="DK10" s="8">
        <v>702</v>
      </c>
      <c r="DL10" s="8">
        <v>526</v>
      </c>
      <c r="DM10" s="8">
        <v>702</v>
      </c>
      <c r="DN10" s="8">
        <v>702</v>
      </c>
      <c r="DO10" s="8">
        <v>705</v>
      </c>
      <c r="DP10" s="8">
        <v>700</v>
      </c>
      <c r="DQ10" s="78">
        <v>700</v>
      </c>
    </row>
    <row r="11" spans="1:121" ht="15.75">
      <c r="A11" s="68" t="s">
        <v>380</v>
      </c>
      <c r="B11" s="84">
        <v>-74046</v>
      </c>
      <c r="C11" s="85">
        <v>-40061</v>
      </c>
      <c r="D11" s="85">
        <v>-173025</v>
      </c>
      <c r="E11" s="85">
        <v>-19107</v>
      </c>
      <c r="F11" s="86">
        <v>-29189</v>
      </c>
      <c r="G11" s="84">
        <v>-21960.5</v>
      </c>
      <c r="H11" s="85">
        <v>-12733</v>
      </c>
      <c r="I11" s="85">
        <v>-39206</v>
      </c>
      <c r="J11" s="85">
        <v>-31770</v>
      </c>
      <c r="K11" s="86">
        <v>-4569</v>
      </c>
      <c r="L11" s="84">
        <v>-258666</v>
      </c>
      <c r="M11" s="85">
        <v>-39585</v>
      </c>
      <c r="N11" s="85">
        <v>-22971</v>
      </c>
      <c r="O11" s="85">
        <v>-41990</v>
      </c>
      <c r="P11" s="86">
        <v>-69812</v>
      </c>
      <c r="Q11" s="84">
        <v>-32329</v>
      </c>
      <c r="R11" s="85">
        <v>-36456</v>
      </c>
      <c r="S11" s="85">
        <v>-29120</v>
      </c>
      <c r="T11" s="85">
        <v>-30812</v>
      </c>
      <c r="U11" s="86">
        <v>-70614</v>
      </c>
      <c r="V11" s="84">
        <v>-15131</v>
      </c>
      <c r="W11" s="85">
        <v>-45466</v>
      </c>
      <c r="X11" s="85">
        <v>-13445</v>
      </c>
      <c r="Y11" s="85">
        <v>8053</v>
      </c>
      <c r="Z11" s="86">
        <v>-26386</v>
      </c>
      <c r="AA11" s="84">
        <v>-14522</v>
      </c>
      <c r="AB11" s="85">
        <v>-24159</v>
      </c>
      <c r="AC11" s="85">
        <v>-16288</v>
      </c>
      <c r="AD11" s="85">
        <v>-8270</v>
      </c>
      <c r="AE11" s="86">
        <v>-22631</v>
      </c>
      <c r="AF11" s="84">
        <v>-74070</v>
      </c>
      <c r="AG11" s="85">
        <v>-47735</v>
      </c>
      <c r="AH11" s="85">
        <v>-26500</v>
      </c>
      <c r="AI11" s="85">
        <v>-15765</v>
      </c>
      <c r="AJ11" s="86">
        <v>-8784</v>
      </c>
      <c r="AK11" s="84">
        <v>-26807</v>
      </c>
      <c r="AL11" s="85">
        <v>-118796</v>
      </c>
      <c r="AM11" s="85">
        <v>-15083</v>
      </c>
      <c r="AN11" s="85">
        <v>-216305</v>
      </c>
      <c r="AO11" s="86">
        <v>-81685</v>
      </c>
      <c r="AP11" s="87">
        <v>-23651</v>
      </c>
      <c r="AQ11" s="85">
        <v>-21327</v>
      </c>
      <c r="AR11" s="85">
        <v>-28829</v>
      </c>
      <c r="AS11" s="85">
        <v>-287497</v>
      </c>
      <c r="AT11" s="85">
        <v>-20136</v>
      </c>
      <c r="AU11" s="85">
        <v>-14705</v>
      </c>
      <c r="AV11" s="185">
        <v>-40638</v>
      </c>
      <c r="AW11" s="85">
        <v>-107586</v>
      </c>
      <c r="AX11" s="85">
        <v>-106611</v>
      </c>
      <c r="AY11" s="86">
        <v>-63326</v>
      </c>
      <c r="AZ11" s="84">
        <v>-75994</v>
      </c>
      <c r="BA11" s="85">
        <v>-12719</v>
      </c>
      <c r="BB11" s="85">
        <v>-35873</v>
      </c>
      <c r="BC11" s="85">
        <v>-42178</v>
      </c>
      <c r="BD11" s="85">
        <v>-8299</v>
      </c>
      <c r="BE11" s="52">
        <v>-12433</v>
      </c>
      <c r="BF11" s="52">
        <v>-30327</v>
      </c>
      <c r="BG11" s="52">
        <v>-23485</v>
      </c>
      <c r="BH11" s="52">
        <v>-27194</v>
      </c>
      <c r="BI11" s="17">
        <v>-44125</v>
      </c>
      <c r="BJ11" s="16">
        <v>-68817</v>
      </c>
      <c r="BK11" s="52">
        <v>-3172</v>
      </c>
      <c r="BL11" s="52">
        <v>-21963</v>
      </c>
      <c r="BM11" s="52">
        <v>-16716</v>
      </c>
      <c r="BN11" s="52">
        <v>-20275</v>
      </c>
      <c r="BO11" s="52">
        <v>-26390</v>
      </c>
      <c r="BP11" s="52">
        <v>-21793</v>
      </c>
      <c r="BQ11" s="52">
        <v>-13379</v>
      </c>
      <c r="BR11" s="52">
        <v>-5703</v>
      </c>
      <c r="BS11" s="17">
        <v>-3586</v>
      </c>
      <c r="BT11" s="16">
        <v>-8257</v>
      </c>
      <c r="BU11" s="52">
        <v>-30000</v>
      </c>
      <c r="BV11" s="52">
        <v>-27952</v>
      </c>
      <c r="BW11" s="52">
        <v>-43441</v>
      </c>
      <c r="BX11" s="52">
        <v>-16389</v>
      </c>
      <c r="BY11" s="52">
        <v>-13464</v>
      </c>
      <c r="BZ11" s="52">
        <v>-45722</v>
      </c>
      <c r="CA11" s="52">
        <v>-57499</v>
      </c>
      <c r="CB11" s="52">
        <v>-18590</v>
      </c>
      <c r="CC11" s="17">
        <v>18724</v>
      </c>
      <c r="CD11" s="8">
        <v>-3449</v>
      </c>
      <c r="CE11" s="8">
        <v>-41255</v>
      </c>
      <c r="CF11" s="8">
        <v>-36250</v>
      </c>
      <c r="CG11" s="8">
        <v>-27987</v>
      </c>
      <c r="CH11" s="8">
        <v>-14816</v>
      </c>
      <c r="CI11" s="8">
        <v>-14981</v>
      </c>
      <c r="CJ11" s="8">
        <v>-67229</v>
      </c>
      <c r="CK11" s="8">
        <v>-59724</v>
      </c>
      <c r="CL11" s="8">
        <v>-15628</v>
      </c>
      <c r="CM11" s="8">
        <v>-10163</v>
      </c>
      <c r="CN11" s="77">
        <v>-76424</v>
      </c>
      <c r="CO11" s="8">
        <v>-10697</v>
      </c>
      <c r="CP11" s="8">
        <v>-14451</v>
      </c>
      <c r="CQ11" s="8">
        <v>-8113</v>
      </c>
      <c r="CR11" s="8">
        <v>-7384</v>
      </c>
      <c r="CS11" s="8">
        <v>-19003</v>
      </c>
      <c r="CT11" s="8">
        <v>-29995</v>
      </c>
      <c r="CU11" s="8">
        <v>-13271</v>
      </c>
      <c r="CV11" s="8">
        <v>-12414</v>
      </c>
      <c r="CW11" s="78">
        <v>-54023</v>
      </c>
      <c r="CX11" s="77">
        <v>-42921</v>
      </c>
      <c r="CY11" s="8">
        <v>-76487</v>
      </c>
      <c r="CZ11" s="8">
        <v>-41257</v>
      </c>
      <c r="DA11" s="8">
        <v>-35006</v>
      </c>
      <c r="DB11" s="8">
        <v>-22137</v>
      </c>
      <c r="DC11" s="8">
        <v>-25383</v>
      </c>
      <c r="DD11" s="8">
        <v>-8927</v>
      </c>
      <c r="DE11" s="8">
        <v>-23714</v>
      </c>
      <c r="DF11" s="8">
        <v>-24800</v>
      </c>
      <c r="DG11" s="78">
        <v>-19856</v>
      </c>
      <c r="DH11" s="77">
        <v>-47809</v>
      </c>
      <c r="DI11" s="8">
        <v>-15364</v>
      </c>
      <c r="DJ11" s="8">
        <v>-19029</v>
      </c>
      <c r="DK11" s="8">
        <v>-20348</v>
      </c>
      <c r="DL11" s="8">
        <v>-76378</v>
      </c>
      <c r="DM11" s="8">
        <v>-18331</v>
      </c>
      <c r="DN11" s="8">
        <v>-15993</v>
      </c>
      <c r="DO11" s="8">
        <v>-30629</v>
      </c>
      <c r="DP11" s="8">
        <v>-16640</v>
      </c>
      <c r="DQ11" s="78">
        <v>-18126</v>
      </c>
    </row>
    <row r="12" spans="1:121" ht="15.75">
      <c r="A12" s="69" t="s">
        <v>381</v>
      </c>
      <c r="B12" s="24">
        <f t="shared" ref="B12:DQ12" si="14">B$8*LN((45000-B$11)/B$9)+B$10</f>
        <v>778.43818653436188</v>
      </c>
      <c r="C12" s="25">
        <f t="shared" si="14"/>
        <v>754.23796167340288</v>
      </c>
      <c r="D12" s="25">
        <f t="shared" si="14"/>
        <v>773.07772205918195</v>
      </c>
      <c r="E12" s="25">
        <f t="shared" si="14"/>
        <v>779.75649890988154</v>
      </c>
      <c r="F12" s="26">
        <f t="shared" si="14"/>
        <v>749.35445486630044</v>
      </c>
      <c r="G12" s="24">
        <f t="shared" si="14"/>
        <v>788.01844681528644</v>
      </c>
      <c r="H12" s="25">
        <f t="shared" si="14"/>
        <v>834.14233805858169</v>
      </c>
      <c r="I12" s="25">
        <f t="shared" si="14"/>
        <v>798.44553054806397</v>
      </c>
      <c r="J12" s="25">
        <f t="shared" si="14"/>
        <v>751.59194795032261</v>
      </c>
      <c r="K12" s="26">
        <f t="shared" si="14"/>
        <v>783.56011418732487</v>
      </c>
      <c r="L12" s="24">
        <f t="shared" si="14"/>
        <v>714.95284832406105</v>
      </c>
      <c r="M12" s="25">
        <f t="shared" si="14"/>
        <v>785.32678950689456</v>
      </c>
      <c r="N12" s="25">
        <f t="shared" si="14"/>
        <v>844.18810436399986</v>
      </c>
      <c r="O12" s="25">
        <f t="shared" si="14"/>
        <v>783.10203132041443</v>
      </c>
      <c r="P12" s="26">
        <f t="shared" si="14"/>
        <v>760.14678967626651</v>
      </c>
      <c r="Q12" s="24">
        <f t="shared" si="14"/>
        <v>789.86012893695602</v>
      </c>
      <c r="R12" s="25">
        <f t="shared" si="14"/>
        <v>791.83112983061824</v>
      </c>
      <c r="S12" s="25">
        <f t="shared" si="14"/>
        <v>831.37618901593339</v>
      </c>
      <c r="T12" s="25">
        <f t="shared" si="14"/>
        <v>834.92389694091617</v>
      </c>
      <c r="U12" s="26">
        <f t="shared" si="14"/>
        <v>773.67967015234535</v>
      </c>
      <c r="V12" s="24">
        <f t="shared" si="14"/>
        <v>817.19543003485137</v>
      </c>
      <c r="W12" s="25">
        <f t="shared" si="14"/>
        <v>787.14263089012468</v>
      </c>
      <c r="X12" s="25">
        <f t="shared" si="14"/>
        <v>754.54371375900519</v>
      </c>
      <c r="Y12" s="25">
        <f t="shared" si="14"/>
        <v>753.51082883261893</v>
      </c>
      <c r="Z12" s="26">
        <f t="shared" si="14"/>
        <v>775.04034243342323</v>
      </c>
      <c r="AA12" s="24">
        <f t="shared" si="14"/>
        <v>807.14837617254841</v>
      </c>
      <c r="AB12" s="25">
        <f t="shared" si="14"/>
        <v>802.66558935518162</v>
      </c>
      <c r="AC12" s="25">
        <f t="shared" si="14"/>
        <v>835.36742153655905</v>
      </c>
      <c r="AD12" s="25">
        <f t="shared" si="14"/>
        <v>748.07586967788666</v>
      </c>
      <c r="AE12" s="26">
        <f t="shared" si="14"/>
        <v>713.3643234553391</v>
      </c>
      <c r="AF12" s="24">
        <f t="shared" si="14"/>
        <v>774.02440804093885</v>
      </c>
      <c r="AG12" s="25">
        <f t="shared" si="14"/>
        <v>802.11786990806615</v>
      </c>
      <c r="AH12" s="25">
        <f t="shared" si="14"/>
        <v>805.83481780647753</v>
      </c>
      <c r="AI12" s="25">
        <f t="shared" si="14"/>
        <v>797.67409666512526</v>
      </c>
      <c r="AJ12" s="26">
        <f t="shared" si="14"/>
        <v>813.84738013547553</v>
      </c>
      <c r="AK12" s="24">
        <f t="shared" si="14"/>
        <v>790.17046813486695</v>
      </c>
      <c r="AL12" s="25">
        <f t="shared" si="14"/>
        <v>756.28857853906788</v>
      </c>
      <c r="AM12" s="25">
        <f t="shared" si="14"/>
        <v>755.0014760565316</v>
      </c>
      <c r="AN12" s="25">
        <f t="shared" si="14"/>
        <v>750.1730702222593</v>
      </c>
      <c r="AO12" s="26">
        <f t="shared" si="14"/>
        <v>775.43095369988623</v>
      </c>
      <c r="AP12" s="24">
        <f t="shared" si="14"/>
        <v>786.31941046587326</v>
      </c>
      <c r="AQ12" s="25">
        <f t="shared" si="14"/>
        <v>752.74419011190696</v>
      </c>
      <c r="AR12" s="25">
        <f t="shared" si="14"/>
        <v>796.523878433606</v>
      </c>
      <c r="AS12" s="25">
        <f t="shared" si="14"/>
        <v>730.17187140937074</v>
      </c>
      <c r="AT12" s="25">
        <f t="shared" si="14"/>
        <v>802.64281164202828</v>
      </c>
      <c r="AU12" s="25">
        <f t="shared" si="14"/>
        <v>756.8102519953004</v>
      </c>
      <c r="AV12" s="186">
        <f t="shared" si="14"/>
        <v>725.96554143196113</v>
      </c>
      <c r="AW12" s="25">
        <f t="shared" si="14"/>
        <v>776.77298855010986</v>
      </c>
      <c r="AX12" s="25">
        <f t="shared" si="14"/>
        <v>758.88305793987809</v>
      </c>
      <c r="AY12" s="26">
        <f t="shared" si="14"/>
        <v>777.49852326670566</v>
      </c>
      <c r="AZ12" s="58">
        <f t="shared" si="14"/>
        <v>775.187427755616</v>
      </c>
      <c r="BA12" s="25">
        <f t="shared" si="14"/>
        <v>828.48465660392617</v>
      </c>
      <c r="BB12" s="25">
        <f t="shared" si="14"/>
        <v>793.80229538448646</v>
      </c>
      <c r="BC12" s="25">
        <f t="shared" si="14"/>
        <v>773.13125652726421</v>
      </c>
      <c r="BD12" s="25">
        <f t="shared" si="14"/>
        <v>809.65036762240106</v>
      </c>
      <c r="BE12" s="71">
        <f t="shared" si="14"/>
        <v>819.53757412419918</v>
      </c>
      <c r="BF12" s="71">
        <f t="shared" si="14"/>
        <v>679.69830419363052</v>
      </c>
      <c r="BG12" s="71">
        <f t="shared" si="14"/>
        <v>821.57859756628784</v>
      </c>
      <c r="BH12" s="71">
        <f t="shared" si="14"/>
        <v>766.94365292160444</v>
      </c>
      <c r="BI12" s="72">
        <f t="shared" si="14"/>
        <v>778.38525507551788</v>
      </c>
      <c r="BJ12" s="70">
        <f t="shared" si="14"/>
        <v>774.75562383419015</v>
      </c>
      <c r="BK12" s="71">
        <f t="shared" si="14"/>
        <v>763.25256815269222</v>
      </c>
      <c r="BL12" s="71">
        <f t="shared" si="14"/>
        <v>802.38808038983279</v>
      </c>
      <c r="BM12" s="71">
        <f t="shared" si="14"/>
        <v>823.21915758676653</v>
      </c>
      <c r="BN12" s="71">
        <f t="shared" si="14"/>
        <v>813.54798056485288</v>
      </c>
      <c r="BO12" s="71">
        <f t="shared" si="14"/>
        <v>797.34873224657974</v>
      </c>
      <c r="BP12" s="71">
        <f t="shared" si="14"/>
        <v>822.35523189006767</v>
      </c>
      <c r="BQ12" s="71">
        <f t="shared" si="14"/>
        <v>830.57094323962997</v>
      </c>
      <c r="BR12" s="71">
        <f t="shared" si="14"/>
        <v>768.00441937150833</v>
      </c>
      <c r="BS12" s="72">
        <f t="shared" si="14"/>
        <v>831.85792455473029</v>
      </c>
      <c r="BT12" s="70">
        <f t="shared" si="14"/>
        <v>778.00334383318511</v>
      </c>
      <c r="BU12" s="71">
        <f t="shared" si="14"/>
        <v>774.18978439553075</v>
      </c>
      <c r="BV12" s="71">
        <f t="shared" si="14"/>
        <v>810.02574461294921</v>
      </c>
      <c r="BW12" s="71">
        <f t="shared" si="14"/>
        <v>800.97365124212206</v>
      </c>
      <c r="BX12" s="71">
        <f t="shared" si="14"/>
        <v>796.30916761632534</v>
      </c>
      <c r="BY12" s="71">
        <f t="shared" si="14"/>
        <v>806.79696608296967</v>
      </c>
      <c r="BZ12" s="71">
        <f t="shared" si="14"/>
        <v>780.84921970957294</v>
      </c>
      <c r="CA12" s="71">
        <f t="shared" si="14"/>
        <v>784.19570053536631</v>
      </c>
      <c r="CB12" s="71">
        <f t="shared" si="14"/>
        <v>802.53879415860638</v>
      </c>
      <c r="CC12" s="72">
        <f t="shared" si="14"/>
        <v>806.89086712255744</v>
      </c>
      <c r="CD12" s="56">
        <f t="shared" si="14"/>
        <v>756.65461248007989</v>
      </c>
      <c r="CE12" s="56">
        <f t="shared" si="14"/>
        <v>783.24552186320761</v>
      </c>
      <c r="CF12" s="56">
        <f t="shared" si="14"/>
        <v>793.91779324520485</v>
      </c>
      <c r="CG12" s="56">
        <f t="shared" si="14"/>
        <v>792.51948672442222</v>
      </c>
      <c r="CH12" s="56">
        <f t="shared" si="14"/>
        <v>806.74180722844073</v>
      </c>
      <c r="CI12" s="56">
        <f t="shared" si="14"/>
        <v>832.78393215223741</v>
      </c>
      <c r="CJ12" s="56">
        <f t="shared" si="14"/>
        <v>779.25672761966541</v>
      </c>
      <c r="CK12" s="56">
        <f t="shared" si="14"/>
        <v>786.90173244759876</v>
      </c>
      <c r="CL12" s="56">
        <f t="shared" si="14"/>
        <v>777.91841588983391</v>
      </c>
      <c r="CM12" s="56">
        <f t="shared" si="14"/>
        <v>743.33536087661696</v>
      </c>
      <c r="CN12" s="88">
        <f t="shared" si="14"/>
        <v>810.73235989259501</v>
      </c>
      <c r="CO12" s="89">
        <f t="shared" si="14"/>
        <v>835.74151175522047</v>
      </c>
      <c r="CP12" s="89">
        <f t="shared" si="14"/>
        <v>818.51871274198902</v>
      </c>
      <c r="CQ12" s="89">
        <f t="shared" si="14"/>
        <v>822.0363200887607</v>
      </c>
      <c r="CR12" s="89">
        <f t="shared" si="14"/>
        <v>822.3212353465068</v>
      </c>
      <c r="CS12" s="89">
        <f t="shared" si="14"/>
        <v>818.53780557409164</v>
      </c>
      <c r="CT12" s="89">
        <f t="shared" si="14"/>
        <v>813.60453280687466</v>
      </c>
      <c r="CU12" s="89">
        <f t="shared" si="14"/>
        <v>813.65906025774848</v>
      </c>
      <c r="CV12" s="89">
        <f t="shared" si="14"/>
        <v>812.76450848256331</v>
      </c>
      <c r="CW12" s="90">
        <f t="shared" si="14"/>
        <v>760.86134985224339</v>
      </c>
      <c r="CX12" s="88">
        <f t="shared" si="14"/>
        <v>784.64969079621324</v>
      </c>
      <c r="CY12" s="89">
        <f t="shared" si="14"/>
        <v>783.29585149622267</v>
      </c>
      <c r="CZ12" s="89">
        <f t="shared" si="14"/>
        <v>790.83755713376263</v>
      </c>
      <c r="DA12" s="89">
        <f t="shared" si="14"/>
        <v>807.22037656858674</v>
      </c>
      <c r="DB12" s="89">
        <f t="shared" si="14"/>
        <v>828.52955168251447</v>
      </c>
      <c r="DC12" s="89">
        <f t="shared" si="14"/>
        <v>770.88107436324185</v>
      </c>
      <c r="DD12" s="89">
        <f t="shared" si="14"/>
        <v>836.22356403900085</v>
      </c>
      <c r="DE12" s="89">
        <f t="shared" si="14"/>
        <v>783.37649912801976</v>
      </c>
      <c r="DF12" s="89">
        <f t="shared" si="14"/>
        <v>770.49189736814571</v>
      </c>
      <c r="DG12" s="90">
        <f t="shared" si="14"/>
        <v>770.38690609670721</v>
      </c>
      <c r="DH12" s="88">
        <f t="shared" si="14"/>
        <v>779.69095458017523</v>
      </c>
      <c r="DI12" s="89">
        <f t="shared" si="14"/>
        <v>824.30865913746175</v>
      </c>
      <c r="DJ12" s="89">
        <f t="shared" si="14"/>
        <v>803.42888745683967</v>
      </c>
      <c r="DK12" s="89">
        <f t="shared" si="14"/>
        <v>815.94761265452735</v>
      </c>
      <c r="DL12" s="89">
        <f t="shared" si="14"/>
        <v>787.23896451895894</v>
      </c>
      <c r="DM12" s="89">
        <f t="shared" si="14"/>
        <v>834.23690922133721</v>
      </c>
      <c r="DN12" s="89">
        <f t="shared" si="14"/>
        <v>817.43978807553287</v>
      </c>
      <c r="DO12" s="89">
        <f t="shared" si="14"/>
        <v>814.3499613524483</v>
      </c>
      <c r="DP12" s="89">
        <f t="shared" si="14"/>
        <v>762.05522481364085</v>
      </c>
      <c r="DQ12" s="89">
        <f t="shared" si="14"/>
        <v>766.59319832750737</v>
      </c>
    </row>
    <row r="13" spans="1:121" ht="18.75">
      <c r="B13" s="9" t="s">
        <v>19</v>
      </c>
      <c r="G13" s="61" t="s">
        <v>38</v>
      </c>
      <c r="L13" s="61" t="s">
        <v>54</v>
      </c>
      <c r="Q13" s="61" t="s">
        <v>72</v>
      </c>
      <c r="V13" s="61" t="s">
        <v>92</v>
      </c>
      <c r="AA13" s="61" t="s">
        <v>112</v>
      </c>
      <c r="AF13" s="61" t="s">
        <v>139</v>
      </c>
      <c r="AK13" s="61" t="s">
        <v>161</v>
      </c>
      <c r="AP13" s="73" t="s">
        <v>178</v>
      </c>
      <c r="AZ13" s="73" t="s">
        <v>221</v>
      </c>
      <c r="BJ13" s="73" t="s">
        <v>251</v>
      </c>
      <c r="BT13" s="73" t="s">
        <v>274</v>
      </c>
      <c r="CD13" s="73" t="s">
        <v>284</v>
      </c>
      <c r="CN13" s="91" t="s">
        <v>304</v>
      </c>
      <c r="CX13" s="91" t="s">
        <v>274</v>
      </c>
      <c r="DH13" s="91" t="s">
        <v>346</v>
      </c>
    </row>
    <row r="15" spans="1:121">
      <c r="DH15" s="8" t="s">
        <v>386</v>
      </c>
    </row>
    <row r="16" spans="1:121">
      <c r="DH16" s="8" t="s">
        <v>387</v>
      </c>
      <c r="DN16" s="8"/>
      <c r="DO16" s="8"/>
      <c r="DP16" s="8"/>
      <c r="DQ16" s="8"/>
    </row>
    <row r="17" spans="2:112">
      <c r="DH17" s="8" t="s">
        <v>388</v>
      </c>
    </row>
    <row r="18" spans="2:112">
      <c r="DH18" s="8" t="s">
        <v>389</v>
      </c>
    </row>
    <row r="19" spans="2:112">
      <c r="B19" s="8" t="s">
        <v>390</v>
      </c>
    </row>
    <row r="21" spans="2:112" ht="15.75" customHeight="1"/>
    <row r="22" spans="2:112" ht="15.75" customHeight="1"/>
    <row r="23" spans="2:112" ht="15.75" customHeight="1"/>
    <row r="24" spans="2:112" ht="15.75" customHeight="1"/>
    <row r="25" spans="2:112" ht="15.75" customHeight="1"/>
    <row r="26" spans="2:112" ht="15.75" customHeight="1"/>
    <row r="27" spans="2:112" ht="15.75" customHeight="1"/>
    <row r="28" spans="2:112" ht="15.75" customHeight="1"/>
    <row r="29" spans="2:112" ht="15.75" customHeight="1"/>
    <row r="30" spans="2:112" ht="15.75" customHeight="1"/>
    <row r="31" spans="2:112" ht="15.75" customHeight="1"/>
    <row r="32" spans="2: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00"/>
  <sheetViews>
    <sheetView workbookViewId="0">
      <pane xSplit="1" topLeftCell="AS1" activePane="topRight" state="frozen"/>
      <selection pane="topRight" activeCell="BA30" sqref="BA30"/>
    </sheetView>
  </sheetViews>
  <sheetFormatPr defaultColWidth="14.42578125" defaultRowHeight="15" customHeight="1"/>
  <cols>
    <col min="1" max="2" width="8.85546875" customWidth="1"/>
    <col min="3" max="3" width="8.28515625" customWidth="1"/>
    <col min="4" max="129" width="8.85546875" customWidth="1"/>
  </cols>
  <sheetData>
    <row r="1" spans="1:129" ht="15.75">
      <c r="A1" s="62" t="s">
        <v>376</v>
      </c>
      <c r="B1" s="92" t="str">
        <f>Main!$B2</f>
        <v>LV2143</v>
      </c>
      <c r="C1" s="93" t="str">
        <f t="shared" ref="C1:AO1" ca="1" si="0">INDIRECT("Main!B" &amp; (COLUMN()-2)*3+2)</f>
        <v>LV2177</v>
      </c>
      <c r="D1" s="93" t="str">
        <f t="shared" ca="1" si="0"/>
        <v>LV1762</v>
      </c>
      <c r="E1" s="93" t="str">
        <f t="shared" ca="1" si="0"/>
        <v>LV2085</v>
      </c>
      <c r="F1" s="94" t="str">
        <f t="shared" ca="1" si="0"/>
        <v>LV2138</v>
      </c>
      <c r="G1" s="95" t="str">
        <f t="shared" ca="1" si="0"/>
        <v>LV2125</v>
      </c>
      <c r="H1" s="96" t="str">
        <f t="shared" ca="1" si="0"/>
        <v>LV2148</v>
      </c>
      <c r="I1" s="96" t="str">
        <f t="shared" ca="1" si="0"/>
        <v>LV2060</v>
      </c>
      <c r="J1" s="96" t="str">
        <f t="shared" ca="1" si="0"/>
        <v>LV2029</v>
      </c>
      <c r="K1" s="97" t="str">
        <f t="shared" ca="1" si="0"/>
        <v>LV2050</v>
      </c>
      <c r="L1" s="98" t="str">
        <f t="shared" ca="1" si="0"/>
        <v>LV2119</v>
      </c>
      <c r="M1" s="96" t="str">
        <f t="shared" ca="1" si="0"/>
        <v>LV2086</v>
      </c>
      <c r="N1" s="96" t="str">
        <f t="shared" ca="1" si="0"/>
        <v>LV2193</v>
      </c>
      <c r="O1" s="96" t="str">
        <f t="shared" ca="1" si="0"/>
        <v>LV2182</v>
      </c>
      <c r="P1" s="97" t="str">
        <f t="shared" ca="1" si="0"/>
        <v>LV2134</v>
      </c>
      <c r="Q1" s="67" t="str">
        <f t="shared" ca="1" si="0"/>
        <v>LV2201</v>
      </c>
      <c r="R1" s="64" t="str">
        <f t="shared" ca="1" si="0"/>
        <v>LV2032</v>
      </c>
      <c r="S1" s="64" t="str">
        <f t="shared" ca="1" si="0"/>
        <v>LV2070</v>
      </c>
      <c r="T1" s="64" t="str">
        <f t="shared" ca="1" si="0"/>
        <v>LV1788</v>
      </c>
      <c r="U1" s="65" t="str">
        <f t="shared" ca="1" si="0"/>
        <v>LV2121</v>
      </c>
      <c r="V1" s="63" t="str">
        <f t="shared" ca="1" si="0"/>
        <v>LV2122</v>
      </c>
      <c r="W1" s="64" t="str">
        <f t="shared" ca="1" si="0"/>
        <v>LV2090</v>
      </c>
      <c r="X1" s="64" t="str">
        <f t="shared" ca="1" si="0"/>
        <v>LV2062</v>
      </c>
      <c r="Y1" s="64" t="str">
        <f t="shared" ca="1" si="0"/>
        <v>LV2063</v>
      </c>
      <c r="Z1" s="66" t="str">
        <f t="shared" ca="1" si="0"/>
        <v>LV2126</v>
      </c>
      <c r="AA1" s="67" t="str">
        <f t="shared" ca="1" si="0"/>
        <v>LV2136</v>
      </c>
      <c r="AB1" s="64" t="str">
        <f t="shared" ca="1" si="0"/>
        <v>LV2176</v>
      </c>
      <c r="AC1" s="64" t="str">
        <f t="shared" ca="1" si="0"/>
        <v>LV2079</v>
      </c>
      <c r="AD1" s="64" t="str">
        <f t="shared" ca="1" si="0"/>
        <v>LV2083</v>
      </c>
      <c r="AE1" s="64" t="str">
        <f t="shared" ca="1" si="0"/>
        <v>LV2200</v>
      </c>
      <c r="AF1" s="64" t="str">
        <f t="shared" ca="1" si="0"/>
        <v>LV2146</v>
      </c>
      <c r="AG1" s="64" t="str">
        <f t="shared" ca="1" si="0"/>
        <v>LV2155</v>
      </c>
      <c r="AH1" s="64" t="str">
        <f t="shared" ca="1" si="0"/>
        <v>LV2169</v>
      </c>
      <c r="AI1" s="64" t="str">
        <f t="shared" ca="1" si="0"/>
        <v>LV2084</v>
      </c>
      <c r="AJ1" s="64" t="str">
        <f t="shared" ca="1" si="0"/>
        <v>LV2199</v>
      </c>
      <c r="AK1" s="64" t="str">
        <f t="shared" ca="1" si="0"/>
        <v>LV2144</v>
      </c>
      <c r="AL1" s="64" t="str">
        <f t="shared" ca="1" si="0"/>
        <v>LV2065</v>
      </c>
      <c r="AM1" s="64" t="str">
        <f t="shared" ca="1" si="0"/>
        <v>LV2031</v>
      </c>
      <c r="AN1" s="64" t="str">
        <f t="shared" ca="1" si="0"/>
        <v>LV2167</v>
      </c>
      <c r="AO1" s="64" t="str">
        <f t="shared" ca="1" si="0"/>
        <v>LV2128</v>
      </c>
      <c r="AP1" s="64" t="str">
        <f t="shared" ref="AP1:DQ1" ca="1" si="1">INDIRECT("LongBoards!B" &amp; (COLUMN()-42)*3+2)</f>
        <v>LV2194</v>
      </c>
      <c r="AQ1" s="64" t="str">
        <f t="shared" ca="1" si="1"/>
        <v>LV2140</v>
      </c>
      <c r="AR1" s="64" t="str">
        <f t="shared" ca="1" si="1"/>
        <v>LV2075</v>
      </c>
      <c r="AS1" s="64" t="str">
        <f t="shared" ca="1" si="1"/>
        <v>LV2131</v>
      </c>
      <c r="AT1" s="64" t="str">
        <f t="shared" ca="1" si="1"/>
        <v>LV2192</v>
      </c>
      <c r="AU1" s="64" t="str">
        <f t="shared" ca="1" si="1"/>
        <v>LV2165</v>
      </c>
      <c r="AV1" s="64" t="str">
        <f t="shared" ca="1" si="1"/>
        <v>LV2087</v>
      </c>
      <c r="AW1" s="64" t="str">
        <f t="shared" ca="1" si="1"/>
        <v>LV2064</v>
      </c>
      <c r="AX1" s="64" t="str">
        <f t="shared" ca="1" si="1"/>
        <v>LV2117</v>
      </c>
      <c r="AY1" s="64" t="str">
        <f t="shared" ca="1" si="1"/>
        <v>LV2098</v>
      </c>
      <c r="AZ1" s="64" t="str">
        <f t="shared" ca="1" si="1"/>
        <v>LV2100</v>
      </c>
      <c r="BA1" s="64" t="str">
        <f t="shared" ca="1" si="1"/>
        <v>LV1785</v>
      </c>
      <c r="BB1" s="64" t="str">
        <f t="shared" ca="1" si="1"/>
        <v>LV2091</v>
      </c>
      <c r="BC1" s="64" t="str">
        <f t="shared" ca="1" si="1"/>
        <v>LV2095</v>
      </c>
      <c r="BD1" s="64" t="str">
        <f t="shared" ca="1" si="1"/>
        <v>LV2187</v>
      </c>
      <c r="BE1" s="64" t="str">
        <f t="shared" ca="1" si="1"/>
        <v>LV2190</v>
      </c>
      <c r="BF1" s="64" t="str">
        <f t="shared" ca="1" si="1"/>
        <v>LV2186</v>
      </c>
      <c r="BG1" s="64" t="str">
        <f t="shared" ca="1" si="1"/>
        <v>LV2077</v>
      </c>
      <c r="BH1" s="64" t="str">
        <f t="shared" ca="1" si="1"/>
        <v>LV1760</v>
      </c>
      <c r="BI1" s="64" t="str">
        <f t="shared" ca="1" si="1"/>
        <v>LV2123</v>
      </c>
      <c r="BJ1" s="64" t="str">
        <f t="shared" ca="1" si="1"/>
        <v>LV1780</v>
      </c>
      <c r="BK1" s="64" t="str">
        <f t="shared" ca="1" si="1"/>
        <v>LV1789</v>
      </c>
      <c r="BL1" s="64" t="str">
        <f t="shared" ca="1" si="1"/>
        <v>LV2179</v>
      </c>
      <c r="BM1" s="64" t="str">
        <f t="shared" ca="1" si="1"/>
        <v>LV2173</v>
      </c>
      <c r="BN1" s="64" t="str">
        <f t="shared" ca="1" si="1"/>
        <v>LV2166</v>
      </c>
      <c r="BO1" s="64" t="str">
        <f t="shared" ca="1" si="1"/>
        <v>LV2157</v>
      </c>
      <c r="BP1" s="64" t="str">
        <f t="shared" ca="1" si="1"/>
        <v>LV2082</v>
      </c>
      <c r="BQ1" s="64" t="str">
        <f t="shared" ca="1" si="1"/>
        <v>LV2072</v>
      </c>
      <c r="BR1" s="64" t="str">
        <f t="shared" ca="1" si="1"/>
        <v>LV2058</v>
      </c>
      <c r="BS1" s="64" t="str">
        <f t="shared" ca="1" si="1"/>
        <v>LV2161</v>
      </c>
      <c r="BT1" s="64" t="str">
        <f t="shared" ca="1" si="1"/>
        <v>LV2093</v>
      </c>
      <c r="BU1" s="64" t="str">
        <f t="shared" ca="1" si="1"/>
        <v>LV2052</v>
      </c>
      <c r="BV1" s="64" t="str">
        <f t="shared" ca="1" si="1"/>
        <v>LV2078</v>
      </c>
      <c r="BW1" s="64" t="str">
        <f t="shared" ca="1" si="1"/>
        <v>LV2174</v>
      </c>
      <c r="BX1" s="64" t="str">
        <f t="shared" ca="1" si="1"/>
        <v>LV2164</v>
      </c>
      <c r="BY1" s="64" t="str">
        <f t="shared" ca="1" si="1"/>
        <v>LV2030</v>
      </c>
      <c r="BZ1" s="64" t="str">
        <f t="shared" ca="1" si="1"/>
        <v>LV2163</v>
      </c>
      <c r="CA1" s="64" t="str">
        <f t="shared" ca="1" si="1"/>
        <v>LV2066</v>
      </c>
      <c r="CB1" s="64" t="str">
        <f t="shared" ca="1" si="1"/>
        <v>LV2067</v>
      </c>
      <c r="CC1" s="64" t="str">
        <f t="shared" ca="1" si="1"/>
        <v>LV2094</v>
      </c>
      <c r="CD1" s="64" t="str">
        <f t="shared" ca="1" si="1"/>
        <v>LV2106</v>
      </c>
      <c r="CE1" s="64" t="str">
        <f t="shared" ca="1" si="1"/>
        <v>LV2145</v>
      </c>
      <c r="CF1" s="64" t="str">
        <f t="shared" ca="1" si="1"/>
        <v>LV2069</v>
      </c>
      <c r="CG1" s="64" t="str">
        <f t="shared" ca="1" si="1"/>
        <v>LV2171</v>
      </c>
      <c r="CH1" s="64" t="str">
        <f t="shared" ca="1" si="1"/>
        <v>LV2147</v>
      </c>
      <c r="CI1" s="64" t="str">
        <f t="shared" ca="1" si="1"/>
        <v>LV2159</v>
      </c>
      <c r="CJ1" s="64" t="str">
        <f t="shared" ca="1" si="1"/>
        <v>LV2162</v>
      </c>
      <c r="CK1" s="64" t="str">
        <f t="shared" ca="1" si="1"/>
        <v>LV2054</v>
      </c>
      <c r="CL1" s="64" t="str">
        <f t="shared" ca="1" si="1"/>
        <v>LV2047</v>
      </c>
      <c r="CM1" s="64" t="str">
        <f t="shared" ca="1" si="1"/>
        <v>LV2139</v>
      </c>
      <c r="CN1" s="64" t="str">
        <f t="shared" ca="1" si="1"/>
        <v>LV2120</v>
      </c>
      <c r="CO1" s="64" t="str">
        <f t="shared" ca="1" si="1"/>
        <v>LV2071</v>
      </c>
      <c r="CP1" s="64" t="str">
        <f t="shared" ca="1" si="1"/>
        <v>LV2175</v>
      </c>
      <c r="CQ1" s="64" t="str">
        <f t="shared" ca="1" si="1"/>
        <v>LV2034</v>
      </c>
      <c r="CR1" s="64" t="str">
        <f t="shared" ca="1" si="1"/>
        <v>LV2081</v>
      </c>
      <c r="CS1" s="64" t="str">
        <f t="shared" ca="1" si="1"/>
        <v>LV2152</v>
      </c>
      <c r="CT1" s="64" t="str">
        <f t="shared" ca="1" si="1"/>
        <v>LV2160</v>
      </c>
      <c r="CU1" s="64" t="str">
        <f t="shared" ca="1" si="1"/>
        <v>LV2089</v>
      </c>
      <c r="CV1" s="64" t="str">
        <f t="shared" ca="1" si="1"/>
        <v>LV2178</v>
      </c>
      <c r="CW1" s="64" t="str">
        <f t="shared" ca="1" si="1"/>
        <v>LV2096</v>
      </c>
      <c r="CX1" s="64" t="str">
        <f t="shared" ca="1" si="1"/>
        <v>LV2130</v>
      </c>
      <c r="CY1" s="64" t="str">
        <f t="shared" ca="1" si="1"/>
        <v>LV2076</v>
      </c>
      <c r="CZ1" s="64" t="str">
        <f t="shared" ca="1" si="1"/>
        <v>LV2172</v>
      </c>
      <c r="DA1" s="64" t="str">
        <f t="shared" ca="1" si="1"/>
        <v>LV2168</v>
      </c>
      <c r="DB1" s="64" t="str">
        <f t="shared" ca="1" si="1"/>
        <v>LV2185</v>
      </c>
      <c r="DC1" s="64" t="str">
        <f t="shared" ca="1" si="1"/>
        <v>LV2158</v>
      </c>
      <c r="DD1" s="64" t="str">
        <f t="shared" ca="1" si="1"/>
        <v>LV2088</v>
      </c>
      <c r="DE1" s="64" t="str">
        <f t="shared" ca="1" si="1"/>
        <v>LV2181</v>
      </c>
      <c r="DF1" s="64" t="str">
        <f t="shared" ca="1" si="1"/>
        <v>LV2118</v>
      </c>
      <c r="DG1" s="64" t="str">
        <f t="shared" ca="1" si="1"/>
        <v>LV2195</v>
      </c>
      <c r="DH1" s="64" t="str">
        <f t="shared" ca="1" si="1"/>
        <v>LV2124</v>
      </c>
      <c r="DI1" s="64" t="str">
        <f t="shared" ca="1" si="1"/>
        <v>LV2074</v>
      </c>
      <c r="DJ1" s="64" t="str">
        <f t="shared" ca="1" si="1"/>
        <v>LV2092</v>
      </c>
      <c r="DK1" s="64" t="str">
        <f t="shared" ca="1" si="1"/>
        <v>LV2073</v>
      </c>
      <c r="DL1" s="64" t="str">
        <f t="shared" ca="1" si="1"/>
        <v>LV2191</v>
      </c>
      <c r="DM1" s="64" t="str">
        <f t="shared" ca="1" si="1"/>
        <v>LV2188</v>
      </c>
      <c r="DN1" s="64" t="str">
        <f t="shared" ca="1" si="1"/>
        <v>LV2184</v>
      </c>
      <c r="DO1" s="64" t="str">
        <f t="shared" ca="1" si="1"/>
        <v>LV2137</v>
      </c>
      <c r="DP1" s="64" t="str">
        <f t="shared" ca="1" si="1"/>
        <v>LV2057</v>
      </c>
      <c r="DQ1" s="64" t="str">
        <f t="shared" ca="1" si="1"/>
        <v>LV2127</v>
      </c>
      <c r="DR1" s="64"/>
      <c r="DS1" s="64"/>
      <c r="DT1" s="64"/>
    </row>
    <row r="2" spans="1:129" ht="15.75">
      <c r="A2" s="68">
        <v>700</v>
      </c>
      <c r="B2" s="16">
        <f t="shared" ref="B2:AO2" ca="1" si="2">INDIRECT("Main!F" &amp; (COLUMN()-2)*3+2)</f>
        <v>1327</v>
      </c>
      <c r="C2" s="8">
        <f ca="1">INDIRECT("Main!F" &amp; (COLUMN()-2)*3+2)</f>
        <v>1929</v>
      </c>
      <c r="D2" s="8">
        <f t="shared" ca="1" si="2"/>
        <v>1299</v>
      </c>
      <c r="E2" s="8">
        <f t="shared" ca="1" si="2"/>
        <v>1058</v>
      </c>
      <c r="F2" s="17">
        <f t="shared" ca="1" si="2"/>
        <v>1553</v>
      </c>
      <c r="G2" s="16">
        <f t="shared" ca="1" si="2"/>
        <v>1300</v>
      </c>
      <c r="H2" s="8">
        <f t="shared" ca="1" si="2"/>
        <v>993</v>
      </c>
      <c r="I2" s="8">
        <f t="shared" ca="1" si="2"/>
        <v>1148</v>
      </c>
      <c r="J2" s="8">
        <f t="shared" ca="1" si="2"/>
        <v>1844</v>
      </c>
      <c r="K2" s="17">
        <f t="shared" ca="1" si="2"/>
        <v>1231</v>
      </c>
      <c r="L2" s="16">
        <f t="shared" ca="1" si="2"/>
        <v>2234</v>
      </c>
      <c r="M2" s="8">
        <f t="shared" ca="1" si="2"/>
        <v>1029</v>
      </c>
      <c r="N2" s="8" t="str">
        <f t="shared" ca="1" si="2"/>
        <v>out of range</v>
      </c>
      <c r="O2" s="8">
        <f t="shared" ca="1" si="2"/>
        <v>1179</v>
      </c>
      <c r="P2" s="17">
        <f t="shared" ca="1" si="2"/>
        <v>1396</v>
      </c>
      <c r="Q2" s="8">
        <f t="shared" ca="1" si="2"/>
        <v>1082</v>
      </c>
      <c r="R2" s="8">
        <f t="shared" ca="1" si="2"/>
        <v>1238</v>
      </c>
      <c r="S2" s="8" t="str">
        <f t="shared" ca="1" si="2"/>
        <v>Too low</v>
      </c>
      <c r="T2" s="8">
        <f t="shared" ca="1" si="2"/>
        <v>1031</v>
      </c>
      <c r="U2" s="8">
        <f t="shared" ca="1" si="2"/>
        <v>1388</v>
      </c>
      <c r="V2" s="16">
        <f t="shared" ca="1" si="2"/>
        <v>1036</v>
      </c>
      <c r="W2" s="8">
        <f t="shared" ca="1" si="2"/>
        <v>971</v>
      </c>
      <c r="X2" s="8">
        <f t="shared" ca="1" si="2"/>
        <v>1304</v>
      </c>
      <c r="Y2" s="8">
        <f ca="1">INDIRECT("Main!F" &amp; (COLUMN()-2)*3+2)</f>
        <v>1662</v>
      </c>
      <c r="Z2" s="17">
        <f t="shared" ca="1" si="2"/>
        <v>1204</v>
      </c>
      <c r="AA2" s="8">
        <f t="shared" ca="1" si="2"/>
        <v>1051</v>
      </c>
      <c r="AB2" s="8">
        <f t="shared" ca="1" si="2"/>
        <v>1092</v>
      </c>
      <c r="AC2" s="8" t="str">
        <f t="shared" ca="1" si="2"/>
        <v>out of range</v>
      </c>
      <c r="AD2" s="8">
        <f t="shared" ca="1" si="2"/>
        <v>1336</v>
      </c>
      <c r="AE2" s="8">
        <f t="shared" ca="1" si="2"/>
        <v>1848</v>
      </c>
      <c r="AF2" s="8">
        <f t="shared" ca="1" si="2"/>
        <v>1401</v>
      </c>
      <c r="AG2" s="8">
        <f t="shared" ca="1" si="2"/>
        <v>1172</v>
      </c>
      <c r="AH2" s="8">
        <f t="shared" ca="1" si="2"/>
        <v>966</v>
      </c>
      <c r="AI2" s="8">
        <f t="shared" ca="1" si="2"/>
        <v>988</v>
      </c>
      <c r="AJ2" s="8">
        <f t="shared" ca="1" si="2"/>
        <v>975</v>
      </c>
      <c r="AK2" s="8">
        <f t="shared" ca="1" si="2"/>
        <v>1036</v>
      </c>
      <c r="AL2" s="8">
        <f t="shared" ca="1" si="2"/>
        <v>1311</v>
      </c>
      <c r="AM2" s="8">
        <f t="shared" ca="1" si="2"/>
        <v>1264</v>
      </c>
      <c r="AN2" s="8">
        <f t="shared" ca="1" si="2"/>
        <v>1659</v>
      </c>
      <c r="AO2" s="8">
        <f t="shared" ca="1" si="2"/>
        <v>1148</v>
      </c>
      <c r="AP2" s="10">
        <f t="shared" ref="AP2:CL2" ca="1" si="3">INDIRECT("LongBoards!F" &amp; (COLUMN()-42)*3+2)</f>
        <v>1454</v>
      </c>
      <c r="AQ2" s="11">
        <f t="shared" ca="1" si="3"/>
        <v>1848</v>
      </c>
      <c r="AR2" s="11">
        <f t="shared" ca="1" si="3"/>
        <v>1714</v>
      </c>
      <c r="AS2" s="11">
        <f t="shared" ca="1" si="3"/>
        <v>1881</v>
      </c>
      <c r="AT2" s="11">
        <f t="shared" ca="1" si="3"/>
        <v>1431</v>
      </c>
      <c r="AU2" s="11">
        <f t="shared" ca="1" si="3"/>
        <v>1607</v>
      </c>
      <c r="AV2" s="183">
        <f ca="1">INDIRECT("LongBoards!F" &amp; (COLUMN()-42)*3+2)</f>
        <v>2215</v>
      </c>
      <c r="AW2" s="11">
        <f t="shared" ca="1" si="3"/>
        <v>1306</v>
      </c>
      <c r="AX2" s="11">
        <f t="shared" ca="1" si="3"/>
        <v>1998</v>
      </c>
      <c r="AY2" s="12">
        <f t="shared" ca="1" si="3"/>
        <v>1737</v>
      </c>
      <c r="AZ2" s="10">
        <f t="shared" ca="1" si="3"/>
        <v>1666</v>
      </c>
      <c r="BA2" s="11">
        <f t="shared" ca="1" si="3"/>
        <v>981</v>
      </c>
      <c r="BB2" s="11">
        <f t="shared" ca="1" si="3"/>
        <v>1208</v>
      </c>
      <c r="BC2" s="11">
        <f t="shared" ca="1" si="3"/>
        <v>1282</v>
      </c>
      <c r="BD2" s="11">
        <f t="shared" ca="1" si="3"/>
        <v>1202</v>
      </c>
      <c r="BE2" s="11">
        <f t="shared" ca="1" si="3"/>
        <v>1321</v>
      </c>
      <c r="BF2" s="11">
        <f t="shared" ca="1" si="3"/>
        <v>0</v>
      </c>
      <c r="BG2" s="11">
        <f t="shared" ca="1" si="3"/>
        <v>1293</v>
      </c>
      <c r="BH2" s="11">
        <f t="shared" ca="1" si="3"/>
        <v>1771</v>
      </c>
      <c r="BI2" s="12">
        <f t="shared" ca="1" si="3"/>
        <v>1709</v>
      </c>
      <c r="BJ2" s="10">
        <f t="shared" ca="1" si="3"/>
        <v>1518</v>
      </c>
      <c r="BK2" s="11">
        <f t="shared" ca="1" si="3"/>
        <v>1441</v>
      </c>
      <c r="BL2" s="11">
        <f t="shared" ca="1" si="3"/>
        <v>1248</v>
      </c>
      <c r="BM2" s="11">
        <f t="shared" ca="1" si="3"/>
        <v>1163</v>
      </c>
      <c r="BN2" s="11">
        <f t="shared" ca="1" si="3"/>
        <v>1238</v>
      </c>
      <c r="BO2" s="11">
        <f t="shared" ca="1" si="3"/>
        <v>1495</v>
      </c>
      <c r="BP2" s="11">
        <f t="shared" ca="1" si="3"/>
        <v>1390</v>
      </c>
      <c r="BQ2" s="11">
        <f t="shared" ca="1" si="3"/>
        <v>951</v>
      </c>
      <c r="BR2" s="11">
        <f t="shared" ca="1" si="3"/>
        <v>1307</v>
      </c>
      <c r="BS2" s="12">
        <f t="shared" ca="1" si="3"/>
        <v>1085</v>
      </c>
      <c r="BT2" s="10">
        <f t="shared" ca="1" si="3"/>
        <v>1258</v>
      </c>
      <c r="BU2" s="11">
        <f t="shared" ca="1" si="3"/>
        <v>1310</v>
      </c>
      <c r="BV2" s="11">
        <f t="shared" ca="1" si="3"/>
        <v>1118</v>
      </c>
      <c r="BW2" s="11">
        <f t="shared" ca="1" si="3"/>
        <v>1390</v>
      </c>
      <c r="BX2" s="11">
        <f t="shared" ca="1" si="3"/>
        <v>1322</v>
      </c>
      <c r="BY2" s="11">
        <f t="shared" ca="1" si="3"/>
        <v>1143</v>
      </c>
      <c r="BZ2" s="11">
        <f t="shared" ca="1" si="3"/>
        <v>1739</v>
      </c>
      <c r="CA2" s="11">
        <f t="shared" ca="1" si="3"/>
        <v>1285</v>
      </c>
      <c r="CB2" s="11">
        <f t="shared" ca="1" si="3"/>
        <v>1292</v>
      </c>
      <c r="CC2" s="12">
        <f t="shared" ca="1" si="3"/>
        <v>1496</v>
      </c>
      <c r="CD2" s="10">
        <f t="shared" ca="1" si="3"/>
        <v>1613</v>
      </c>
      <c r="CE2" s="11">
        <f t="shared" ca="1" si="3"/>
        <v>1455</v>
      </c>
      <c r="CF2" s="11">
        <f t="shared" ca="1" si="3"/>
        <v>1365</v>
      </c>
      <c r="CG2" s="11">
        <f t="shared" ca="1" si="3"/>
        <v>1516</v>
      </c>
      <c r="CH2" s="11">
        <f t="shared" ca="1" si="3"/>
        <v>1296</v>
      </c>
      <c r="CI2" s="11">
        <f t="shared" ca="1" si="3"/>
        <v>1057</v>
      </c>
      <c r="CJ2" s="11">
        <f t="shared" ca="1" si="3"/>
        <v>1631</v>
      </c>
      <c r="CK2" s="11">
        <f t="shared" ca="1" si="3"/>
        <v>1231</v>
      </c>
      <c r="CL2" s="11">
        <f t="shared" ca="1" si="3"/>
        <v>1327</v>
      </c>
      <c r="CM2" s="12">
        <v>1805</v>
      </c>
      <c r="CN2" s="10">
        <f t="shared" ref="CN2:DQ2" ca="1" si="4">INDIRECT("LongBoards!F" &amp; (COLUMN()-42)*3+2)</f>
        <v>1138</v>
      </c>
      <c r="CO2" s="11">
        <f t="shared" ca="1" si="4"/>
        <v>896</v>
      </c>
      <c r="CP2" s="11">
        <f t="shared" ca="1" si="4"/>
        <v>1055</v>
      </c>
      <c r="CQ2" s="11">
        <f t="shared" ca="1" si="4"/>
        <v>1031</v>
      </c>
      <c r="CR2" s="11">
        <f t="shared" ca="1" si="4"/>
        <v>1029</v>
      </c>
      <c r="CS2" s="11">
        <f t="shared" ca="1" si="4"/>
        <v>1086</v>
      </c>
      <c r="CT2" s="11">
        <f t="shared" ca="1" si="4"/>
        <v>1357</v>
      </c>
      <c r="CU2" s="11">
        <f t="shared" ca="1" si="4"/>
        <v>1113</v>
      </c>
      <c r="CV2" s="11">
        <f t="shared" ca="1" si="4"/>
        <v>1191</v>
      </c>
      <c r="CW2" s="12">
        <f t="shared" ca="1" si="4"/>
        <v>1802</v>
      </c>
      <c r="CX2" s="10">
        <f t="shared" ca="1" si="4"/>
        <v>1662</v>
      </c>
      <c r="CY2" s="11">
        <f t="shared" ca="1" si="4"/>
        <v>1635</v>
      </c>
      <c r="CZ2" s="11">
        <f t="shared" ca="1" si="4"/>
        <v>1440</v>
      </c>
      <c r="DA2" s="11">
        <f t="shared" ca="1" si="4"/>
        <v>1294</v>
      </c>
      <c r="DB2" s="11">
        <f t="shared" ca="1" si="4"/>
        <v>1239</v>
      </c>
      <c r="DC2" s="11">
        <f t="shared" ca="1" si="4"/>
        <v>1688</v>
      </c>
      <c r="DD2" s="11">
        <f t="shared" ca="1" si="4"/>
        <v>961</v>
      </c>
      <c r="DE2" s="11">
        <f t="shared" ca="1" si="4"/>
        <v>1550</v>
      </c>
      <c r="DF2" s="11">
        <f t="shared" ca="1" si="4"/>
        <v>1667</v>
      </c>
      <c r="DG2" s="12">
        <f t="shared" ca="1" si="4"/>
        <v>1497</v>
      </c>
      <c r="DH2" s="10">
        <f t="shared" ca="1" si="4"/>
        <v>1719</v>
      </c>
      <c r="DI2" s="11">
        <f t="shared" ca="1" si="4"/>
        <v>1058</v>
      </c>
      <c r="DJ2" s="11">
        <f t="shared" ca="1" si="4"/>
        <v>1207</v>
      </c>
      <c r="DK2" s="11">
        <f t="shared" ca="1" si="4"/>
        <v>1488</v>
      </c>
      <c r="DL2" s="11">
        <f t="shared" ca="1" si="4"/>
        <v>1452</v>
      </c>
      <c r="DM2" s="11" t="str">
        <f t="shared" ca="1" si="4"/>
        <v>out of range</v>
      </c>
      <c r="DN2" s="11">
        <f t="shared" ca="1" si="4"/>
        <v>1229</v>
      </c>
      <c r="DO2" s="11">
        <f t="shared" ca="1" si="4"/>
        <v>1172</v>
      </c>
      <c r="DP2" s="11">
        <f t="shared" ca="1" si="4"/>
        <v>1735</v>
      </c>
      <c r="DQ2" s="12">
        <f t="shared" ca="1" si="4"/>
        <v>1662</v>
      </c>
    </row>
    <row r="3" spans="1:129" ht="15.75">
      <c r="A3" s="68">
        <v>750</v>
      </c>
      <c r="B3" s="16">
        <f t="shared" ref="B3:AO3" ca="1" si="5">INDIRECT("Main!G" &amp; (COLUMN()-2)*3+2)</f>
        <v>1987</v>
      </c>
      <c r="C3" s="8">
        <f t="shared" ca="1" si="5"/>
        <v>2784</v>
      </c>
      <c r="D3" s="8">
        <f t="shared" ca="1" si="5"/>
        <v>1944</v>
      </c>
      <c r="E3" s="8">
        <f t="shared" ca="1" si="5"/>
        <v>1666</v>
      </c>
      <c r="F3" s="17">
        <f t="shared" ca="1" si="5"/>
        <v>2298</v>
      </c>
      <c r="G3" s="16">
        <f t="shared" ca="1" si="5"/>
        <v>1963</v>
      </c>
      <c r="H3" s="8">
        <f t="shared" ca="1" si="5"/>
        <v>1422</v>
      </c>
      <c r="I3" s="8">
        <f t="shared" ca="1" si="5"/>
        <v>1763</v>
      </c>
      <c r="J3" s="8">
        <f t="shared" ca="1" si="5"/>
        <v>2721</v>
      </c>
      <c r="K3" s="17">
        <f t="shared" ca="1" si="5"/>
        <v>1858</v>
      </c>
      <c r="L3" s="16">
        <f t="shared" ca="1" si="5"/>
        <v>3179</v>
      </c>
      <c r="M3" s="8">
        <f t="shared" ca="1" si="5"/>
        <v>1598</v>
      </c>
      <c r="N3" s="8">
        <f t="shared" ca="1" si="5"/>
        <v>1112</v>
      </c>
      <c r="O3" s="8">
        <f t="shared" ca="1" si="5"/>
        <v>1785</v>
      </c>
      <c r="P3" s="17">
        <f t="shared" ca="1" si="5"/>
        <v>1894</v>
      </c>
      <c r="Q3" s="8">
        <f t="shared" ca="1" si="5"/>
        <v>1711</v>
      </c>
      <c r="R3" s="8">
        <f t="shared" ca="1" si="5"/>
        <v>1819</v>
      </c>
      <c r="S3" s="8">
        <f t="shared" ca="1" si="5"/>
        <v>1335</v>
      </c>
      <c r="T3" s="8">
        <f t="shared" ca="1" si="5"/>
        <v>1546</v>
      </c>
      <c r="U3" s="8">
        <f t="shared" ca="1" si="5"/>
        <v>1930</v>
      </c>
      <c r="V3" s="16">
        <f t="shared" ca="1" si="5"/>
        <v>1586</v>
      </c>
      <c r="W3" s="8">
        <f t="shared" ca="1" si="5"/>
        <v>1535</v>
      </c>
      <c r="X3" s="8">
        <f t="shared" ca="1" si="5"/>
        <v>1989</v>
      </c>
      <c r="Y3" s="8">
        <f t="shared" ca="1" si="5"/>
        <v>2435</v>
      </c>
      <c r="Z3" s="17">
        <f t="shared" ca="1" si="5"/>
        <v>1857</v>
      </c>
      <c r="AA3" s="8">
        <f t="shared" ca="1" si="5"/>
        <v>1583</v>
      </c>
      <c r="AB3" s="8">
        <f t="shared" ca="1" si="5"/>
        <v>1673</v>
      </c>
      <c r="AC3" s="8" t="str">
        <f t="shared" ca="1" si="5"/>
        <v>out of range</v>
      </c>
      <c r="AD3" s="8">
        <f t="shared" ca="1" si="5"/>
        <v>2044</v>
      </c>
      <c r="AE3" s="8">
        <f t="shared" ca="1" si="5"/>
        <v>2748</v>
      </c>
      <c r="AF3" s="8">
        <f t="shared" ca="1" si="5"/>
        <v>2078</v>
      </c>
      <c r="AG3" s="8">
        <f t="shared" ca="1" si="5"/>
        <v>1727</v>
      </c>
      <c r="AH3" s="8">
        <f t="shared" ca="1" si="5"/>
        <v>1445</v>
      </c>
      <c r="AI3" s="8">
        <f t="shared" ca="1" si="5"/>
        <v>1518</v>
      </c>
      <c r="AJ3" s="8">
        <f t="shared" ca="1" si="5"/>
        <v>1455</v>
      </c>
      <c r="AK3" s="8">
        <f t="shared" ca="1" si="5"/>
        <v>1632</v>
      </c>
      <c r="AL3" s="8">
        <f t="shared" ca="1" si="5"/>
        <v>1983</v>
      </c>
      <c r="AM3" s="8">
        <f t="shared" ca="1" si="5"/>
        <v>1926</v>
      </c>
      <c r="AN3" s="8">
        <f t="shared" ca="1" si="5"/>
        <v>2341</v>
      </c>
      <c r="AO3" s="8">
        <f t="shared" ca="1" si="5"/>
        <v>1782</v>
      </c>
      <c r="AP3" s="16">
        <f t="shared" ref="AP3:DH3" ca="1" si="6">INDIRECT("LongBoards!G" &amp; (COLUMN()-42)*3+2)</f>
        <v>2176</v>
      </c>
      <c r="AQ3" s="52">
        <f t="shared" ca="1" si="6"/>
        <v>2574</v>
      </c>
      <c r="AR3" s="52">
        <f t="shared" ca="1" si="6"/>
        <v>2446</v>
      </c>
      <c r="AS3" s="52">
        <f t="shared" ca="1" si="6"/>
        <v>2752</v>
      </c>
      <c r="AT3" s="52">
        <f t="shared" ca="1" si="6"/>
        <v>2066</v>
      </c>
      <c r="AU3" s="52">
        <f t="shared" ca="1" si="6"/>
        <v>2380</v>
      </c>
      <c r="AV3" s="184">
        <f t="shared" ca="1" si="6"/>
        <v>2706</v>
      </c>
      <c r="AW3" s="52">
        <f t="shared" ca="1" si="6"/>
        <v>1975</v>
      </c>
      <c r="AX3" s="52">
        <f t="shared" ca="1" si="6"/>
        <v>2843</v>
      </c>
      <c r="AY3" s="17">
        <f t="shared" ca="1" si="6"/>
        <v>2476</v>
      </c>
      <c r="AZ3" s="16">
        <f t="shared" ca="1" si="6"/>
        <v>2471</v>
      </c>
      <c r="BA3" s="52">
        <f t="shared" ca="1" si="6"/>
        <v>1466</v>
      </c>
      <c r="BB3" s="52">
        <f t="shared" ca="1" si="6"/>
        <v>1857</v>
      </c>
      <c r="BC3" s="52">
        <f t="shared" ca="1" si="6"/>
        <v>1966</v>
      </c>
      <c r="BD3" s="52">
        <f t="shared" ca="1" si="6"/>
        <v>1813</v>
      </c>
      <c r="BE3" s="52">
        <f t="shared" ca="1" si="6"/>
        <v>1939</v>
      </c>
      <c r="BF3" s="52">
        <f ca="1">INDIRECT("LongBoards!G" &amp; (COLUMN()-42)*3+2)</f>
        <v>1457</v>
      </c>
      <c r="BG3" s="52">
        <f t="shared" ca="1" si="6"/>
        <v>1941</v>
      </c>
      <c r="BH3" s="52">
        <f t="shared" ca="1" si="6"/>
        <v>2569</v>
      </c>
      <c r="BI3" s="17">
        <f t="shared" ca="1" si="6"/>
        <v>2485</v>
      </c>
      <c r="BJ3" s="16">
        <f t="shared" ca="1" si="6"/>
        <v>2226</v>
      </c>
      <c r="BK3" s="52">
        <f t="shared" ca="1" si="6"/>
        <v>2191</v>
      </c>
      <c r="BL3" s="52">
        <f t="shared" ca="1" si="6"/>
        <v>1887</v>
      </c>
      <c r="BM3" s="52">
        <f t="shared" ca="1" si="6"/>
        <v>1746</v>
      </c>
      <c r="BN3" s="52">
        <f t="shared" ca="1" si="6"/>
        <v>1857</v>
      </c>
      <c r="BO3" s="52">
        <f t="shared" ca="1" si="6"/>
        <v>2153</v>
      </c>
      <c r="BP3" s="52">
        <f t="shared" ca="1" si="6"/>
        <v>2028</v>
      </c>
      <c r="BQ3" s="52">
        <f t="shared" ca="1" si="6"/>
        <v>1502</v>
      </c>
      <c r="BR3" s="52">
        <f t="shared" ca="1" si="6"/>
        <v>2002</v>
      </c>
      <c r="BS3" s="17">
        <f t="shared" ca="1" si="6"/>
        <v>1681</v>
      </c>
      <c r="BT3" s="16">
        <f t="shared" ca="1" si="6"/>
        <v>1953</v>
      </c>
      <c r="BU3" s="52">
        <f t="shared" ca="1" si="6"/>
        <v>1988</v>
      </c>
      <c r="BV3" s="52">
        <f t="shared" ca="1" si="6"/>
        <v>1749</v>
      </c>
      <c r="BW3" s="52">
        <f t="shared" ca="1" si="6"/>
        <v>1927</v>
      </c>
      <c r="BX3" s="52">
        <f t="shared" ca="1" si="6"/>
        <v>1984</v>
      </c>
      <c r="BY3" s="52">
        <f t="shared" ca="1" si="6"/>
        <v>1727</v>
      </c>
      <c r="BZ3" s="52">
        <f t="shared" ca="1" si="6"/>
        <v>2515</v>
      </c>
      <c r="CA3" s="52">
        <f t="shared" ca="1" si="6"/>
        <v>1970</v>
      </c>
      <c r="CB3" s="52">
        <f t="shared" ca="1" si="6"/>
        <v>1989</v>
      </c>
      <c r="CC3" s="17">
        <f t="shared" ca="1" si="6"/>
        <v>2140</v>
      </c>
      <c r="CD3" s="16">
        <f t="shared" ca="1" si="6"/>
        <v>2436</v>
      </c>
      <c r="CE3" s="52">
        <f t="shared" ca="1" si="6"/>
        <v>2156</v>
      </c>
      <c r="CF3" s="52">
        <f t="shared" ca="1" si="6"/>
        <v>2070</v>
      </c>
      <c r="CG3" s="52">
        <f t="shared" ca="1" si="6"/>
        <v>2196</v>
      </c>
      <c r="CH3" s="52">
        <f t="shared" ca="1" si="6"/>
        <v>1922</v>
      </c>
      <c r="CI3" s="52">
        <f t="shared" ca="1" si="6"/>
        <v>1556</v>
      </c>
      <c r="CJ3" s="52">
        <f t="shared" ca="1" si="6"/>
        <v>2378</v>
      </c>
      <c r="CK3" s="52">
        <f t="shared" ca="1" si="6"/>
        <v>1895</v>
      </c>
      <c r="CL3" s="52">
        <f t="shared" ca="1" si="6"/>
        <v>2006</v>
      </c>
      <c r="CM3" s="17">
        <f t="shared" ca="1" si="6"/>
        <v>2676</v>
      </c>
      <c r="CN3" s="16">
        <f t="shared" ca="1" si="6"/>
        <v>1753</v>
      </c>
      <c r="CO3" s="52">
        <f t="shared" ca="1" si="6"/>
        <v>1268</v>
      </c>
      <c r="CP3" s="52">
        <f t="shared" ca="1" si="6"/>
        <v>1634</v>
      </c>
      <c r="CQ3" s="52">
        <f t="shared" ca="1" si="6"/>
        <v>1532</v>
      </c>
      <c r="CR3" s="52">
        <f t="shared" ca="1" si="6"/>
        <v>1581</v>
      </c>
      <c r="CS3" s="52">
        <f t="shared" ca="1" si="6"/>
        <v>1595</v>
      </c>
      <c r="CT3" s="52">
        <f t="shared" ca="1" si="6"/>
        <v>1888</v>
      </c>
      <c r="CU3" s="52">
        <f t="shared" ca="1" si="6"/>
        <v>1723</v>
      </c>
      <c r="CV3" s="52">
        <f t="shared" ca="1" si="6"/>
        <v>1807</v>
      </c>
      <c r="CW3" s="17">
        <f t="shared" ca="1" si="6"/>
        <v>2683</v>
      </c>
      <c r="CX3" s="16">
        <f t="shared" ca="1" si="6"/>
        <v>2324</v>
      </c>
      <c r="CY3" s="52">
        <f t="shared" ca="1" si="6"/>
        <v>2337</v>
      </c>
      <c r="CZ3" s="52">
        <f t="shared" ca="1" si="6"/>
        <v>2100</v>
      </c>
      <c r="DA3" s="52">
        <f t="shared" ca="1" si="6"/>
        <v>1851</v>
      </c>
      <c r="DB3" s="52">
        <f t="shared" ca="1" si="6"/>
        <v>1749</v>
      </c>
      <c r="DC3" s="52">
        <f t="shared" ca="1" si="6"/>
        <v>2276</v>
      </c>
      <c r="DD3" s="52">
        <f t="shared" ca="1" si="6"/>
        <v>1578</v>
      </c>
      <c r="DE3" s="52">
        <f t="shared" ca="1" si="6"/>
        <v>2144</v>
      </c>
      <c r="DF3" s="52">
        <f t="shared" ca="1" si="6"/>
        <v>2275</v>
      </c>
      <c r="DG3" s="17">
        <f t="shared" ca="1" si="6"/>
        <v>2203</v>
      </c>
      <c r="DH3" s="16">
        <f t="shared" ca="1" si="6"/>
        <v>2483</v>
      </c>
      <c r="DI3" s="52">
        <v>1601</v>
      </c>
      <c r="DJ3" s="52">
        <f t="shared" ref="DJ3:DQ3" ca="1" si="7">INDIRECT("LongBoards!G" &amp; (COLUMN()-42)*3+2)</f>
        <v>1835</v>
      </c>
      <c r="DK3" s="52">
        <f t="shared" ca="1" si="7"/>
        <v>2147</v>
      </c>
      <c r="DL3" s="52">
        <f t="shared" ca="1" si="7"/>
        <v>2008</v>
      </c>
      <c r="DM3" s="52">
        <f t="shared" ca="1" si="7"/>
        <v>1496</v>
      </c>
      <c r="DN3" s="52">
        <f t="shared" ca="1" si="7"/>
        <v>1858</v>
      </c>
      <c r="DO3" s="52">
        <f t="shared" ca="1" si="7"/>
        <v>1718</v>
      </c>
      <c r="DP3" s="52">
        <f t="shared" ca="1" si="7"/>
        <v>2572</v>
      </c>
      <c r="DQ3" s="17">
        <f t="shared" ca="1" si="7"/>
        <v>2436</v>
      </c>
    </row>
    <row r="4" spans="1:129" ht="15.75">
      <c r="A4" s="68">
        <v>775</v>
      </c>
      <c r="B4" s="16">
        <f t="shared" ref="B4:AO4" ca="1" si="8">INDIRECT("Main!H" &amp; (COLUMN()-2)*3+2)</f>
        <v>2365</v>
      </c>
      <c r="C4" s="8">
        <f t="shared" ca="1" si="8"/>
        <v>3300</v>
      </c>
      <c r="D4" s="8">
        <f t="shared" ca="1" si="8"/>
        <v>2313</v>
      </c>
      <c r="E4" s="8">
        <f t="shared" ca="1" si="8"/>
        <v>2007</v>
      </c>
      <c r="F4" s="17">
        <f t="shared" ca="1" si="8"/>
        <v>2745</v>
      </c>
      <c r="G4" s="16">
        <f t="shared" ca="1" si="8"/>
        <v>2375</v>
      </c>
      <c r="H4" s="8">
        <f t="shared" ca="1" si="8"/>
        <v>1762</v>
      </c>
      <c r="I4" s="8">
        <f t="shared" ca="1" si="8"/>
        <v>2102</v>
      </c>
      <c r="J4" s="8">
        <f t="shared" ca="1" si="8"/>
        <v>3233</v>
      </c>
      <c r="K4" s="17">
        <f t="shared" ca="1" si="8"/>
        <v>2213</v>
      </c>
      <c r="L4" s="16">
        <f t="shared" ca="1" si="8"/>
        <v>3754</v>
      </c>
      <c r="M4" s="8">
        <f t="shared" ca="1" si="8"/>
        <v>1923</v>
      </c>
      <c r="N4" s="8">
        <f t="shared" ca="1" si="8"/>
        <v>1358</v>
      </c>
      <c r="O4" s="8">
        <f t="shared" ca="1" si="8"/>
        <v>2126</v>
      </c>
      <c r="P4" s="17">
        <f t="shared" ca="1" si="8"/>
        <v>2172</v>
      </c>
      <c r="Q4" s="8">
        <f t="shared" ca="1" si="8"/>
        <v>2065</v>
      </c>
      <c r="R4" s="8">
        <f t="shared" ca="1" si="8"/>
        <v>2123</v>
      </c>
      <c r="S4" s="8">
        <f t="shared" ca="1" si="8"/>
        <v>1615</v>
      </c>
      <c r="T4" s="8">
        <f t="shared" ca="1" si="8"/>
        <v>1846</v>
      </c>
      <c r="U4" s="8">
        <f t="shared" ca="1" si="8"/>
        <v>2240</v>
      </c>
      <c r="V4" s="16">
        <f t="shared" ca="1" si="8"/>
        <v>1891</v>
      </c>
      <c r="W4" s="8">
        <f t="shared" ca="1" si="8"/>
        <v>1856</v>
      </c>
      <c r="X4" s="8">
        <f t="shared" ca="1" si="8"/>
        <v>2391</v>
      </c>
      <c r="Y4" s="8">
        <f t="shared" ca="1" si="8"/>
        <v>2903</v>
      </c>
      <c r="Z4" s="17">
        <f t="shared" ca="1" si="8"/>
        <v>2223</v>
      </c>
      <c r="AA4" s="8">
        <f t="shared" ca="1" si="8"/>
        <v>1866</v>
      </c>
      <c r="AB4" s="8">
        <f t="shared" ca="1" si="8"/>
        <v>1995</v>
      </c>
      <c r="AC4" s="8">
        <f t="shared" ca="1" si="8"/>
        <v>1052</v>
      </c>
      <c r="AD4" s="8">
        <f t="shared" ca="1" si="8"/>
        <v>2451</v>
      </c>
      <c r="AE4" s="8">
        <f t="shared" ca="1" si="8"/>
        <v>3302</v>
      </c>
      <c r="AF4" s="8">
        <f t="shared" ca="1" si="8"/>
        <v>2471</v>
      </c>
      <c r="AG4" s="8">
        <f t="shared" ca="1" si="8"/>
        <v>2011</v>
      </c>
      <c r="AH4" s="8">
        <f t="shared" ca="1" si="8"/>
        <v>1762</v>
      </c>
      <c r="AI4" s="8">
        <f t="shared" ca="1" si="8"/>
        <v>1828</v>
      </c>
      <c r="AJ4" s="8">
        <f t="shared" ca="1" si="8"/>
        <v>1760</v>
      </c>
      <c r="AK4" s="8">
        <f t="shared" ca="1" si="8"/>
        <v>1959</v>
      </c>
      <c r="AL4" s="8">
        <f t="shared" ca="1" si="8"/>
        <v>2374</v>
      </c>
      <c r="AM4" s="8">
        <f t="shared" ca="1" si="8"/>
        <v>2313</v>
      </c>
      <c r="AN4" s="8">
        <f t="shared" ca="1" si="8"/>
        <v>2753</v>
      </c>
      <c r="AO4" s="8">
        <f t="shared" ca="1" si="8"/>
        <v>2141</v>
      </c>
      <c r="AP4" s="16">
        <f t="shared" ref="AP4:DQ4" ca="1" si="9">INDIRECT("LongBoards!H" &amp; (COLUMN()-42)*3+2)</f>
        <v>2613</v>
      </c>
      <c r="AQ4" s="52">
        <f t="shared" ca="1" si="9"/>
        <v>3002</v>
      </c>
      <c r="AR4" s="52">
        <f t="shared" ca="1" si="9"/>
        <v>2888</v>
      </c>
      <c r="AS4" s="52">
        <f t="shared" ca="1" si="9"/>
        <v>3280</v>
      </c>
      <c r="AT4" s="52">
        <f t="shared" ca="1" si="9"/>
        <v>2432</v>
      </c>
      <c r="AU4" s="52">
        <f t="shared" ca="1" si="9"/>
        <v>2843</v>
      </c>
      <c r="AV4" s="184">
        <f t="shared" ca="1" si="9"/>
        <v>3271</v>
      </c>
      <c r="AW4" s="52">
        <f t="shared" ca="1" si="9"/>
        <v>2363</v>
      </c>
      <c r="AX4" s="52">
        <f t="shared" ca="1" si="9"/>
        <v>3354</v>
      </c>
      <c r="AY4" s="17">
        <f t="shared" ca="1" si="9"/>
        <v>2927</v>
      </c>
      <c r="AZ4" s="16">
        <f t="shared" ca="1" si="9"/>
        <v>2962</v>
      </c>
      <c r="BA4" s="52">
        <f t="shared" ca="1" si="9"/>
        <v>1788</v>
      </c>
      <c r="BB4" s="52">
        <f t="shared" ca="1" si="9"/>
        <v>2219</v>
      </c>
      <c r="BC4" s="52">
        <f t="shared" ca="1" si="9"/>
        <v>2357</v>
      </c>
      <c r="BD4" s="52">
        <f t="shared" ca="1" si="9"/>
        <v>2152</v>
      </c>
      <c r="BE4" s="52">
        <f t="shared" ca="1" si="9"/>
        <v>2291</v>
      </c>
      <c r="BF4" s="52">
        <f t="shared" ca="1" si="9"/>
        <v>1793</v>
      </c>
      <c r="BG4" s="52">
        <f t="shared" ca="1" si="9"/>
        <v>2310</v>
      </c>
      <c r="BH4" s="52">
        <f t="shared" ca="1" si="9"/>
        <v>3060</v>
      </c>
      <c r="BI4" s="17">
        <f t="shared" ca="1" si="9"/>
        <v>2969</v>
      </c>
      <c r="BJ4" s="16">
        <f t="shared" ca="1" si="9"/>
        <v>2655</v>
      </c>
      <c r="BK4" s="52">
        <f t="shared" ca="1" si="9"/>
        <v>2636</v>
      </c>
      <c r="BL4" s="52">
        <f t="shared" ca="1" si="9"/>
        <v>2252</v>
      </c>
      <c r="BM4" s="52">
        <f t="shared" ca="1" si="9"/>
        <v>2070</v>
      </c>
      <c r="BN4" s="52">
        <f t="shared" ca="1" si="9"/>
        <v>2210</v>
      </c>
      <c r="BO4" s="52">
        <f t="shared" ca="1" si="9"/>
        <v>2552</v>
      </c>
      <c r="BP4" s="52">
        <f t="shared" ca="1" si="9"/>
        <v>2402</v>
      </c>
      <c r="BQ4" s="52">
        <f t="shared" ca="1" si="9"/>
        <v>1814</v>
      </c>
      <c r="BR4" s="52">
        <f t="shared" ca="1" si="9"/>
        <v>2410</v>
      </c>
      <c r="BS4" s="17">
        <f t="shared" ca="1" si="9"/>
        <v>2054</v>
      </c>
      <c r="BT4" s="16">
        <f t="shared" ca="1" si="9"/>
        <v>2364</v>
      </c>
      <c r="BU4" s="52">
        <f t="shared" ca="1" si="9"/>
        <v>2379</v>
      </c>
      <c r="BV4" s="52">
        <f t="shared" ca="1" si="9"/>
        <v>2092</v>
      </c>
      <c r="BW4" s="52">
        <f t="shared" ca="1" si="9"/>
        <v>2234</v>
      </c>
      <c r="BX4" s="52">
        <f t="shared" ca="1" si="9"/>
        <v>2365</v>
      </c>
      <c r="BY4" s="52">
        <f t="shared" ca="1" si="9"/>
        <v>2065</v>
      </c>
      <c r="BZ4" s="52">
        <f t="shared" ca="1" si="9"/>
        <v>2982</v>
      </c>
      <c r="CA4" s="52">
        <f t="shared" ca="1" si="9"/>
        <v>2365</v>
      </c>
      <c r="CB4" s="52">
        <f t="shared" ca="1" si="9"/>
        <v>2392</v>
      </c>
      <c r="CC4" s="17">
        <f t="shared" ca="1" si="9"/>
        <v>2525</v>
      </c>
      <c r="CD4" s="16">
        <f t="shared" ca="1" si="9"/>
        <v>2941</v>
      </c>
      <c r="CE4" s="52">
        <f t="shared" ca="1" si="9"/>
        <v>2579</v>
      </c>
      <c r="CF4" s="52">
        <f t="shared" ca="1" si="9"/>
        <v>2477</v>
      </c>
      <c r="CG4" s="52">
        <f t="shared" ca="1" si="9"/>
        <v>2599</v>
      </c>
      <c r="CH4" s="52">
        <f t="shared" ca="1" si="9"/>
        <v>2275</v>
      </c>
      <c r="CI4" s="52">
        <f t="shared" ca="1" si="9"/>
        <v>1849</v>
      </c>
      <c r="CJ4" s="52">
        <f t="shared" ca="1" si="9"/>
        <v>2875</v>
      </c>
      <c r="CK4" s="52">
        <f t="shared" ca="1" si="9"/>
        <v>2273</v>
      </c>
      <c r="CL4" s="52">
        <f t="shared" ca="1" si="9"/>
        <v>2404</v>
      </c>
      <c r="CM4" s="17">
        <f t="shared" ca="1" si="9"/>
        <v>3221</v>
      </c>
      <c r="CN4" s="16">
        <f t="shared" ca="1" si="9"/>
        <v>2103</v>
      </c>
      <c r="CO4" s="52">
        <f t="shared" ca="1" si="9"/>
        <v>1572</v>
      </c>
      <c r="CP4" s="52">
        <f t="shared" ca="1" si="9"/>
        <v>1963</v>
      </c>
      <c r="CQ4" s="52">
        <f t="shared" ca="1" si="9"/>
        <v>1843</v>
      </c>
      <c r="CR4" s="52">
        <f t="shared" ca="1" si="9"/>
        <v>1880</v>
      </c>
      <c r="CS4" s="52">
        <f t="shared" ca="1" si="9"/>
        <v>1876</v>
      </c>
      <c r="CT4" s="52">
        <f t="shared" ca="1" si="9"/>
        <v>2185</v>
      </c>
      <c r="CU4" s="52">
        <f t="shared" ca="1" si="9"/>
        <v>2062</v>
      </c>
      <c r="CV4" s="52">
        <f t="shared" ca="1" si="9"/>
        <v>2151</v>
      </c>
      <c r="CW4" s="17">
        <f t="shared" ca="1" si="9"/>
        <v>3222</v>
      </c>
      <c r="CX4" s="16">
        <f t="shared" ca="1" si="9"/>
        <v>2716</v>
      </c>
      <c r="CY4" s="52">
        <f t="shared" ca="1" si="9"/>
        <v>2818</v>
      </c>
      <c r="CZ4" s="52">
        <f t="shared" ca="1" si="9"/>
        <v>2471</v>
      </c>
      <c r="DA4" s="52">
        <f t="shared" ca="1" si="9"/>
        <v>2212</v>
      </c>
      <c r="DB4" s="52">
        <f t="shared" ca="1" si="9"/>
        <v>1985</v>
      </c>
      <c r="DC4" s="52">
        <f t="shared" ca="1" si="9"/>
        <v>2679</v>
      </c>
      <c r="DD4" s="52">
        <f t="shared" ca="1" si="9"/>
        <v>1850</v>
      </c>
      <c r="DE4" s="52">
        <f t="shared" ca="1" si="9"/>
        <v>2513</v>
      </c>
      <c r="DF4" s="52">
        <f t="shared" ca="1" si="9"/>
        <v>2684</v>
      </c>
      <c r="DG4" s="17">
        <f t="shared" ca="1" si="9"/>
        <v>2699</v>
      </c>
      <c r="DH4" s="16">
        <f t="shared" ca="1" si="9"/>
        <v>2951</v>
      </c>
      <c r="DI4" s="52">
        <f t="shared" ca="1" si="9"/>
        <v>1915</v>
      </c>
      <c r="DJ4" s="52">
        <f t="shared" ca="1" si="9"/>
        <v>2187</v>
      </c>
      <c r="DK4" s="52">
        <f t="shared" ca="1" si="9"/>
        <v>2525</v>
      </c>
      <c r="DL4" s="52">
        <f t="shared" ca="1" si="9"/>
        <v>2337</v>
      </c>
      <c r="DM4" s="52">
        <f t="shared" ca="1" si="9"/>
        <v>1761</v>
      </c>
      <c r="DN4" s="52">
        <f t="shared" ca="1" si="9"/>
        <v>2208</v>
      </c>
      <c r="DO4" s="52">
        <f t="shared" ca="1" si="9"/>
        <v>2017</v>
      </c>
      <c r="DP4" s="52">
        <f t="shared" ca="1" si="9"/>
        <v>3085</v>
      </c>
      <c r="DQ4" s="17">
        <f t="shared" ca="1" si="9"/>
        <v>2910</v>
      </c>
    </row>
    <row r="5" spans="1:129" ht="15.75">
      <c r="A5" s="68">
        <v>800</v>
      </c>
      <c r="B5" s="16">
        <f t="shared" ref="B5:AO5" ca="1" si="10">INDIRECT("Main!I" &amp; (COLUMN()-2)*3+2)</f>
        <v>2791</v>
      </c>
      <c r="C5" s="8">
        <f t="shared" ca="1" si="10"/>
        <v>3885</v>
      </c>
      <c r="D5" s="8">
        <f t="shared" ca="1" si="10"/>
        <v>2737</v>
      </c>
      <c r="E5" s="8">
        <f t="shared" ca="1" si="10"/>
        <v>2391</v>
      </c>
      <c r="F5" s="17">
        <f t="shared" ca="1" si="10"/>
        <v>3269</v>
      </c>
      <c r="G5" s="16">
        <f t="shared" ca="1" si="10"/>
        <v>2834</v>
      </c>
      <c r="H5" s="8">
        <f t="shared" ca="1" si="10"/>
        <v>2120</v>
      </c>
      <c r="I5" s="8">
        <f t="shared" ca="1" si="10"/>
        <v>2486</v>
      </c>
      <c r="J5" s="8">
        <f t="shared" ca="1" si="10"/>
        <v>3850</v>
      </c>
      <c r="K5" s="17">
        <f t="shared" ca="1" si="10"/>
        <v>2614</v>
      </c>
      <c r="L5" s="16">
        <f t="shared" ca="1" si="10"/>
        <v>4391</v>
      </c>
      <c r="M5" s="8">
        <f t="shared" ca="1" si="10"/>
        <v>2283</v>
      </c>
      <c r="N5" s="8">
        <f t="shared" ca="1" si="10"/>
        <v>1614</v>
      </c>
      <c r="O5" s="8">
        <f t="shared" ca="1" si="10"/>
        <v>2517</v>
      </c>
      <c r="P5" s="17">
        <f t="shared" ca="1" si="10"/>
        <v>2474</v>
      </c>
      <c r="Q5" s="8">
        <f t="shared" ca="1" si="10"/>
        <v>2476</v>
      </c>
      <c r="R5" s="8">
        <f t="shared" ca="1" si="10"/>
        <v>2465</v>
      </c>
      <c r="S5" s="8">
        <f t="shared" ca="1" si="10"/>
        <v>1884</v>
      </c>
      <c r="T5" s="8">
        <f t="shared" ca="1" si="10"/>
        <v>2177</v>
      </c>
      <c r="U5" s="8">
        <f t="shared" ca="1" si="10"/>
        <v>2576</v>
      </c>
      <c r="V5" s="16">
        <f t="shared" ca="1" si="10"/>
        <v>2224</v>
      </c>
      <c r="W5" s="8">
        <f t="shared" ca="1" si="10"/>
        <v>2219</v>
      </c>
      <c r="X5" s="8">
        <f t="shared" ca="1" si="10"/>
        <v>2840</v>
      </c>
      <c r="Y5" s="8">
        <f t="shared" ca="1" si="10"/>
        <v>3434</v>
      </c>
      <c r="Z5" s="17">
        <f t="shared" ca="1" si="10"/>
        <v>2639</v>
      </c>
      <c r="AA5" s="8">
        <f t="shared" ca="1" si="10"/>
        <v>2185</v>
      </c>
      <c r="AB5" s="8">
        <f t="shared" ca="1" si="10"/>
        <v>2359</v>
      </c>
      <c r="AC5" s="8">
        <f t="shared" ca="1" si="10"/>
        <v>1298</v>
      </c>
      <c r="AD5" s="8">
        <f t="shared" ca="1" si="10"/>
        <v>2922</v>
      </c>
      <c r="AE5" s="8">
        <f t="shared" ca="1" si="10"/>
        <v>3925</v>
      </c>
      <c r="AF5" s="8">
        <f t="shared" ca="1" si="10"/>
        <v>2913</v>
      </c>
      <c r="AG5" s="8">
        <f t="shared" ca="1" si="10"/>
        <v>2324</v>
      </c>
      <c r="AH5" s="8">
        <f t="shared" ca="1" si="10"/>
        <v>2100</v>
      </c>
      <c r="AI5" s="8">
        <f t="shared" ca="1" si="10"/>
        <v>2172</v>
      </c>
      <c r="AJ5" s="8">
        <f t="shared" ca="1" si="10"/>
        <v>2086</v>
      </c>
      <c r="AK5" s="8">
        <f t="shared" ca="1" si="10"/>
        <v>2338</v>
      </c>
      <c r="AL5" s="8">
        <f t="shared" ca="1" si="10"/>
        <v>2810</v>
      </c>
      <c r="AM5" s="8">
        <f t="shared" ca="1" si="10"/>
        <v>2754</v>
      </c>
      <c r="AN5" s="8">
        <f t="shared" ca="1" si="10"/>
        <v>3211</v>
      </c>
      <c r="AO5" s="8">
        <f t="shared" ca="1" si="10"/>
        <v>2551</v>
      </c>
      <c r="AP5" s="16">
        <f t="shared" ref="AP5:DQ5" ca="1" si="11">INDIRECT("LongBoards!I" &amp; (COLUMN()-42)*3+2)</f>
        <v>3103</v>
      </c>
      <c r="AQ5" s="52">
        <f t="shared" ca="1" si="11"/>
        <v>3474</v>
      </c>
      <c r="AR5" s="52">
        <f t="shared" ca="1" si="11"/>
        <v>3376</v>
      </c>
      <c r="AS5" s="52">
        <f t="shared" ca="1" si="11"/>
        <v>3875</v>
      </c>
      <c r="AT5" s="52">
        <f t="shared" ca="1" si="11"/>
        <v>2851</v>
      </c>
      <c r="AU5" s="52">
        <f t="shared" ca="1" si="11"/>
        <v>3365</v>
      </c>
      <c r="AV5" s="184">
        <f t="shared" ca="1" si="11"/>
        <v>3916</v>
      </c>
      <c r="AW5" s="52">
        <f t="shared" ca="1" si="11"/>
        <v>2805</v>
      </c>
      <c r="AX5" s="52">
        <f t="shared" ca="1" si="11"/>
        <v>3921</v>
      </c>
      <c r="AY5" s="17">
        <f t="shared" ca="1" si="11"/>
        <v>3433</v>
      </c>
      <c r="AZ5" s="16">
        <f t="shared" ca="1" si="11"/>
        <v>3506</v>
      </c>
      <c r="BA5" s="52">
        <f t="shared" ca="1" si="11"/>
        <v>2140</v>
      </c>
      <c r="BB5" s="52">
        <f t="shared" ca="1" si="11"/>
        <v>2636</v>
      </c>
      <c r="BC5" s="52">
        <f t="shared" ca="1" si="11"/>
        <v>2801</v>
      </c>
      <c r="BD5" s="52">
        <f t="shared" ca="1" si="11"/>
        <v>2539</v>
      </c>
      <c r="BE5" s="52">
        <f t="shared" ca="1" si="11"/>
        <v>2685</v>
      </c>
      <c r="BF5" s="52">
        <f t="shared" ca="1" si="11"/>
        <v>2172</v>
      </c>
      <c r="BG5" s="52">
        <f t="shared" ca="1" si="11"/>
        <v>2729</v>
      </c>
      <c r="BH5" s="52">
        <f t="shared" ca="1" si="11"/>
        <v>3619</v>
      </c>
      <c r="BI5" s="17">
        <f t="shared" ca="1" si="11"/>
        <v>3507</v>
      </c>
      <c r="BJ5" s="16">
        <f t="shared" ca="1" si="11"/>
        <v>3148</v>
      </c>
      <c r="BK5" s="52">
        <f t="shared" ca="1" si="11"/>
        <v>3152</v>
      </c>
      <c r="BL5" s="52">
        <f t="shared" ca="1" si="11"/>
        <v>2660</v>
      </c>
      <c r="BM5" s="52">
        <f t="shared" ca="1" si="11"/>
        <v>2432</v>
      </c>
      <c r="BN5" s="52">
        <f t="shared" ca="1" si="11"/>
        <v>2610</v>
      </c>
      <c r="BO5" s="52">
        <f t="shared" ca="1" si="11"/>
        <v>2995</v>
      </c>
      <c r="BP5" s="52">
        <f t="shared" ca="1" si="11"/>
        <v>2828</v>
      </c>
      <c r="BQ5" s="52">
        <f t="shared" ca="1" si="11"/>
        <v>2158</v>
      </c>
      <c r="BR5" s="52">
        <f t="shared" ca="1" si="11"/>
        <v>2864</v>
      </c>
      <c r="BS5" s="17">
        <f t="shared" ca="1" si="11"/>
        <v>2390</v>
      </c>
      <c r="BT5" s="16">
        <f t="shared" ca="1" si="11"/>
        <v>2820</v>
      </c>
      <c r="BU5" s="52">
        <f t="shared" ca="1" si="11"/>
        <v>2874</v>
      </c>
      <c r="BV5" s="52">
        <f t="shared" ca="1" si="11"/>
        <v>2484</v>
      </c>
      <c r="BW5" s="52">
        <f t="shared" ca="1" si="11"/>
        <v>2578</v>
      </c>
      <c r="BX5" s="52">
        <f t="shared" ca="1" si="11"/>
        <v>2797</v>
      </c>
      <c r="BY5" s="52">
        <f t="shared" ca="1" si="11"/>
        <v>2448</v>
      </c>
      <c r="BZ5" s="52">
        <f t="shared" ca="1" si="11"/>
        <v>3510</v>
      </c>
      <c r="CA5" s="52">
        <f t="shared" ca="1" si="11"/>
        <v>2814</v>
      </c>
      <c r="CB5" s="52">
        <f t="shared" ca="1" si="11"/>
        <v>2845</v>
      </c>
      <c r="CC5" s="17">
        <f t="shared" ca="1" si="11"/>
        <v>2948</v>
      </c>
      <c r="CD5" s="16">
        <f t="shared" ca="1" si="11"/>
        <v>3520</v>
      </c>
      <c r="CE5" s="52">
        <f t="shared" ca="1" si="11"/>
        <v>3058</v>
      </c>
      <c r="CF5" s="52">
        <f t="shared" ca="1" si="11"/>
        <v>2953</v>
      </c>
      <c r="CG5" s="52">
        <f t="shared" ca="1" si="11"/>
        <v>3052</v>
      </c>
      <c r="CH5" s="52">
        <f t="shared" ca="1" si="11"/>
        <v>2681</v>
      </c>
      <c r="CI5" s="52">
        <f t="shared" ca="1" si="11"/>
        <v>2178</v>
      </c>
      <c r="CJ5" s="52">
        <f t="shared" ca="1" si="11"/>
        <v>3381</v>
      </c>
      <c r="CK5" s="52">
        <f t="shared" ca="1" si="11"/>
        <v>2707</v>
      </c>
      <c r="CL5" s="52">
        <f t="shared" ca="1" si="11"/>
        <v>2853</v>
      </c>
      <c r="CM5" s="17">
        <f t="shared" ca="1" si="11"/>
        <v>3816</v>
      </c>
      <c r="CN5" s="16">
        <f t="shared" ca="1" si="11"/>
        <v>2498</v>
      </c>
      <c r="CO5" s="52">
        <f t="shared" ca="1" si="11"/>
        <v>1882</v>
      </c>
      <c r="CP5" s="52">
        <f t="shared" ca="1" si="11"/>
        <v>2337</v>
      </c>
      <c r="CQ5" s="52">
        <f t="shared" ca="1" si="11"/>
        <v>2188</v>
      </c>
      <c r="CR5" s="52">
        <f t="shared" ca="1" si="11"/>
        <v>2214</v>
      </c>
      <c r="CS5" s="52">
        <f t="shared" ca="1" si="11"/>
        <v>2193</v>
      </c>
      <c r="CT5" s="52">
        <f t="shared" ca="1" si="11"/>
        <v>2522</v>
      </c>
      <c r="CU5" s="52">
        <f t="shared" ca="1" si="11"/>
        <v>2440</v>
      </c>
      <c r="CV5" s="52">
        <f t="shared" ca="1" si="11"/>
        <v>2544</v>
      </c>
      <c r="CW5" s="17">
        <f t="shared" ca="1" si="11"/>
        <v>3831</v>
      </c>
      <c r="CX5" s="16">
        <f t="shared" ca="1" si="11"/>
        <v>3160</v>
      </c>
      <c r="CY5" s="52">
        <f t="shared" ca="1" si="11"/>
        <v>3326</v>
      </c>
      <c r="CZ5" s="52">
        <f t="shared" ca="1" si="11"/>
        <v>2844</v>
      </c>
      <c r="DA5" s="52">
        <f t="shared" ca="1" si="11"/>
        <v>2462</v>
      </c>
      <c r="DB5" s="52">
        <f t="shared" ca="1" si="11"/>
        <v>2281</v>
      </c>
      <c r="DC5" s="52">
        <f t="shared" ca="1" si="11"/>
        <v>3064</v>
      </c>
      <c r="DD5" s="52">
        <f t="shared" ca="1" si="11"/>
        <v>2150</v>
      </c>
      <c r="DE5" s="52">
        <f t="shared" ca="1" si="11"/>
        <v>2898</v>
      </c>
      <c r="DF5" s="52">
        <f t="shared" ca="1" si="11"/>
        <v>3115</v>
      </c>
      <c r="DG5" s="17">
        <f t="shared" ca="1" si="11"/>
        <v>3213</v>
      </c>
      <c r="DH5" s="16">
        <f t="shared" ca="1" si="11"/>
        <v>3480</v>
      </c>
      <c r="DI5" s="52">
        <f t="shared" ca="1" si="11"/>
        <v>2271</v>
      </c>
      <c r="DJ5" s="52">
        <f t="shared" ca="1" si="11"/>
        <v>2593</v>
      </c>
      <c r="DK5" s="52">
        <f t="shared" ca="1" si="11"/>
        <v>2947</v>
      </c>
      <c r="DL5" s="52">
        <f t="shared" ca="1" si="11"/>
        <v>2700</v>
      </c>
      <c r="DM5" s="52">
        <f t="shared" ca="1" si="11"/>
        <v>2044</v>
      </c>
      <c r="DN5" s="52">
        <f t="shared" ca="1" si="11"/>
        <v>2598</v>
      </c>
      <c r="DO5" s="52">
        <f t="shared" ca="1" si="11"/>
        <v>2357</v>
      </c>
      <c r="DP5" s="52">
        <f t="shared" ca="1" si="11"/>
        <v>3675</v>
      </c>
      <c r="DQ5" s="17">
        <f t="shared" ca="1" si="11"/>
        <v>3447</v>
      </c>
    </row>
    <row r="6" spans="1:129" ht="15.75">
      <c r="A6" s="68">
        <v>825</v>
      </c>
      <c r="B6" s="16">
        <f t="shared" ref="B6:AO6" ca="1" si="12">INDIRECT("Main!J" &amp; (COLUMN()-2)*3+2)</f>
        <v>3261</v>
      </c>
      <c r="C6" s="8">
        <f t="shared" ca="1" si="12"/>
        <v>4533</v>
      </c>
      <c r="D6" s="8">
        <f t="shared" ca="1" si="12"/>
        <v>3213</v>
      </c>
      <c r="E6" s="8">
        <f t="shared" ca="1" si="12"/>
        <v>2818</v>
      </c>
      <c r="F6" s="17">
        <f t="shared" ca="1" si="12"/>
        <v>3841</v>
      </c>
      <c r="G6" s="16">
        <f t="shared" ca="1" si="12"/>
        <v>3348</v>
      </c>
      <c r="H6" s="8">
        <f t="shared" ca="1" si="12"/>
        <v>2517</v>
      </c>
      <c r="I6" s="8">
        <f t="shared" ca="1" si="12"/>
        <v>2914</v>
      </c>
      <c r="J6" s="8">
        <f t="shared" ca="1" si="12"/>
        <v>4528</v>
      </c>
      <c r="K6" s="17">
        <f t="shared" ca="1" si="12"/>
        <v>3155</v>
      </c>
      <c r="L6" s="16">
        <f t="shared" ca="1" si="12"/>
        <v>5098</v>
      </c>
      <c r="M6" s="8">
        <f t="shared" ca="1" si="12"/>
        <v>2693</v>
      </c>
      <c r="N6" s="8">
        <f t="shared" ca="1" si="12"/>
        <v>1758</v>
      </c>
      <c r="O6" s="8">
        <f t="shared" ca="1" si="12"/>
        <v>2946</v>
      </c>
      <c r="P6" s="17">
        <f t="shared" ca="1" si="12"/>
        <v>2801</v>
      </c>
      <c r="Q6" s="8">
        <f t="shared" ca="1" si="12"/>
        <v>2941</v>
      </c>
      <c r="R6" s="8">
        <f t="shared" ca="1" si="12"/>
        <v>2831</v>
      </c>
      <c r="S6" s="8">
        <f t="shared" ca="1" si="12"/>
        <v>2181</v>
      </c>
      <c r="T6" s="8">
        <f t="shared" ca="1" si="12"/>
        <v>2555</v>
      </c>
      <c r="U6" s="8">
        <f t="shared" ca="1" si="12"/>
        <v>2962</v>
      </c>
      <c r="V6" s="16">
        <f t="shared" ca="1" si="12"/>
        <v>2599</v>
      </c>
      <c r="W6" s="8">
        <f t="shared" ca="1" si="12"/>
        <v>2630</v>
      </c>
      <c r="X6" s="8">
        <f t="shared" ca="1" si="12"/>
        <v>3338</v>
      </c>
      <c r="Y6" s="8">
        <f t="shared" ca="1" si="12"/>
        <v>4048</v>
      </c>
      <c r="Z6" s="17">
        <f t="shared" ca="1" si="12"/>
        <v>3106</v>
      </c>
      <c r="AA6" s="8">
        <f t="shared" ca="1" si="12"/>
        <v>2545</v>
      </c>
      <c r="AB6" s="8">
        <f t="shared" ca="1" si="12"/>
        <v>2774</v>
      </c>
      <c r="AC6" s="8">
        <f t="shared" ca="1" si="12"/>
        <v>1573</v>
      </c>
      <c r="AD6" s="8">
        <f t="shared" ca="1" si="12"/>
        <v>3451</v>
      </c>
      <c r="AE6" s="8">
        <f t="shared" ca="1" si="12"/>
        <v>4634</v>
      </c>
      <c r="AF6" s="8">
        <f t="shared" ca="1" si="12"/>
        <v>3404</v>
      </c>
      <c r="AG6" s="8">
        <f t="shared" ca="1" si="12"/>
        <v>2673</v>
      </c>
      <c r="AH6" s="8">
        <f t="shared" ca="1" si="12"/>
        <v>2480</v>
      </c>
      <c r="AI6" s="8">
        <f t="shared" ca="1" si="12"/>
        <v>2551</v>
      </c>
      <c r="AJ6" s="8">
        <f t="shared" ca="1" si="12"/>
        <v>2457</v>
      </c>
      <c r="AK6" s="8">
        <f t="shared" ca="1" si="12"/>
        <v>2762</v>
      </c>
      <c r="AL6" s="8">
        <f t="shared" ca="1" si="12"/>
        <v>3306</v>
      </c>
      <c r="AM6" s="8">
        <f t="shared" ca="1" si="12"/>
        <v>3245</v>
      </c>
      <c r="AN6" s="8">
        <f t="shared" ca="1" si="12"/>
        <v>3726</v>
      </c>
      <c r="AO6" s="8">
        <f t="shared" ca="1" si="12"/>
        <v>3030</v>
      </c>
      <c r="AP6" s="16">
        <f t="shared" ref="AP6:DQ6" ca="1" si="13">INDIRECT("LongBoards!J" &amp; (COLUMN()-42)*3+2)</f>
        <v>3647</v>
      </c>
      <c r="AQ6" s="52">
        <f t="shared" ca="1" si="13"/>
        <v>3985</v>
      </c>
      <c r="AR6" s="52">
        <f t="shared" ca="1" si="13"/>
        <v>3924</v>
      </c>
      <c r="AS6" s="52">
        <f t="shared" ca="1" si="13"/>
        <v>4547</v>
      </c>
      <c r="AT6" s="52">
        <f t="shared" ca="1" si="13"/>
        <v>3321</v>
      </c>
      <c r="AU6" s="52">
        <f t="shared" ca="1" si="13"/>
        <v>3949</v>
      </c>
      <c r="AV6" s="184">
        <f t="shared" ca="1" si="13"/>
        <v>4644</v>
      </c>
      <c r="AW6" s="52">
        <f t="shared" ca="1" si="13"/>
        <v>3288</v>
      </c>
      <c r="AX6" s="52">
        <f t="shared" ca="1" si="13"/>
        <v>4551</v>
      </c>
      <c r="AY6" s="17">
        <f t="shared" ca="1" si="13"/>
        <v>3991</v>
      </c>
      <c r="AZ6" s="16">
        <f t="shared" ca="1" si="13"/>
        <v>4112</v>
      </c>
      <c r="BA6" s="52">
        <f t="shared" ca="1" si="13"/>
        <v>2547</v>
      </c>
      <c r="BB6" s="52">
        <f t="shared" ca="1" si="13"/>
        <v>3104</v>
      </c>
      <c r="BC6" s="52">
        <f t="shared" ca="1" si="13"/>
        <v>3303</v>
      </c>
      <c r="BD6" s="52">
        <f t="shared" ca="1" si="13"/>
        <v>2965</v>
      </c>
      <c r="BE6" s="52">
        <f t="shared" ca="1" si="13"/>
        <v>3121</v>
      </c>
      <c r="BF6" s="52">
        <f t="shared" ca="1" si="13"/>
        <v>2615</v>
      </c>
      <c r="BG6" s="52">
        <f t="shared" ca="1" si="13"/>
        <v>3197</v>
      </c>
      <c r="BH6" s="52">
        <f t="shared" ca="1" si="13"/>
        <v>4242</v>
      </c>
      <c r="BI6" s="17">
        <f t="shared" ca="1" si="13"/>
        <v>4114</v>
      </c>
      <c r="BJ6" s="16">
        <f t="shared" ca="1" si="13"/>
        <v>3693</v>
      </c>
      <c r="BK6" s="52">
        <f t="shared" ca="1" si="13"/>
        <v>3670</v>
      </c>
      <c r="BL6" s="52">
        <f t="shared" ca="1" si="13"/>
        <v>3126</v>
      </c>
      <c r="BM6" s="52">
        <f t="shared" ca="1" si="13"/>
        <v>2835</v>
      </c>
      <c r="BN6" s="52">
        <f t="shared" ca="1" si="13"/>
        <v>3056</v>
      </c>
      <c r="BO6" s="52">
        <f t="shared" ca="1" si="13"/>
        <v>3488</v>
      </c>
      <c r="BP6" s="52">
        <f t="shared" ca="1" si="13"/>
        <v>3264</v>
      </c>
      <c r="BQ6" s="52">
        <f t="shared" ca="1" si="13"/>
        <v>2382</v>
      </c>
      <c r="BR6" s="52">
        <f t="shared" ca="1" si="13"/>
        <v>3370</v>
      </c>
      <c r="BS6" s="17">
        <f t="shared" ca="1" si="13"/>
        <v>2843</v>
      </c>
      <c r="BT6" s="16">
        <f t="shared" ca="1" si="13"/>
        <v>3334</v>
      </c>
      <c r="BU6" s="52">
        <f t="shared" ca="1" si="13"/>
        <v>3333</v>
      </c>
      <c r="BV6" s="52">
        <f t="shared" ca="1" si="13"/>
        <v>2926</v>
      </c>
      <c r="BW6" s="52">
        <f t="shared" ca="1" si="13"/>
        <v>2951</v>
      </c>
      <c r="BX6" s="52">
        <f t="shared" ca="1" si="13"/>
        <v>3280</v>
      </c>
      <c r="BY6" s="52">
        <f t="shared" ca="1" si="13"/>
        <v>2881</v>
      </c>
      <c r="BZ6" s="52">
        <f t="shared" ca="1" si="13"/>
        <v>4095</v>
      </c>
      <c r="CA6" s="52">
        <f t="shared" ca="1" si="13"/>
        <v>3316</v>
      </c>
      <c r="CB6" s="52">
        <f t="shared" ca="1" si="13"/>
        <v>3356</v>
      </c>
      <c r="CC6" s="17">
        <f t="shared" ca="1" si="13"/>
        <v>3436</v>
      </c>
      <c r="CD6" s="16">
        <f t="shared" ca="1" si="13"/>
        <v>4173</v>
      </c>
      <c r="CE6" s="52">
        <f t="shared" ca="1" si="13"/>
        <v>3589</v>
      </c>
      <c r="CF6" s="52">
        <f t="shared" ca="1" si="13"/>
        <v>3471</v>
      </c>
      <c r="CG6" s="52">
        <f t="shared" ca="1" si="13"/>
        <v>3558</v>
      </c>
      <c r="CH6" s="52">
        <f t="shared" ca="1" si="13"/>
        <v>3124</v>
      </c>
      <c r="CI6" s="52">
        <f t="shared" ca="1" si="13"/>
        <v>2545</v>
      </c>
      <c r="CJ6" s="52">
        <f t="shared" ca="1" si="13"/>
        <v>3932</v>
      </c>
      <c r="CK6" s="52">
        <f t="shared" ca="1" si="13"/>
        <v>3198</v>
      </c>
      <c r="CL6" s="52">
        <f t="shared" ca="1" si="13"/>
        <v>3357</v>
      </c>
      <c r="CM6" s="17">
        <f t="shared" ca="1" si="13"/>
        <v>4492</v>
      </c>
      <c r="CN6" s="16">
        <f t="shared" ca="1" si="13"/>
        <v>2943</v>
      </c>
      <c r="CO6" s="52">
        <f t="shared" ca="1" si="13"/>
        <v>2220</v>
      </c>
      <c r="CP6" s="52">
        <f t="shared" ca="1" si="13"/>
        <v>2756</v>
      </c>
      <c r="CQ6" s="52">
        <f t="shared" ca="1" si="13"/>
        <v>2570</v>
      </c>
      <c r="CR6" s="52">
        <f t="shared" ca="1" si="13"/>
        <v>2573</v>
      </c>
      <c r="CS6" s="52">
        <f t="shared" ca="1" si="13"/>
        <v>2544</v>
      </c>
      <c r="CT6" s="52">
        <f t="shared" ca="1" si="13"/>
        <v>2882</v>
      </c>
      <c r="CU6" s="52">
        <f t="shared" ca="1" si="13"/>
        <v>2869</v>
      </c>
      <c r="CV6" s="52">
        <f t="shared" ca="1" si="13"/>
        <v>2989</v>
      </c>
      <c r="CW6" s="17">
        <f t="shared" ca="1" si="13"/>
        <v>4508</v>
      </c>
      <c r="CX6" s="16">
        <f t="shared" ca="1" si="13"/>
        <v>3651</v>
      </c>
      <c r="CY6" s="52">
        <f t="shared" ca="1" si="13"/>
        <v>3938</v>
      </c>
      <c r="CZ6" s="52">
        <f t="shared" ca="1" si="13"/>
        <v>3356</v>
      </c>
      <c r="DA6" s="52">
        <f t="shared" ca="1" si="13"/>
        <v>2854</v>
      </c>
      <c r="DB6" s="52">
        <f t="shared" ca="1" si="13"/>
        <v>2640</v>
      </c>
      <c r="DC6" s="52">
        <f t="shared" ca="1" si="13"/>
        <v>3595</v>
      </c>
      <c r="DD6" s="52">
        <f t="shared" ca="1" si="13"/>
        <v>2570</v>
      </c>
      <c r="DE6" s="52">
        <f t="shared" ca="1" si="13"/>
        <v>3291</v>
      </c>
      <c r="DF6" s="52">
        <f t="shared" ca="1" si="13"/>
        <v>3588</v>
      </c>
      <c r="DG6" s="17">
        <f t="shared" ca="1" si="13"/>
        <v>3765</v>
      </c>
      <c r="DH6" s="16">
        <f t="shared" ca="1" si="13"/>
        <v>4084</v>
      </c>
      <c r="DI6" s="52">
        <f t="shared" ca="1" si="13"/>
        <v>2670</v>
      </c>
      <c r="DJ6" s="52">
        <f t="shared" ca="1" si="13"/>
        <v>3072</v>
      </c>
      <c r="DK6" s="52">
        <f t="shared" ca="1" si="13"/>
        <v>3426</v>
      </c>
      <c r="DL6" s="52">
        <f t="shared" ca="1" si="13"/>
        <v>3065</v>
      </c>
      <c r="DM6" s="52">
        <f t="shared" ca="1" si="13"/>
        <v>2363</v>
      </c>
      <c r="DN6" s="52">
        <f t="shared" ca="1" si="13"/>
        <v>3042</v>
      </c>
      <c r="DO6" s="52">
        <f t="shared" ca="1" si="13"/>
        <v>2737</v>
      </c>
      <c r="DP6" s="52">
        <f t="shared" ca="1" si="13"/>
        <v>4328</v>
      </c>
      <c r="DQ6" s="17">
        <f t="shared" ca="1" si="13"/>
        <v>4052</v>
      </c>
    </row>
    <row r="7" spans="1:129" ht="15.75">
      <c r="A7" s="68">
        <v>850</v>
      </c>
      <c r="B7" s="16">
        <f t="shared" ref="B7:AO7" ca="1" si="14">INDIRECT("Main!K" &amp; (COLUMN()-2)*3+2)</f>
        <v>3800</v>
      </c>
      <c r="C7" s="8">
        <f t="shared" ca="1" si="14"/>
        <v>5241</v>
      </c>
      <c r="D7" s="8">
        <f t="shared" ca="1" si="14"/>
        <v>3749</v>
      </c>
      <c r="E7" s="8">
        <f t="shared" ca="1" si="14"/>
        <v>3289</v>
      </c>
      <c r="F7" s="17">
        <f t="shared" ca="1" si="14"/>
        <v>4491</v>
      </c>
      <c r="G7" s="16">
        <f t="shared" ca="1" si="14"/>
        <v>3903</v>
      </c>
      <c r="H7" s="8">
        <f t="shared" ca="1" si="14"/>
        <v>2962</v>
      </c>
      <c r="I7" s="8">
        <f t="shared" ca="1" si="14"/>
        <v>3408</v>
      </c>
      <c r="J7" s="8">
        <f t="shared" ca="1" si="14"/>
        <v>5240</v>
      </c>
      <c r="K7" s="17">
        <f t="shared" ca="1" si="14"/>
        <v>3662</v>
      </c>
      <c r="L7" s="16">
        <f t="shared" ca="1" si="14"/>
        <v>5868</v>
      </c>
      <c r="M7" s="8">
        <f t="shared" ca="1" si="14"/>
        <v>3146</v>
      </c>
      <c r="N7" s="8">
        <f t="shared" ca="1" si="14"/>
        <v>2132</v>
      </c>
      <c r="O7" s="8">
        <f t="shared" ca="1" si="14"/>
        <v>3429</v>
      </c>
      <c r="P7" s="17">
        <f t="shared" ca="1" si="14"/>
        <v>3160</v>
      </c>
      <c r="Q7" s="8">
        <f t="shared" ca="1" si="14"/>
        <v>3455</v>
      </c>
      <c r="R7" s="8">
        <f t="shared" ca="1" si="14"/>
        <v>3240</v>
      </c>
      <c r="S7" s="8">
        <f t="shared" ca="1" si="14"/>
        <v>2515</v>
      </c>
      <c r="T7" s="8">
        <f t="shared" ca="1" si="14"/>
        <v>2970</v>
      </c>
      <c r="U7" s="8">
        <f t="shared" ca="1" si="14"/>
        <v>3375</v>
      </c>
      <c r="V7" s="16">
        <f t="shared" ca="1" si="14"/>
        <v>3018</v>
      </c>
      <c r="W7" s="8">
        <f t="shared" ca="1" si="14"/>
        <v>3091</v>
      </c>
      <c r="X7" s="8">
        <f t="shared" ca="1" si="14"/>
        <v>3902</v>
      </c>
      <c r="Y7" s="8">
        <f t="shared" ca="1" si="14"/>
        <v>4723</v>
      </c>
      <c r="Z7" s="17">
        <f t="shared" ca="1" si="14"/>
        <v>3632</v>
      </c>
      <c r="AA7" s="8">
        <f t="shared" ca="1" si="14"/>
        <v>2941</v>
      </c>
      <c r="AB7" s="8">
        <f t="shared" ca="1" si="14"/>
        <v>3233</v>
      </c>
      <c r="AC7" s="8">
        <f t="shared" ca="1" si="14"/>
        <v>1826</v>
      </c>
      <c r="AD7" s="8">
        <f t="shared" ca="1" si="14"/>
        <v>4043</v>
      </c>
      <c r="AE7" s="8">
        <f t="shared" ca="1" si="14"/>
        <v>5412</v>
      </c>
      <c r="AF7" s="8">
        <f t="shared" ca="1" si="14"/>
        <v>3948</v>
      </c>
      <c r="AG7" s="8">
        <f t="shared" ca="1" si="14"/>
        <v>3050</v>
      </c>
      <c r="AH7" s="8">
        <f t="shared" ca="1" si="14"/>
        <v>2913</v>
      </c>
      <c r="AI7" s="8">
        <f t="shared" ca="1" si="14"/>
        <v>2963</v>
      </c>
      <c r="AJ7" s="8">
        <f t="shared" ca="1" si="14"/>
        <v>2867</v>
      </c>
      <c r="AK7" s="8">
        <f t="shared" ca="1" si="14"/>
        <v>3237</v>
      </c>
      <c r="AL7" s="8">
        <f t="shared" ca="1" si="14"/>
        <v>3861</v>
      </c>
      <c r="AM7" s="8">
        <f t="shared" ca="1" si="14"/>
        <v>3799</v>
      </c>
      <c r="AN7" s="8">
        <f t="shared" ca="1" si="14"/>
        <v>4283</v>
      </c>
      <c r="AO7" s="8">
        <f t="shared" ca="1" si="14"/>
        <v>3552</v>
      </c>
      <c r="AP7" s="16">
        <v>4249</v>
      </c>
      <c r="AQ7" s="52">
        <v>4574</v>
      </c>
      <c r="AR7" s="52">
        <v>4526</v>
      </c>
      <c r="AS7" s="59">
        <v>5292</v>
      </c>
      <c r="AT7" s="52">
        <v>3837</v>
      </c>
      <c r="AU7" s="52">
        <v>4586</v>
      </c>
      <c r="AV7" s="184">
        <v>2266</v>
      </c>
      <c r="AW7" s="52">
        <v>3835</v>
      </c>
      <c r="AX7" s="52">
        <v>5257</v>
      </c>
      <c r="AY7" s="17">
        <v>4623</v>
      </c>
      <c r="AZ7" s="16">
        <v>4789</v>
      </c>
      <c r="BA7" s="52">
        <v>3002</v>
      </c>
      <c r="BB7" s="52">
        <v>3625</v>
      </c>
      <c r="BC7" s="52">
        <v>3865</v>
      </c>
      <c r="BD7" s="52">
        <v>3441</v>
      </c>
      <c r="BE7" s="52">
        <v>3613</v>
      </c>
      <c r="BF7" s="52">
        <v>3116</v>
      </c>
      <c r="BG7" s="52">
        <v>3703</v>
      </c>
      <c r="BH7" s="52">
        <v>4944</v>
      </c>
      <c r="BI7" s="17">
        <v>4768</v>
      </c>
      <c r="BJ7" s="16">
        <v>4300</v>
      </c>
      <c r="BK7" s="52">
        <v>4412</v>
      </c>
      <c r="BL7" s="52">
        <v>3644</v>
      </c>
      <c r="BM7" s="52">
        <v>3274</v>
      </c>
      <c r="BN7" s="52">
        <v>3545</v>
      </c>
      <c r="BO7" s="52">
        <v>4036</v>
      </c>
      <c r="BP7" s="52">
        <v>3763</v>
      </c>
      <c r="BQ7" s="52">
        <v>2990</v>
      </c>
      <c r="BR7" s="52">
        <v>3975</v>
      </c>
      <c r="BS7" s="17">
        <v>3337</v>
      </c>
      <c r="BT7" s="16">
        <v>3903</v>
      </c>
      <c r="BU7" s="52">
        <v>3895</v>
      </c>
      <c r="BV7" s="52">
        <v>3436</v>
      </c>
      <c r="BW7" s="52">
        <v>3361</v>
      </c>
      <c r="BX7" s="52">
        <v>3820</v>
      </c>
      <c r="BY7" s="52">
        <v>3367</v>
      </c>
      <c r="BZ7" s="52">
        <v>4764</v>
      </c>
      <c r="CA7" s="52">
        <v>3876</v>
      </c>
      <c r="CB7" s="52">
        <v>3924</v>
      </c>
      <c r="CC7" s="17">
        <v>3967</v>
      </c>
      <c r="CD7" s="16">
        <v>4883</v>
      </c>
      <c r="CE7" s="52">
        <v>4187</v>
      </c>
      <c r="CF7" s="52">
        <v>4066</v>
      </c>
      <c r="CG7" s="52">
        <v>4125</v>
      </c>
      <c r="CH7" s="52">
        <v>3627</v>
      </c>
      <c r="CI7" s="52">
        <v>2951</v>
      </c>
      <c r="CJ7" s="52">
        <v>4557</v>
      </c>
      <c r="CK7" s="52">
        <v>3757</v>
      </c>
      <c r="CL7" s="52">
        <v>3918</v>
      </c>
      <c r="CM7" s="17">
        <v>5229</v>
      </c>
      <c r="CN7" s="16">
        <v>3427</v>
      </c>
      <c r="CO7" s="52">
        <v>2602</v>
      </c>
      <c r="CP7" s="52">
        <v>3226</v>
      </c>
      <c r="CQ7" s="52">
        <v>2998</v>
      </c>
      <c r="CR7" s="52">
        <v>2988</v>
      </c>
      <c r="CS7" s="52">
        <v>2945</v>
      </c>
      <c r="CT7" s="52">
        <v>3284</v>
      </c>
      <c r="CU7" s="52">
        <v>3341</v>
      </c>
      <c r="CV7" s="52">
        <v>3483</v>
      </c>
      <c r="CW7" s="17">
        <v>5262</v>
      </c>
      <c r="CX7" s="16">
        <v>4185</v>
      </c>
      <c r="CY7" s="52">
        <v>4576</v>
      </c>
      <c r="CZ7" s="52">
        <v>3951</v>
      </c>
      <c r="DA7" s="52">
        <v>3291</v>
      </c>
      <c r="DB7" s="52">
        <v>2922</v>
      </c>
      <c r="DC7" s="52">
        <v>4082</v>
      </c>
      <c r="DD7" s="52">
        <v>2938</v>
      </c>
      <c r="DE7" s="52">
        <v>3840</v>
      </c>
      <c r="DF7" s="52">
        <v>4111</v>
      </c>
      <c r="DG7" s="17">
        <v>4325</v>
      </c>
      <c r="DH7" s="16">
        <v>4750</v>
      </c>
      <c r="DI7" s="52">
        <v>3098</v>
      </c>
      <c r="DJ7" s="52">
        <v>3562</v>
      </c>
      <c r="DK7" s="52">
        <v>3939</v>
      </c>
      <c r="DL7" s="52">
        <v>3513</v>
      </c>
      <c r="DM7" s="52">
        <v>2721</v>
      </c>
      <c r="DN7" s="52">
        <v>3526</v>
      </c>
      <c r="DO7" s="52">
        <v>3163</v>
      </c>
      <c r="DP7" s="52">
        <v>5063</v>
      </c>
      <c r="DQ7" s="17">
        <v>4723</v>
      </c>
    </row>
    <row r="8" spans="1:129" ht="15.75">
      <c r="A8" s="68" t="s">
        <v>377</v>
      </c>
      <c r="B8" s="80">
        <v>231</v>
      </c>
      <c r="C8" s="59">
        <v>219</v>
      </c>
      <c r="D8" s="59">
        <v>217</v>
      </c>
      <c r="E8" s="59">
        <v>251</v>
      </c>
      <c r="F8" s="81">
        <v>201</v>
      </c>
      <c r="G8" s="80">
        <v>215</v>
      </c>
      <c r="H8" s="59">
        <v>167.8</v>
      </c>
      <c r="I8" s="59">
        <v>238</v>
      </c>
      <c r="J8" s="59">
        <v>215.2</v>
      </c>
      <c r="K8" s="81">
        <v>192.3</v>
      </c>
      <c r="L8" s="80">
        <v>228</v>
      </c>
      <c r="M8" s="59">
        <v>237</v>
      </c>
      <c r="N8" s="59">
        <v>265</v>
      </c>
      <c r="O8" s="59">
        <v>238</v>
      </c>
      <c r="P8" s="81">
        <v>310</v>
      </c>
      <c r="Q8" s="59">
        <v>220</v>
      </c>
      <c r="R8" s="59">
        <v>329</v>
      </c>
      <c r="S8" s="59">
        <v>369</v>
      </c>
      <c r="T8" s="59">
        <v>231</v>
      </c>
      <c r="U8" s="59">
        <v>258</v>
      </c>
      <c r="V8" s="80">
        <v>267</v>
      </c>
      <c r="W8" s="59">
        <v>225</v>
      </c>
      <c r="X8" s="59">
        <v>227</v>
      </c>
      <c r="Y8" s="59">
        <v>196.5</v>
      </c>
      <c r="Z8" s="81">
        <v>232</v>
      </c>
      <c r="AA8" s="59">
        <v>272</v>
      </c>
      <c r="AB8" s="59">
        <v>237</v>
      </c>
      <c r="AC8" s="59">
        <v>224</v>
      </c>
      <c r="AD8" s="59">
        <v>213</v>
      </c>
      <c r="AE8" s="59">
        <v>202</v>
      </c>
      <c r="AF8" s="59">
        <v>234</v>
      </c>
      <c r="AG8" s="59">
        <v>353</v>
      </c>
      <c r="AH8" s="59">
        <v>198</v>
      </c>
      <c r="AI8" s="59">
        <v>251</v>
      </c>
      <c r="AJ8" s="59">
        <v>214</v>
      </c>
      <c r="AK8" s="59">
        <v>233</v>
      </c>
      <c r="AL8" s="59">
        <v>222</v>
      </c>
      <c r="AM8" s="59">
        <v>217</v>
      </c>
      <c r="AN8" s="59">
        <v>224</v>
      </c>
      <c r="AO8" s="59">
        <v>214</v>
      </c>
      <c r="AP8" s="80">
        <v>219</v>
      </c>
      <c r="AQ8" s="59">
        <v>241</v>
      </c>
      <c r="AR8" s="59">
        <v>224</v>
      </c>
      <c r="AS8" s="8">
        <v>207</v>
      </c>
      <c r="AT8" s="59">
        <v>224</v>
      </c>
      <c r="AU8" s="59">
        <v>220</v>
      </c>
      <c r="AV8" s="182">
        <v>191.5</v>
      </c>
      <c r="AW8" s="59">
        <v>229</v>
      </c>
      <c r="AX8" s="59">
        <v>220</v>
      </c>
      <c r="AY8" s="81">
        <v>209</v>
      </c>
      <c r="AZ8" s="80">
        <v>218</v>
      </c>
      <c r="BA8" s="59">
        <v>181.6</v>
      </c>
      <c r="BB8" s="59">
        <v>230</v>
      </c>
      <c r="BC8" s="59">
        <v>222</v>
      </c>
      <c r="BD8" s="59">
        <v>249</v>
      </c>
      <c r="BE8" s="59">
        <v>243</v>
      </c>
      <c r="BF8" s="59">
        <v>183</v>
      </c>
      <c r="BG8" s="59">
        <v>243</v>
      </c>
      <c r="BH8" s="59">
        <v>197</v>
      </c>
      <c r="BI8" s="81">
        <v>210</v>
      </c>
      <c r="BJ8" s="80">
        <v>207</v>
      </c>
      <c r="BK8" s="59">
        <v>180</v>
      </c>
      <c r="BL8" s="59">
        <v>232</v>
      </c>
      <c r="BM8" s="59">
        <v>270</v>
      </c>
      <c r="BN8" s="59">
        <v>240</v>
      </c>
      <c r="BO8" s="59">
        <v>220</v>
      </c>
      <c r="BP8" s="59">
        <v>252</v>
      </c>
      <c r="BQ8" s="59">
        <v>193</v>
      </c>
      <c r="BR8" s="59">
        <v>211</v>
      </c>
      <c r="BS8" s="81">
        <v>248</v>
      </c>
      <c r="BT8" s="80">
        <v>226</v>
      </c>
      <c r="BU8" s="59">
        <v>218</v>
      </c>
      <c r="BV8" s="59">
        <v>237</v>
      </c>
      <c r="BW8" s="59">
        <v>261.5</v>
      </c>
      <c r="BX8" s="59">
        <v>227.5</v>
      </c>
      <c r="BY8" s="59">
        <v>219</v>
      </c>
      <c r="BZ8" s="59">
        <v>207</v>
      </c>
      <c r="CA8" s="59">
        <v>225.8</v>
      </c>
      <c r="CB8" s="59">
        <v>228</v>
      </c>
      <c r="CC8" s="81">
        <v>222</v>
      </c>
      <c r="CD8" s="80">
        <v>199</v>
      </c>
      <c r="CE8" s="59">
        <v>209</v>
      </c>
      <c r="CF8" s="59">
        <v>212</v>
      </c>
      <c r="CG8" s="59">
        <v>218</v>
      </c>
      <c r="CH8" s="59">
        <v>235</v>
      </c>
      <c r="CI8" s="59">
        <v>228.3</v>
      </c>
      <c r="CJ8" s="59">
        <v>231</v>
      </c>
      <c r="CK8" s="59">
        <v>214</v>
      </c>
      <c r="CL8" s="59">
        <v>221</v>
      </c>
      <c r="CM8" s="81">
        <v>212</v>
      </c>
      <c r="CN8" s="80">
        <v>241</v>
      </c>
      <c r="CO8" s="59">
        <v>175</v>
      </c>
      <c r="CP8" s="59">
        <v>228</v>
      </c>
      <c r="CQ8" s="59">
        <v>213</v>
      </c>
      <c r="CR8" s="59">
        <v>285</v>
      </c>
      <c r="CS8" s="59">
        <v>251</v>
      </c>
      <c r="CT8" s="59">
        <v>268</v>
      </c>
      <c r="CU8" s="59">
        <v>256</v>
      </c>
      <c r="CV8" s="59">
        <v>234</v>
      </c>
      <c r="CW8" s="81">
        <v>207</v>
      </c>
      <c r="CX8" s="80">
        <v>228</v>
      </c>
      <c r="CY8" s="59">
        <v>186</v>
      </c>
      <c r="CZ8" s="59">
        <v>186</v>
      </c>
      <c r="DA8" s="59">
        <v>294</v>
      </c>
      <c r="DB8" s="59">
        <v>384</v>
      </c>
      <c r="DC8" s="59">
        <v>201</v>
      </c>
      <c r="DD8" s="59">
        <v>368</v>
      </c>
      <c r="DE8" s="59">
        <v>219</v>
      </c>
      <c r="DF8" s="59">
        <v>218</v>
      </c>
      <c r="DG8" s="81">
        <v>247</v>
      </c>
      <c r="DH8" s="80">
        <v>199</v>
      </c>
      <c r="DI8" s="59">
        <v>237</v>
      </c>
      <c r="DJ8" s="59">
        <v>232</v>
      </c>
      <c r="DK8" s="59">
        <v>246</v>
      </c>
      <c r="DL8" s="59">
        <v>254</v>
      </c>
      <c r="DM8" s="59">
        <v>249</v>
      </c>
      <c r="DN8" s="59">
        <v>257</v>
      </c>
      <c r="DO8" s="59">
        <v>251</v>
      </c>
      <c r="DP8" s="59">
        <v>196</v>
      </c>
      <c r="DQ8" s="81">
        <v>201</v>
      </c>
      <c r="DR8" s="59"/>
      <c r="DS8" s="59"/>
      <c r="DT8" s="59"/>
    </row>
    <row r="9" spans="1:129" ht="15.75">
      <c r="A9" s="68" t="s">
        <v>378</v>
      </c>
      <c r="B9" s="16">
        <v>2693</v>
      </c>
      <c r="C9">
        <v>3417</v>
      </c>
      <c r="D9" s="8">
        <v>2495</v>
      </c>
      <c r="E9" s="8">
        <v>2772</v>
      </c>
      <c r="F9" s="17">
        <v>2663</v>
      </c>
      <c r="G9" s="16">
        <v>2614</v>
      </c>
      <c r="H9" s="8">
        <v>1287</v>
      </c>
      <c r="I9" s="8">
        <v>2563.6</v>
      </c>
      <c r="J9" s="8">
        <v>3563</v>
      </c>
      <c r="K9" s="17">
        <v>1812</v>
      </c>
      <c r="L9" s="16">
        <v>3944</v>
      </c>
      <c r="M9" s="8">
        <v>2431</v>
      </c>
      <c r="N9" s="8">
        <v>581</v>
      </c>
      <c r="O9" s="8">
        <v>2588</v>
      </c>
      <c r="P9" s="17">
        <v>2818</v>
      </c>
      <c r="Q9" s="8">
        <v>2493</v>
      </c>
      <c r="R9" s="8">
        <v>3460</v>
      </c>
      <c r="S9" s="8">
        <v>2958</v>
      </c>
      <c r="T9" s="8">
        <v>2152</v>
      </c>
      <c r="U9" s="8">
        <v>2576</v>
      </c>
      <c r="V9" s="16">
        <v>2627</v>
      </c>
      <c r="W9" s="8">
        <v>2261</v>
      </c>
      <c r="X9" s="8">
        <v>2764</v>
      </c>
      <c r="Y9" s="8">
        <v>2725</v>
      </c>
      <c r="Z9" s="17">
        <v>2700</v>
      </c>
      <c r="AA9" s="8">
        <v>2630</v>
      </c>
      <c r="AB9" s="8">
        <v>2489</v>
      </c>
      <c r="AC9" s="8">
        <v>1949</v>
      </c>
      <c r="AD9" s="8">
        <v>2700</v>
      </c>
      <c r="AE9" s="8">
        <v>3284</v>
      </c>
      <c r="AF9" s="8">
        <v>2862</v>
      </c>
      <c r="AG9" s="8">
        <v>3625</v>
      </c>
      <c r="AH9" s="8">
        <v>1676</v>
      </c>
      <c r="AI9" s="8">
        <v>2442</v>
      </c>
      <c r="AJ9" s="8">
        <v>1840</v>
      </c>
      <c r="AK9" s="8">
        <v>2497</v>
      </c>
      <c r="AL9" s="8">
        <v>2656</v>
      </c>
      <c r="AM9" s="8">
        <v>2555</v>
      </c>
      <c r="AN9" s="8">
        <v>2806</v>
      </c>
      <c r="AO9" s="8">
        <v>2454</v>
      </c>
      <c r="AP9" s="16">
        <v>2854</v>
      </c>
      <c r="AQ9" s="52">
        <v>3082</v>
      </c>
      <c r="AR9" s="52">
        <v>2976</v>
      </c>
      <c r="AS9" s="52">
        <v>3239</v>
      </c>
      <c r="AT9" s="52">
        <v>2585</v>
      </c>
      <c r="AU9" s="52">
        <v>3105</v>
      </c>
      <c r="AV9" s="184">
        <v>3531</v>
      </c>
      <c r="AW9" s="52">
        <v>2732</v>
      </c>
      <c r="AX9" s="52">
        <v>3336</v>
      </c>
      <c r="AY9" s="17">
        <v>2765</v>
      </c>
      <c r="AZ9" s="16">
        <v>3141</v>
      </c>
      <c r="BA9" s="52">
        <v>1559</v>
      </c>
      <c r="BB9" s="52">
        <v>2687</v>
      </c>
      <c r="BC9" s="52">
        <v>2712</v>
      </c>
      <c r="BD9" s="52">
        <v>2742</v>
      </c>
      <c r="BE9" s="52">
        <v>2676</v>
      </c>
      <c r="BF9" s="52">
        <v>2322</v>
      </c>
      <c r="BG9" s="52">
        <v>2899</v>
      </c>
      <c r="BH9" s="52">
        <v>2807</v>
      </c>
      <c r="BI9" s="17">
        <v>2995</v>
      </c>
      <c r="BJ9" s="16">
        <v>2630</v>
      </c>
      <c r="BK9" s="52">
        <v>2125</v>
      </c>
      <c r="BL9" s="52">
        <v>2638</v>
      </c>
      <c r="BM9" s="52">
        <v>2872</v>
      </c>
      <c r="BN9" s="52">
        <v>2703</v>
      </c>
      <c r="BO9" s="52">
        <v>2602</v>
      </c>
      <c r="BP9" s="52">
        <v>2911</v>
      </c>
      <c r="BQ9" s="52">
        <v>1367</v>
      </c>
      <c r="BR9" s="52">
        <v>2501</v>
      </c>
      <c r="BS9" s="17">
        <v>2519</v>
      </c>
      <c r="BT9" s="16">
        <v>2834</v>
      </c>
      <c r="BU9" s="52">
        <v>2648</v>
      </c>
      <c r="BV9" s="52">
        <v>2599</v>
      </c>
      <c r="BW9" s="52">
        <v>2572</v>
      </c>
      <c r="BX9" s="52">
        <v>2694</v>
      </c>
      <c r="BY9" s="52">
        <v>2274</v>
      </c>
      <c r="BZ9" s="52">
        <v>2840</v>
      </c>
      <c r="CA9" s="52">
        <v>2771</v>
      </c>
      <c r="CB9" s="52">
        <v>2848</v>
      </c>
      <c r="CC9" s="17">
        <v>2586</v>
      </c>
      <c r="CD9" s="16">
        <v>2990</v>
      </c>
      <c r="CE9" s="52">
        <v>2619</v>
      </c>
      <c r="CF9" s="52">
        <v>2653</v>
      </c>
      <c r="CG9" s="52">
        <v>2659</v>
      </c>
      <c r="CH9" s="52">
        <v>2627</v>
      </c>
      <c r="CI9" s="52">
        <v>2056</v>
      </c>
      <c r="CJ9" s="52">
        <v>3095</v>
      </c>
      <c r="CK9" s="52">
        <v>2506</v>
      </c>
      <c r="CL9" s="52">
        <v>2696</v>
      </c>
      <c r="CM9" s="17">
        <v>3356</v>
      </c>
      <c r="CN9" s="16">
        <v>2705</v>
      </c>
      <c r="CO9" s="52">
        <v>1166</v>
      </c>
      <c r="CP9" s="52">
        <v>2363</v>
      </c>
      <c r="CQ9" s="52">
        <v>1907</v>
      </c>
      <c r="CR9" s="52">
        <v>2763</v>
      </c>
      <c r="CS9" s="52">
        <v>2247</v>
      </c>
      <c r="CT9" s="52">
        <v>2591</v>
      </c>
      <c r="CU9" s="52">
        <v>2804</v>
      </c>
      <c r="CV9" s="52">
        <v>2579</v>
      </c>
      <c r="CW9" s="17">
        <v>3278</v>
      </c>
      <c r="CX9" s="16">
        <v>2772</v>
      </c>
      <c r="CY9" s="52">
        <v>2402</v>
      </c>
      <c r="CZ9" s="52">
        <v>2053</v>
      </c>
      <c r="DA9" s="52">
        <v>1493</v>
      </c>
      <c r="DB9" s="52">
        <v>1921</v>
      </c>
      <c r="DC9" s="52">
        <v>1755</v>
      </c>
      <c r="DD9" s="52">
        <v>2110</v>
      </c>
      <c r="DE9" s="52">
        <v>2051</v>
      </c>
      <c r="DF9" s="52">
        <v>2391</v>
      </c>
      <c r="DG9" s="17">
        <v>3385</v>
      </c>
      <c r="DH9" s="16">
        <v>2728</v>
      </c>
      <c r="DI9" s="52">
        <v>2379</v>
      </c>
      <c r="DJ9" s="52">
        <v>2751</v>
      </c>
      <c r="DK9" s="52">
        <v>2982</v>
      </c>
      <c r="DL9" s="52">
        <v>2431</v>
      </c>
      <c r="DM9" s="52">
        <v>2482</v>
      </c>
      <c r="DN9" s="52">
        <v>2926</v>
      </c>
      <c r="DO9" s="52">
        <v>2447</v>
      </c>
      <c r="DP9" s="52">
        <v>2945</v>
      </c>
      <c r="DQ9" s="17">
        <v>2797</v>
      </c>
    </row>
    <row r="10" spans="1:129" ht="15.75">
      <c r="A10" s="68" t="s">
        <v>379</v>
      </c>
      <c r="B10" s="16">
        <v>699</v>
      </c>
      <c r="C10">
        <v>702.3</v>
      </c>
      <c r="D10" s="8">
        <v>703</v>
      </c>
      <c r="E10" s="8">
        <v>704</v>
      </c>
      <c r="F10" s="17">
        <v>700</v>
      </c>
      <c r="G10" s="16">
        <v>701.7</v>
      </c>
      <c r="H10" s="8">
        <v>688.2</v>
      </c>
      <c r="I10" s="8">
        <v>700</v>
      </c>
      <c r="J10" s="8">
        <v>710.8</v>
      </c>
      <c r="K10" s="17">
        <v>675</v>
      </c>
      <c r="L10" s="16">
        <v>701</v>
      </c>
      <c r="M10" s="8">
        <v>703</v>
      </c>
      <c r="N10" s="8">
        <v>405</v>
      </c>
      <c r="O10" s="8">
        <v>702</v>
      </c>
      <c r="P10" s="17">
        <v>698.5</v>
      </c>
      <c r="Q10" s="8">
        <v>706</v>
      </c>
      <c r="R10" s="8">
        <v>700</v>
      </c>
      <c r="S10" s="8">
        <v>660.5</v>
      </c>
      <c r="T10" s="8">
        <v>703</v>
      </c>
      <c r="U10" s="8">
        <v>706</v>
      </c>
      <c r="V10" s="16">
        <v>700.4</v>
      </c>
      <c r="W10" s="8">
        <v>703</v>
      </c>
      <c r="X10" s="8">
        <v>699</v>
      </c>
      <c r="Y10" s="8">
        <v>703.6</v>
      </c>
      <c r="Z10" s="17">
        <v>702.8</v>
      </c>
      <c r="AA10" s="8">
        <v>707</v>
      </c>
      <c r="AB10" s="8">
        <v>705</v>
      </c>
      <c r="AC10" s="8">
        <v>775</v>
      </c>
      <c r="AD10" s="8">
        <v>703</v>
      </c>
      <c r="AE10" s="8">
        <v>702</v>
      </c>
      <c r="AF10" s="8">
        <v>702</v>
      </c>
      <c r="AG10" s="8">
        <v>709</v>
      </c>
      <c r="AH10" s="8">
        <v>693</v>
      </c>
      <c r="AI10" s="8">
        <v>702.4</v>
      </c>
      <c r="AJ10" s="8">
        <v>697</v>
      </c>
      <c r="AK10" s="8">
        <v>705</v>
      </c>
      <c r="AL10" s="8">
        <v>701.6</v>
      </c>
      <c r="AM10" s="8">
        <v>701</v>
      </c>
      <c r="AN10" s="8">
        <v>703</v>
      </c>
      <c r="AO10" s="8">
        <v>708</v>
      </c>
      <c r="AP10" s="16">
        <v>700</v>
      </c>
      <c r="AQ10" s="52">
        <v>694</v>
      </c>
      <c r="AR10" s="52">
        <v>700</v>
      </c>
      <c r="AS10" s="52">
        <v>701</v>
      </c>
      <c r="AT10" s="52">
        <v>704</v>
      </c>
      <c r="AU10" s="52">
        <v>702</v>
      </c>
      <c r="AV10" s="184">
        <v>699</v>
      </c>
      <c r="AW10" s="52">
        <v>699</v>
      </c>
      <c r="AX10" s="52">
        <v>698</v>
      </c>
      <c r="AY10" s="17">
        <v>699</v>
      </c>
      <c r="AZ10" s="16">
        <v>698</v>
      </c>
      <c r="BA10" s="52">
        <v>697.5</v>
      </c>
      <c r="BB10" s="52">
        <v>705</v>
      </c>
      <c r="BC10" s="52">
        <v>703</v>
      </c>
      <c r="BD10" s="52">
        <v>703</v>
      </c>
      <c r="BE10" s="52">
        <v>699</v>
      </c>
      <c r="BF10" s="52">
        <v>602.9</v>
      </c>
      <c r="BG10" s="52">
        <v>706</v>
      </c>
      <c r="BH10" s="52">
        <v>701</v>
      </c>
      <c r="BI10" s="17">
        <v>703</v>
      </c>
      <c r="BJ10" s="16">
        <v>701</v>
      </c>
      <c r="BK10" s="52">
        <v>690</v>
      </c>
      <c r="BL10" s="52">
        <v>701</v>
      </c>
      <c r="BM10" s="52">
        <v>703</v>
      </c>
      <c r="BN10" s="52">
        <v>704</v>
      </c>
      <c r="BO10" s="52">
        <v>700</v>
      </c>
      <c r="BP10" s="52">
        <v>700</v>
      </c>
      <c r="BQ10" s="52">
        <v>663</v>
      </c>
      <c r="BR10" s="52">
        <v>695</v>
      </c>
      <c r="BS10" s="17">
        <v>683</v>
      </c>
      <c r="BT10" s="16">
        <v>700</v>
      </c>
      <c r="BU10" s="52">
        <v>703</v>
      </c>
      <c r="BV10" s="52">
        <v>698.6</v>
      </c>
      <c r="BW10" s="52">
        <v>702.7</v>
      </c>
      <c r="BX10" s="52">
        <v>701.7</v>
      </c>
      <c r="BY10" s="52">
        <v>701.2</v>
      </c>
      <c r="BZ10" s="52">
        <v>699.5</v>
      </c>
      <c r="CA10" s="52">
        <v>702.1</v>
      </c>
      <c r="CB10" s="52">
        <v>701.5</v>
      </c>
      <c r="CC10" s="17">
        <v>701.6</v>
      </c>
      <c r="CD10" s="16">
        <v>704</v>
      </c>
      <c r="CE10" s="52">
        <v>700</v>
      </c>
      <c r="CF10" s="52">
        <v>701</v>
      </c>
      <c r="CG10" s="52">
        <v>700</v>
      </c>
      <c r="CH10" s="52">
        <v>701</v>
      </c>
      <c r="CI10" s="52">
        <v>701.8</v>
      </c>
      <c r="CJ10" s="52">
        <v>690</v>
      </c>
      <c r="CK10" s="52">
        <v>701</v>
      </c>
      <c r="CL10" s="52">
        <v>701</v>
      </c>
      <c r="CM10" s="17">
        <v>700</v>
      </c>
      <c r="CN10" s="16">
        <v>704.4</v>
      </c>
      <c r="CO10" s="52">
        <v>684</v>
      </c>
      <c r="CP10" s="52">
        <v>702.7</v>
      </c>
      <c r="CQ10" s="52">
        <v>698</v>
      </c>
      <c r="CR10" s="52">
        <v>694.7</v>
      </c>
      <c r="CS10" s="52">
        <v>698</v>
      </c>
      <c r="CT10" s="52">
        <v>701</v>
      </c>
      <c r="CU10" s="52">
        <v>701.5</v>
      </c>
      <c r="CV10" s="52">
        <v>703</v>
      </c>
      <c r="CW10" s="17">
        <v>701.6</v>
      </c>
      <c r="CX10" s="16">
        <v>704.6</v>
      </c>
      <c r="CY10" s="52">
        <v>701</v>
      </c>
      <c r="CZ10" s="52">
        <v>704.5</v>
      </c>
      <c r="DA10" s="52">
        <v>498</v>
      </c>
      <c r="DB10" s="52">
        <v>463.4</v>
      </c>
      <c r="DC10" s="52">
        <v>656.8</v>
      </c>
      <c r="DD10" s="52">
        <v>473</v>
      </c>
      <c r="DE10" s="52">
        <v>674.5</v>
      </c>
      <c r="DF10" s="52">
        <v>692</v>
      </c>
      <c r="DG10" s="17">
        <v>695.7</v>
      </c>
      <c r="DH10" s="16">
        <v>702</v>
      </c>
      <c r="DI10" s="52">
        <v>706</v>
      </c>
      <c r="DJ10" s="52">
        <v>713</v>
      </c>
      <c r="DK10" s="52">
        <v>705</v>
      </c>
      <c r="DL10" s="52">
        <v>688</v>
      </c>
      <c r="DM10" s="52">
        <v>750</v>
      </c>
      <c r="DN10" s="52">
        <v>702</v>
      </c>
      <c r="DO10" s="52">
        <v>701</v>
      </c>
      <c r="DP10" s="52">
        <v>701</v>
      </c>
      <c r="DQ10" s="17">
        <v>702</v>
      </c>
    </row>
    <row r="11" spans="1:129" ht="15.75">
      <c r="A11" s="68" t="s">
        <v>380</v>
      </c>
      <c r="B11" s="16">
        <v>-1379</v>
      </c>
      <c r="C11" s="52">
        <v>-1457</v>
      </c>
      <c r="D11" s="52">
        <v>-1161</v>
      </c>
      <c r="E11" s="52">
        <v>-1670</v>
      </c>
      <c r="F11" s="17">
        <v>-1108</v>
      </c>
      <c r="G11" s="16">
        <v>-1299</v>
      </c>
      <c r="H11" s="52">
        <v>-402.4</v>
      </c>
      <c r="I11" s="52">
        <v>-1410</v>
      </c>
      <c r="J11" s="52">
        <v>-1550</v>
      </c>
      <c r="K11" s="17">
        <v>-831</v>
      </c>
      <c r="L11" s="16">
        <v>-1700</v>
      </c>
      <c r="M11" s="52">
        <v>-1368</v>
      </c>
      <c r="N11" s="52">
        <v>-1004</v>
      </c>
      <c r="O11" s="52">
        <v>-1386</v>
      </c>
      <c r="P11" s="17">
        <v>-1435</v>
      </c>
      <c r="Q11" s="52">
        <v>-1338</v>
      </c>
      <c r="R11" s="52">
        <v>-2215</v>
      </c>
      <c r="S11" s="52">
        <v>-2427</v>
      </c>
      <c r="T11" s="52">
        <v>-1092</v>
      </c>
      <c r="U11" s="52">
        <v>-1128</v>
      </c>
      <c r="V11" s="16">
        <v>-1583</v>
      </c>
      <c r="W11" s="52">
        <v>-1259</v>
      </c>
      <c r="X11" s="52">
        <v>-1473</v>
      </c>
      <c r="Y11" s="52">
        <v>-1015</v>
      </c>
      <c r="Z11" s="17">
        <v>-1460</v>
      </c>
      <c r="AA11" s="52">
        <v>-1505</v>
      </c>
      <c r="AB11" s="52">
        <v>-1334</v>
      </c>
      <c r="AC11" s="52">
        <v>-897</v>
      </c>
      <c r="AD11" s="52">
        <v>-1315</v>
      </c>
      <c r="AE11" s="52">
        <v>-1408</v>
      </c>
      <c r="AF11" s="52">
        <v>-1437</v>
      </c>
      <c r="AG11" s="52">
        <v>-2353</v>
      </c>
      <c r="AH11" s="52">
        <v>-772</v>
      </c>
      <c r="AI11" s="52">
        <v>-1433</v>
      </c>
      <c r="AJ11" s="52">
        <v>-893</v>
      </c>
      <c r="AK11" s="52">
        <v>-1401</v>
      </c>
      <c r="AL11" s="52">
        <v>-1323</v>
      </c>
      <c r="AM11" s="52">
        <v>-1278</v>
      </c>
      <c r="AN11" s="52">
        <v>-1115</v>
      </c>
      <c r="AO11" s="52">
        <v>-1213</v>
      </c>
      <c r="AP11" s="16">
        <v>-1397</v>
      </c>
      <c r="AQ11" s="52">
        <v>-1309</v>
      </c>
      <c r="AR11" s="52">
        <v>-1255</v>
      </c>
      <c r="AS11" s="52">
        <v>-1338</v>
      </c>
      <c r="AT11" s="52">
        <v>-1098</v>
      </c>
      <c r="AU11" s="52">
        <v>-1460</v>
      </c>
      <c r="AV11" s="184">
        <v>-1331</v>
      </c>
      <c r="AW11" s="52">
        <v>-1428</v>
      </c>
      <c r="AX11" s="52">
        <v>-1361</v>
      </c>
      <c r="AY11" s="17">
        <v>-1034</v>
      </c>
      <c r="AZ11" s="16">
        <v>-1496</v>
      </c>
      <c r="BA11" s="52">
        <v>-604</v>
      </c>
      <c r="BB11" s="52">
        <v>-1417</v>
      </c>
      <c r="BC11" s="52">
        <v>-1390</v>
      </c>
      <c r="BD11" s="52">
        <v>-1504</v>
      </c>
      <c r="BE11" s="52">
        <v>-1362</v>
      </c>
      <c r="BF11" s="52">
        <v>-828</v>
      </c>
      <c r="BG11" s="52">
        <v>-1537</v>
      </c>
      <c r="BH11" s="52">
        <v>-1022</v>
      </c>
      <c r="BI11" s="17">
        <v>-1245</v>
      </c>
      <c r="BJ11" s="16">
        <v>-1101</v>
      </c>
      <c r="BK11" s="52">
        <v>-799</v>
      </c>
      <c r="BL11" s="52">
        <v>-1378</v>
      </c>
      <c r="BM11" s="52">
        <v>-1674</v>
      </c>
      <c r="BN11" s="52">
        <v>-1421</v>
      </c>
      <c r="BO11" s="52">
        <v>-1103</v>
      </c>
      <c r="BP11" s="52">
        <v>-1524</v>
      </c>
      <c r="BQ11" s="52">
        <v>-684</v>
      </c>
      <c r="BR11" s="52">
        <v>-1254</v>
      </c>
      <c r="BS11" s="17">
        <v>-1613</v>
      </c>
      <c r="BT11" s="16">
        <v>-1567</v>
      </c>
      <c r="BU11" s="52">
        <v>-1299</v>
      </c>
      <c r="BV11" s="52">
        <v>-1492</v>
      </c>
      <c r="BW11" s="52">
        <v>-1155</v>
      </c>
      <c r="BX11" s="52">
        <v>-1351</v>
      </c>
      <c r="BY11" s="52">
        <v>-1117</v>
      </c>
      <c r="BZ11" s="52">
        <v>-1108</v>
      </c>
      <c r="CA11" s="52">
        <v>-1460</v>
      </c>
      <c r="CB11" s="52">
        <v>-1537</v>
      </c>
      <c r="CC11" s="17">
        <v>-1072</v>
      </c>
      <c r="CD11" s="16">
        <v>-1315</v>
      </c>
      <c r="CE11" s="52">
        <v>-1154</v>
      </c>
      <c r="CF11" s="52">
        <v>-1264</v>
      </c>
      <c r="CG11" s="52">
        <v>-1134</v>
      </c>
      <c r="CH11" s="52">
        <v>-1315</v>
      </c>
      <c r="CI11" s="52">
        <v>-982</v>
      </c>
      <c r="CJ11" s="52">
        <v>-1601</v>
      </c>
      <c r="CK11" s="52">
        <v>-1260</v>
      </c>
      <c r="CL11" s="52">
        <v>-1349</v>
      </c>
      <c r="CM11" s="17">
        <v>-1544</v>
      </c>
      <c r="CN11" s="16">
        <v>-1519</v>
      </c>
      <c r="CO11" s="52">
        <v>-394</v>
      </c>
      <c r="CP11" s="52">
        <v>-1278</v>
      </c>
      <c r="CQ11" s="52">
        <v>-900</v>
      </c>
      <c r="CR11" s="52">
        <v>-1782</v>
      </c>
      <c r="CS11" s="52">
        <v>-1176</v>
      </c>
      <c r="CT11" s="52">
        <v>-1215</v>
      </c>
      <c r="CU11" s="52">
        <v>-1672</v>
      </c>
      <c r="CV11" s="52">
        <v>-1353</v>
      </c>
      <c r="CW11" s="17">
        <v>-1453</v>
      </c>
      <c r="CX11" s="16">
        <v>-1057</v>
      </c>
      <c r="CY11" s="52">
        <v>-765</v>
      </c>
      <c r="CZ11" s="52">
        <v>-548</v>
      </c>
      <c r="DA11" s="52">
        <v>-1661</v>
      </c>
      <c r="DB11" s="52">
        <v>-2314</v>
      </c>
      <c r="DC11" s="52">
        <v>-496</v>
      </c>
      <c r="DD11" s="52">
        <v>-2930</v>
      </c>
      <c r="DE11" s="52">
        <v>-750</v>
      </c>
      <c r="DF11" s="52">
        <v>-823</v>
      </c>
      <c r="DG11" s="17">
        <v>-1965</v>
      </c>
      <c r="DH11" s="16">
        <v>-979</v>
      </c>
      <c r="DI11" s="52">
        <v>-1257</v>
      </c>
      <c r="DJ11" s="52">
        <v>-1389</v>
      </c>
      <c r="DK11" s="52">
        <v>-1431</v>
      </c>
      <c r="DL11" s="52">
        <v>-1094</v>
      </c>
      <c r="DM11" s="52">
        <v>-987</v>
      </c>
      <c r="DN11" s="52">
        <v>-1666</v>
      </c>
      <c r="DO11" s="52">
        <v>-1261</v>
      </c>
      <c r="DP11" s="52">
        <v>-1184</v>
      </c>
      <c r="DQ11" s="17">
        <v>-1109</v>
      </c>
    </row>
    <row r="12" spans="1:129" ht="15.75">
      <c r="A12" s="99" t="s">
        <v>381</v>
      </c>
      <c r="B12" s="100">
        <f t="shared" ref="B12:AR12" si="15">B$8*LN((2100-B$11)/B$9)+B$10</f>
        <v>758.15657802061924</v>
      </c>
      <c r="C12" s="101">
        <f t="shared" si="15"/>
        <v>711.09383984346277</v>
      </c>
      <c r="D12" s="101">
        <f t="shared" si="15"/>
        <v>761.10070137000298</v>
      </c>
      <c r="E12" s="101">
        <f t="shared" si="15"/>
        <v>781.18398595319786</v>
      </c>
      <c r="F12" s="101">
        <f t="shared" si="15"/>
        <v>737.42507101766705</v>
      </c>
      <c r="G12" s="101">
        <f t="shared" si="15"/>
        <v>758.15892593506896</v>
      </c>
      <c r="H12" s="101">
        <f t="shared" si="15"/>
        <v>799.77631831426652</v>
      </c>
      <c r="I12" s="101">
        <f t="shared" si="15"/>
        <v>774.78043700550188</v>
      </c>
      <c r="J12" s="101">
        <f t="shared" si="15"/>
        <v>715.99154526489485</v>
      </c>
      <c r="K12" s="101">
        <f t="shared" si="15"/>
        <v>767.47946492496226</v>
      </c>
      <c r="L12" s="101">
        <f t="shared" si="15"/>
        <v>692.51968363816479</v>
      </c>
      <c r="M12" s="101">
        <f t="shared" si="15"/>
        <v>787.20026116948122</v>
      </c>
      <c r="N12" s="101">
        <f t="shared" si="15"/>
        <v>849.05947297956754</v>
      </c>
      <c r="O12" s="101">
        <f t="shared" si="15"/>
        <v>772.89295776928361</v>
      </c>
      <c r="P12" s="101">
        <f t="shared" si="15"/>
        <v>768.7726246203348</v>
      </c>
      <c r="Q12" s="101">
        <f t="shared" si="15"/>
        <v>776.70868253223205</v>
      </c>
      <c r="R12" s="101">
        <f t="shared" si="15"/>
        <v>772.65265396823452</v>
      </c>
      <c r="S12" s="101">
        <f t="shared" si="15"/>
        <v>817.5265124369638</v>
      </c>
      <c r="T12" s="101">
        <f t="shared" si="15"/>
        <v>794.07175861353358</v>
      </c>
      <c r="U12" s="101">
        <f t="shared" si="15"/>
        <v>764.21123507872358</v>
      </c>
      <c r="V12" s="102">
        <f t="shared" si="15"/>
        <v>790.61532884479334</v>
      </c>
      <c r="W12" s="101">
        <f t="shared" si="15"/>
        <v>792.0631264002227</v>
      </c>
      <c r="X12" s="101">
        <f t="shared" si="15"/>
        <v>757.27695480183775</v>
      </c>
      <c r="Y12" s="101">
        <f t="shared" si="15"/>
        <v>729.88398229040706</v>
      </c>
      <c r="Z12" s="103">
        <f t="shared" si="15"/>
        <v>766.9500350700481</v>
      </c>
      <c r="AA12" s="101">
        <f t="shared" si="15"/>
        <v>792.77191547684902</v>
      </c>
      <c r="AB12" s="101">
        <f t="shared" si="15"/>
        <v>781.2772031642894</v>
      </c>
      <c r="AC12" s="101">
        <f t="shared" si="15"/>
        <v>871.38616238923896</v>
      </c>
      <c r="AD12" s="101">
        <f t="shared" si="15"/>
        <v>753.03917836265612</v>
      </c>
      <c r="AE12" s="101">
        <f t="shared" si="15"/>
        <v>715.32874434979044</v>
      </c>
      <c r="AF12" s="101">
        <f t="shared" si="15"/>
        <v>751.55142560684578</v>
      </c>
      <c r="AG12" s="101">
        <f t="shared" si="15"/>
        <v>781.6204795256233</v>
      </c>
      <c r="AH12" s="101">
        <f t="shared" si="15"/>
        <v>799.64253252696517</v>
      </c>
      <c r="AI12" s="101">
        <f t="shared" si="15"/>
        <v>795.10182816481233</v>
      </c>
      <c r="AJ12" s="101">
        <f t="shared" si="15"/>
        <v>801.11328065142891</v>
      </c>
      <c r="AK12" s="101">
        <f t="shared" si="15"/>
        <v>783.7443609472499</v>
      </c>
      <c r="AL12" s="101">
        <f t="shared" si="15"/>
        <v>757.92054040131711</v>
      </c>
      <c r="AM12" s="101">
        <f t="shared" si="15"/>
        <v>761.59325605639708</v>
      </c>
      <c r="AN12" s="101">
        <f t="shared" si="15"/>
        <v>733.47909222608621</v>
      </c>
      <c r="AO12" s="101">
        <f t="shared" si="15"/>
        <v>772.22884228421435</v>
      </c>
      <c r="AP12" s="70">
        <f t="shared" si="15"/>
        <v>744.49728264682415</v>
      </c>
      <c r="AQ12" s="71">
        <f t="shared" si="15"/>
        <v>718.3025017581399</v>
      </c>
      <c r="AR12" s="71">
        <f t="shared" si="15"/>
        <v>726.85125037342709</v>
      </c>
      <c r="AS12" s="71">
        <f>AS$8*LN((2100-AS$11)/AS$9)+AS$10</f>
        <v>713.34243022169335</v>
      </c>
      <c r="AT12" s="71">
        <f t="shared" ref="AT12:DQ12" si="16">AT$8*LN((2100-AT$11)/AT$9)+AT$10</f>
        <v>751.66722384510695</v>
      </c>
      <c r="AU12" s="71">
        <f t="shared" si="16"/>
        <v>732.08430248526929</v>
      </c>
      <c r="AV12" s="187">
        <f t="shared" si="16"/>
        <v>693.49832888710716</v>
      </c>
      <c r="AW12" s="71">
        <f t="shared" si="16"/>
        <v>757.55465798384432</v>
      </c>
      <c r="AX12" s="71">
        <f t="shared" si="16"/>
        <v>706.09271763447555</v>
      </c>
      <c r="AY12" s="72">
        <f t="shared" si="16"/>
        <v>725.181327372542</v>
      </c>
      <c r="AZ12" s="70">
        <f t="shared" si="16"/>
        <v>727.49123533952445</v>
      </c>
      <c r="BA12" s="71">
        <f t="shared" si="16"/>
        <v>797.5048623678822</v>
      </c>
      <c r="BB12" s="71">
        <f t="shared" si="16"/>
        <v>766.91209548745292</v>
      </c>
      <c r="BC12" s="71">
        <f t="shared" si="16"/>
        <v>758.99181128223347</v>
      </c>
      <c r="BD12" s="71">
        <f t="shared" si="16"/>
        <v>771.06583289288619</v>
      </c>
      <c r="BE12" s="71">
        <f t="shared" si="16"/>
        <v>761.57816542059265</v>
      </c>
      <c r="BF12" s="71">
        <f t="shared" si="16"/>
        <v>645.33600044667583</v>
      </c>
      <c r="BG12" s="71">
        <f t="shared" si="16"/>
        <v>761.11077580387609</v>
      </c>
      <c r="BH12" s="71">
        <f t="shared" si="16"/>
        <v>721.95243236855845</v>
      </c>
      <c r="BI12" s="72">
        <f t="shared" si="16"/>
        <v>726.20971702268366</v>
      </c>
      <c r="BJ12" s="70">
        <f t="shared" si="16"/>
        <v>741.67123886319689</v>
      </c>
      <c r="BK12" s="71">
        <f t="shared" si="16"/>
        <v>745.90692856136491</v>
      </c>
      <c r="BL12" s="71">
        <f t="shared" si="16"/>
        <v>765.13323589977665</v>
      </c>
      <c r="BM12" s="71">
        <f t="shared" si="16"/>
        <v>776.74423485530281</v>
      </c>
      <c r="BN12" s="71">
        <f t="shared" si="16"/>
        <v>767.4518654908652</v>
      </c>
      <c r="BO12" s="71">
        <f t="shared" si="16"/>
        <v>745.71764791807573</v>
      </c>
      <c r="BP12" s="71">
        <f t="shared" si="16"/>
        <v>755.20859430114615</v>
      </c>
      <c r="BQ12" s="71">
        <f t="shared" si="16"/>
        <v>800.27514565295962</v>
      </c>
      <c r="BR12" s="71">
        <f t="shared" si="16"/>
        <v>756.92069542766797</v>
      </c>
      <c r="BS12" s="72">
        <f t="shared" si="16"/>
        <v>779.21858810046854</v>
      </c>
      <c r="BT12" s="70">
        <f t="shared" si="16"/>
        <v>758.23675300747823</v>
      </c>
      <c r="BU12" s="71">
        <f t="shared" si="16"/>
        <v>757.42950591534941</v>
      </c>
      <c r="BV12" s="71">
        <f t="shared" si="16"/>
        <v>775.28902756300226</v>
      </c>
      <c r="BW12" s="71">
        <f t="shared" si="16"/>
        <v>764.28546471806931</v>
      </c>
      <c r="BX12" s="71">
        <f t="shared" si="16"/>
        <v>758.0374097940504</v>
      </c>
      <c r="BY12" s="71">
        <f t="shared" si="16"/>
        <v>777.17303879135136</v>
      </c>
      <c r="BZ12" s="71">
        <f t="shared" si="16"/>
        <v>724.72163303104878</v>
      </c>
      <c r="CA12" s="71">
        <f t="shared" si="16"/>
        <v>758.67470459438346</v>
      </c>
      <c r="CB12" s="71">
        <f t="shared" si="16"/>
        <v>757.25561531976791</v>
      </c>
      <c r="CC12" s="72">
        <f t="shared" si="16"/>
        <v>746.94350519989177</v>
      </c>
      <c r="CD12" s="70">
        <f t="shared" si="16"/>
        <v>730.44791701841154</v>
      </c>
      <c r="CE12" s="71">
        <f t="shared" si="16"/>
        <v>745.37232064369573</v>
      </c>
      <c r="CF12" s="71">
        <f t="shared" si="16"/>
        <v>751.33720939448096</v>
      </c>
      <c r="CG12" s="71">
        <f t="shared" si="16"/>
        <v>742.67778345889906</v>
      </c>
      <c r="CH12" s="71">
        <f t="shared" si="16"/>
        <v>762.64872084504736</v>
      </c>
      <c r="CI12" s="71">
        <f t="shared" si="16"/>
        <v>794.2195816783327</v>
      </c>
      <c r="CJ12" s="71">
        <f t="shared" si="16"/>
        <v>731.30629901878308</v>
      </c>
      <c r="CK12" s="71">
        <f t="shared" si="16"/>
        <v>763.7561671452645</v>
      </c>
      <c r="CL12" s="71">
        <f t="shared" si="16"/>
        <v>755.43564613992612</v>
      </c>
      <c r="CM12" s="72">
        <f t="shared" si="16"/>
        <v>717.45442444806349</v>
      </c>
      <c r="CN12" s="70">
        <f t="shared" si="16"/>
        <v>774.55409558024166</v>
      </c>
      <c r="CO12" s="71">
        <f t="shared" si="16"/>
        <v>817.05403288267019</v>
      </c>
      <c r="CP12" s="71">
        <f t="shared" si="16"/>
        <v>784.17621500123096</v>
      </c>
      <c r="CQ12" s="71">
        <f t="shared" si="16"/>
        <v>794.50624491661324</v>
      </c>
      <c r="CR12" s="71">
        <f t="shared" si="16"/>
        <v>791.60953005957867</v>
      </c>
      <c r="CS12" s="71">
        <f t="shared" si="16"/>
        <v>792.63382036969529</v>
      </c>
      <c r="CT12" s="71">
        <f t="shared" si="16"/>
        <v>767.03887751150455</v>
      </c>
      <c r="CU12" s="71">
        <f t="shared" si="16"/>
        <v>777.41894927331009</v>
      </c>
      <c r="CV12" s="71">
        <f t="shared" si="16"/>
        <v>771.29095581302352</v>
      </c>
      <c r="CW12" s="72">
        <f t="shared" si="16"/>
        <v>718.27567920047125</v>
      </c>
      <c r="CX12" s="70">
        <f t="shared" si="16"/>
        <v>734.2521132405891</v>
      </c>
      <c r="CY12" s="71">
        <f t="shared" si="16"/>
        <v>733.78559253065748</v>
      </c>
      <c r="CZ12" s="71">
        <f t="shared" si="16"/>
        <v>751.8374650070615</v>
      </c>
      <c r="DA12" s="71">
        <f t="shared" si="16"/>
        <v>769.62582411375683</v>
      </c>
      <c r="DB12" s="71">
        <f t="shared" si="16"/>
        <v>782.86320283448003</v>
      </c>
      <c r="DC12" s="71">
        <f t="shared" si="16"/>
        <v>735.49209132672684</v>
      </c>
      <c r="DD12" s="71">
        <f t="shared" si="16"/>
        <v>792.69338947751157</v>
      </c>
      <c r="DE12" s="71">
        <f t="shared" si="16"/>
        <v>746.54914182667915</v>
      </c>
      <c r="DF12" s="71">
        <f t="shared" si="16"/>
        <v>735.79593788833677</v>
      </c>
      <c r="DG12" s="72">
        <f t="shared" si="16"/>
        <v>740.91577964897738</v>
      </c>
      <c r="DH12" s="70">
        <f t="shared" si="16"/>
        <v>726.08618966326833</v>
      </c>
      <c r="DI12" s="71">
        <f t="shared" si="16"/>
        <v>787.61509434246727</v>
      </c>
      <c r="DJ12" s="71">
        <f t="shared" si="16"/>
        <v>768.13495782083032</v>
      </c>
      <c r="DK12" s="71">
        <f t="shared" si="16"/>
        <v>746.57077754851082</v>
      </c>
      <c r="DL12" s="71">
        <f t="shared" si="16"/>
        <v>757.33472403254393</v>
      </c>
      <c r="DM12" s="71">
        <f t="shared" si="16"/>
        <v>804.31562962566409</v>
      </c>
      <c r="DN12" s="71">
        <f t="shared" si="16"/>
        <v>766.86092180271623</v>
      </c>
      <c r="DO12" s="71">
        <f t="shared" si="16"/>
        <v>780.66131683489095</v>
      </c>
      <c r="DP12" s="71">
        <f t="shared" si="16"/>
        <v>722.35486139937984</v>
      </c>
      <c r="DQ12" s="72">
        <f t="shared" si="16"/>
        <v>729.61980152948729</v>
      </c>
      <c r="DR12" s="101"/>
      <c r="DS12" s="101"/>
      <c r="DT12" s="101"/>
      <c r="DU12" s="101"/>
      <c r="DV12" s="101"/>
      <c r="DW12" s="101"/>
      <c r="DX12" s="101"/>
      <c r="DY12" s="104"/>
    </row>
    <row r="13" spans="1:129" ht="18.75">
      <c r="B13" s="105" t="s">
        <v>19</v>
      </c>
      <c r="G13" s="73" t="s">
        <v>38</v>
      </c>
      <c r="L13" s="73" t="s">
        <v>54</v>
      </c>
      <c r="Q13" s="73" t="s">
        <v>72</v>
      </c>
      <c r="V13" s="73" t="s">
        <v>92</v>
      </c>
      <c r="AA13" s="73" t="s">
        <v>112</v>
      </c>
      <c r="AF13" s="73" t="s">
        <v>139</v>
      </c>
      <c r="AK13" s="73" t="s">
        <v>161</v>
      </c>
      <c r="AP13" s="73" t="s">
        <v>178</v>
      </c>
      <c r="AZ13" s="73" t="s">
        <v>221</v>
      </c>
      <c r="BJ13" s="73" t="s">
        <v>251</v>
      </c>
      <c r="BT13" s="73" t="s">
        <v>333</v>
      </c>
      <c r="CD13" s="73" t="s">
        <v>284</v>
      </c>
      <c r="CN13" s="73" t="s">
        <v>304</v>
      </c>
      <c r="CX13" s="73" t="s">
        <v>274</v>
      </c>
      <c r="DH13" s="73" t="s">
        <v>346</v>
      </c>
    </row>
    <row r="16" spans="1:129">
      <c r="BP16" s="8" t="s">
        <v>391</v>
      </c>
      <c r="DK16" s="8" t="s">
        <v>392</v>
      </c>
    </row>
    <row r="17" spans="68:115">
      <c r="BP17" s="8" t="s">
        <v>393</v>
      </c>
      <c r="DK17" s="8" t="s">
        <v>394</v>
      </c>
    </row>
    <row r="18" spans="68:115">
      <c r="BP18" s="8" t="s">
        <v>395</v>
      </c>
      <c r="DK18" s="8" t="s">
        <v>396</v>
      </c>
    </row>
    <row r="19" spans="68:115">
      <c r="BP19" s="8" t="s">
        <v>397</v>
      </c>
      <c r="DK19" s="8" t="s">
        <v>398</v>
      </c>
    </row>
    <row r="21" spans="68:115" ht="15.75" customHeight="1"/>
    <row r="22" spans="68:115" ht="15.75" customHeight="1"/>
    <row r="23" spans="68:115" ht="15.75" customHeight="1"/>
    <row r="24" spans="68:115" ht="15.75" customHeight="1"/>
    <row r="25" spans="68:115" ht="15.75" customHeight="1"/>
    <row r="26" spans="68:115" ht="15.75" customHeight="1"/>
    <row r="27" spans="68:115" ht="15.75" customHeight="1"/>
    <row r="28" spans="68:115" ht="15.75" customHeight="1"/>
    <row r="29" spans="68:115" ht="15.75" customHeight="1"/>
    <row r="30" spans="68:115" ht="15.75" customHeight="1"/>
    <row r="31" spans="68:115" ht="15.75" customHeight="1"/>
    <row r="32" spans="68: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000"/>
  <sheetViews>
    <sheetView workbookViewId="0"/>
  </sheetViews>
  <sheetFormatPr defaultColWidth="14.42578125" defaultRowHeight="15" customHeight="1"/>
  <cols>
    <col min="1" max="3" width="8.85546875" customWidth="1"/>
    <col min="4" max="4" width="10.28515625" customWidth="1"/>
    <col min="5" max="5" width="10" customWidth="1"/>
    <col min="6" max="6" width="10.85546875" customWidth="1"/>
    <col min="7" max="7" width="16.28515625" customWidth="1"/>
    <col min="8" max="8" width="12.7109375" customWidth="1"/>
    <col min="9" max="9" width="8.85546875" customWidth="1"/>
    <col min="10" max="10" width="17.140625" customWidth="1"/>
    <col min="11" max="11" width="11.140625" customWidth="1"/>
    <col min="12" max="12" width="11.42578125" customWidth="1"/>
    <col min="13" max="26" width="8.85546875" customWidth="1"/>
  </cols>
  <sheetData>
    <row r="2" spans="2:16" ht="31.5">
      <c r="B2" s="106" t="s">
        <v>399</v>
      </c>
      <c r="C2" s="1" t="s">
        <v>400</v>
      </c>
      <c r="D2" s="2" t="s">
        <v>401</v>
      </c>
      <c r="E2" s="2" t="s">
        <v>402</v>
      </c>
      <c r="F2" s="2" t="s">
        <v>403</v>
      </c>
      <c r="G2" s="2" t="s">
        <v>404</v>
      </c>
      <c r="H2" s="3" t="s">
        <v>405</v>
      </c>
      <c r="I2" s="107"/>
      <c r="J2" s="106" t="s">
        <v>406</v>
      </c>
      <c r="K2" s="1" t="s">
        <v>407</v>
      </c>
      <c r="L2" s="2" t="s">
        <v>408</v>
      </c>
      <c r="M2" s="2" t="s">
        <v>409</v>
      </c>
      <c r="N2" s="3" t="s">
        <v>410</v>
      </c>
      <c r="O2" s="107" t="s">
        <v>405</v>
      </c>
      <c r="P2" s="107"/>
    </row>
    <row r="3" spans="2:16">
      <c r="C3" s="108"/>
      <c r="D3" s="108"/>
      <c r="E3" s="108" t="s">
        <v>411</v>
      </c>
      <c r="F3" s="8">
        <v>727.48</v>
      </c>
      <c r="G3" s="8" t="s">
        <v>412</v>
      </c>
      <c r="H3" s="109">
        <v>45359</v>
      </c>
      <c r="K3" s="8" t="s">
        <v>112</v>
      </c>
      <c r="L3" s="8" t="s">
        <v>413</v>
      </c>
      <c r="M3" s="8" t="s">
        <v>414</v>
      </c>
      <c r="N3" s="8">
        <v>800</v>
      </c>
      <c r="O3" s="109">
        <v>45360</v>
      </c>
    </row>
    <row r="4" spans="2:16">
      <c r="C4" s="108"/>
      <c r="D4" s="108"/>
      <c r="E4" s="108" t="s">
        <v>411</v>
      </c>
      <c r="F4" s="8">
        <v>727.53</v>
      </c>
      <c r="G4" s="8" t="s">
        <v>415</v>
      </c>
      <c r="H4" s="109">
        <v>45362</v>
      </c>
      <c r="K4" s="8" t="s">
        <v>112</v>
      </c>
      <c r="L4" s="8" t="s">
        <v>416</v>
      </c>
      <c r="M4" s="8" t="s">
        <v>417</v>
      </c>
      <c r="N4" s="8">
        <v>800</v>
      </c>
      <c r="O4" s="109">
        <v>45362</v>
      </c>
    </row>
    <row r="5" spans="2:16">
      <c r="C5" s="108" t="s">
        <v>411</v>
      </c>
      <c r="D5" s="108"/>
      <c r="E5" s="108"/>
      <c r="F5" s="8">
        <v>727.14</v>
      </c>
      <c r="G5" s="8" t="s">
        <v>418</v>
      </c>
      <c r="H5" s="109">
        <v>45362</v>
      </c>
      <c r="K5" s="8" t="s">
        <v>19</v>
      </c>
      <c r="L5" s="8" t="s">
        <v>419</v>
      </c>
      <c r="M5" s="8" t="s">
        <v>420</v>
      </c>
      <c r="N5" s="8">
        <v>800</v>
      </c>
      <c r="O5" s="109">
        <v>45363</v>
      </c>
    </row>
    <row r="6" spans="2:16">
      <c r="C6" s="108"/>
      <c r="D6" s="108"/>
      <c r="E6" s="108" t="s">
        <v>411</v>
      </c>
      <c r="F6" s="8">
        <v>726.14</v>
      </c>
      <c r="G6" s="8" t="s">
        <v>421</v>
      </c>
      <c r="H6" s="109">
        <v>45363</v>
      </c>
      <c r="K6" s="8" t="s">
        <v>19</v>
      </c>
      <c r="L6" s="8" t="s">
        <v>422</v>
      </c>
      <c r="M6" s="8" t="s">
        <v>423</v>
      </c>
      <c r="N6" s="8">
        <v>800</v>
      </c>
      <c r="O6" s="109">
        <v>45363</v>
      </c>
    </row>
    <row r="7" spans="2:16">
      <c r="C7" s="108"/>
      <c r="D7" s="108" t="s">
        <v>411</v>
      </c>
      <c r="E7" s="108"/>
      <c r="K7" s="8" t="s">
        <v>54</v>
      </c>
      <c r="L7" s="8" t="s">
        <v>424</v>
      </c>
      <c r="M7" s="8" t="s">
        <v>425</v>
      </c>
      <c r="N7" s="8">
        <v>800</v>
      </c>
      <c r="O7" s="109">
        <v>45364</v>
      </c>
    </row>
    <row r="8" spans="2:16">
      <c r="C8" s="108" t="s">
        <v>411</v>
      </c>
      <c r="D8" s="108"/>
      <c r="E8" s="108"/>
      <c r="F8" s="8">
        <v>726</v>
      </c>
      <c r="G8" s="8" t="s">
        <v>426</v>
      </c>
      <c r="H8" s="109">
        <v>45363</v>
      </c>
      <c r="K8" s="8" t="s">
        <v>54</v>
      </c>
      <c r="L8" s="8" t="s">
        <v>422</v>
      </c>
      <c r="M8" s="8" t="s">
        <v>417</v>
      </c>
      <c r="N8" s="8">
        <v>800</v>
      </c>
      <c r="O8" s="109">
        <v>45364</v>
      </c>
    </row>
    <row r="9" spans="2:16">
      <c r="C9" s="108"/>
      <c r="D9" s="108"/>
      <c r="E9" s="108" t="s">
        <v>411</v>
      </c>
      <c r="F9" s="8">
        <v>725.48</v>
      </c>
      <c r="G9" s="8" t="s">
        <v>427</v>
      </c>
      <c r="H9" s="109">
        <v>45364</v>
      </c>
      <c r="K9" s="8" t="s">
        <v>92</v>
      </c>
      <c r="L9" s="8" t="s">
        <v>428</v>
      </c>
      <c r="M9" s="8" t="s">
        <v>413</v>
      </c>
      <c r="N9" s="8">
        <v>800</v>
      </c>
      <c r="O9" s="109">
        <v>45365</v>
      </c>
    </row>
    <row r="10" spans="2:16">
      <c r="C10" s="8" t="s">
        <v>411</v>
      </c>
      <c r="F10" s="8">
        <v>726.8</v>
      </c>
      <c r="G10" s="8" t="s">
        <v>420</v>
      </c>
      <c r="H10" s="109">
        <v>45364</v>
      </c>
      <c r="K10" s="8" t="s">
        <v>92</v>
      </c>
      <c r="L10" s="8" t="s">
        <v>429</v>
      </c>
      <c r="N10" s="8">
        <v>800</v>
      </c>
      <c r="O10" s="109">
        <v>45365</v>
      </c>
    </row>
    <row r="11" spans="2:16">
      <c r="E11" s="8" t="s">
        <v>411</v>
      </c>
      <c r="F11" s="8">
        <v>725.44</v>
      </c>
      <c r="G11" s="8" t="s">
        <v>430</v>
      </c>
      <c r="H11" s="109">
        <v>45365</v>
      </c>
      <c r="K11" s="8" t="s">
        <v>139</v>
      </c>
      <c r="L11" s="51">
        <v>0.34027777777777773</v>
      </c>
      <c r="N11" s="8">
        <v>800</v>
      </c>
      <c r="O11" s="109">
        <v>45366</v>
      </c>
    </row>
    <row r="12" spans="2:16">
      <c r="F12" s="8">
        <v>721.36</v>
      </c>
      <c r="G12" s="51">
        <v>0.34722222222222227</v>
      </c>
      <c r="H12" s="109">
        <v>45366</v>
      </c>
      <c r="K12" s="8" t="s">
        <v>161</v>
      </c>
      <c r="L12" s="51">
        <v>0.32291666666666669</v>
      </c>
      <c r="N12" s="8">
        <v>800</v>
      </c>
      <c r="O12" s="109">
        <v>45369</v>
      </c>
    </row>
    <row r="13" spans="2:16">
      <c r="F13" s="8">
        <v>722.02</v>
      </c>
      <c r="G13" s="51">
        <v>0.31944444444444448</v>
      </c>
      <c r="H13" s="109">
        <v>45369</v>
      </c>
      <c r="K13" s="8" t="s">
        <v>38</v>
      </c>
      <c r="L13" s="40">
        <v>0.33680555555555558</v>
      </c>
      <c r="N13" s="8">
        <v>800</v>
      </c>
      <c r="O13" s="109">
        <v>45370</v>
      </c>
    </row>
    <row r="14" spans="2:16">
      <c r="D14" s="8" t="s">
        <v>431</v>
      </c>
      <c r="H14" s="109">
        <v>45369</v>
      </c>
      <c r="K14" s="8" t="s">
        <v>72</v>
      </c>
      <c r="L14" s="40">
        <v>0.33333333333333331</v>
      </c>
      <c r="N14" s="8">
        <v>800</v>
      </c>
      <c r="O14" s="109">
        <v>45371</v>
      </c>
    </row>
    <row r="15" spans="2:16">
      <c r="C15" s="8" t="s">
        <v>431</v>
      </c>
      <c r="G15" s="8" t="s">
        <v>432</v>
      </c>
      <c r="H15" s="109">
        <v>45369</v>
      </c>
      <c r="K15" s="8" t="s">
        <v>72</v>
      </c>
      <c r="L15" s="8" t="s">
        <v>433</v>
      </c>
      <c r="M15" s="8" t="s">
        <v>434</v>
      </c>
      <c r="N15" s="8">
        <v>800</v>
      </c>
      <c r="O15" s="109">
        <v>45376</v>
      </c>
    </row>
    <row r="16" spans="2:16">
      <c r="F16" s="8">
        <v>719.09</v>
      </c>
      <c r="G16" s="40">
        <v>0.33680555555555558</v>
      </c>
      <c r="H16" s="109">
        <v>45370</v>
      </c>
      <c r="K16" s="8" t="s">
        <v>19</v>
      </c>
      <c r="L16" s="40">
        <v>0.47916666666666669</v>
      </c>
      <c r="M16" s="8" t="s">
        <v>435</v>
      </c>
      <c r="N16" s="8">
        <v>800</v>
      </c>
      <c r="O16" s="109">
        <v>45377</v>
      </c>
    </row>
    <row r="17" spans="3:15">
      <c r="F17" s="8">
        <v>721</v>
      </c>
      <c r="G17" s="40">
        <v>0.33333333333333331</v>
      </c>
      <c r="H17" s="109">
        <v>45371</v>
      </c>
      <c r="K17" s="8" t="s">
        <v>19</v>
      </c>
      <c r="L17" s="8" t="s">
        <v>436</v>
      </c>
      <c r="N17" s="8">
        <v>800</v>
      </c>
      <c r="O17" s="109">
        <v>45378</v>
      </c>
    </row>
    <row r="18" spans="3:15">
      <c r="C18" s="8" t="s">
        <v>411</v>
      </c>
      <c r="F18" s="8">
        <v>724.53</v>
      </c>
      <c r="G18" s="40">
        <v>0.48958333333333331</v>
      </c>
      <c r="H18" s="109">
        <v>45376</v>
      </c>
    </row>
    <row r="19" spans="3:15">
      <c r="E19" s="8" t="s">
        <v>411</v>
      </c>
      <c r="F19" s="8">
        <v>723.86</v>
      </c>
      <c r="G19" s="8" t="s">
        <v>434</v>
      </c>
      <c r="H19" s="109">
        <v>45376</v>
      </c>
    </row>
    <row r="20" spans="3:15">
      <c r="C20" s="8" t="s">
        <v>411</v>
      </c>
      <c r="F20" s="8">
        <v>724.51</v>
      </c>
      <c r="G20" s="8" t="s">
        <v>437</v>
      </c>
      <c r="H20" s="109">
        <v>45377</v>
      </c>
    </row>
    <row r="21" spans="3:15" ht="15.75" customHeight="1">
      <c r="C21" s="8" t="s">
        <v>411</v>
      </c>
      <c r="F21" s="8">
        <v>725.75</v>
      </c>
      <c r="G21" s="8" t="s">
        <v>438</v>
      </c>
      <c r="H21" s="109">
        <v>45378</v>
      </c>
    </row>
    <row r="22" spans="3:15" ht="15.75" customHeight="1">
      <c r="C22" s="8" t="s">
        <v>431</v>
      </c>
      <c r="F22" s="8">
        <v>724.07</v>
      </c>
      <c r="G22" s="40" t="s">
        <v>439</v>
      </c>
      <c r="H22" s="109">
        <v>45384</v>
      </c>
    </row>
    <row r="23" spans="3:15" ht="15.75" customHeight="1"/>
    <row r="24" spans="3:15" ht="15.75" customHeight="1"/>
    <row r="25" spans="3:15" ht="15.75" customHeight="1"/>
    <row r="26" spans="3:15" ht="15.75" customHeight="1"/>
    <row r="27" spans="3:15" ht="15.75" customHeight="1"/>
    <row r="28" spans="3:15" ht="15.75" customHeight="1"/>
    <row r="29" spans="3:15" ht="15.75" customHeight="1"/>
    <row r="30" spans="3:15" ht="15.75" customHeight="1"/>
    <row r="31" spans="3:15" ht="15.75" customHeight="1"/>
    <row r="32" spans="3: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1000"/>
  <sheetViews>
    <sheetView workbookViewId="0"/>
  </sheetViews>
  <sheetFormatPr defaultColWidth="14.42578125" defaultRowHeight="15" customHeight="1"/>
  <cols>
    <col min="1" max="1" width="8.85546875" customWidth="1"/>
    <col min="2" max="2" width="14.7109375" customWidth="1"/>
    <col min="3" max="3" width="13.7109375" customWidth="1"/>
    <col min="4" max="4" width="8.85546875" customWidth="1"/>
    <col min="5" max="5" width="11.28515625" customWidth="1"/>
    <col min="6" max="6" width="12.140625" customWidth="1"/>
    <col min="7" max="7" width="11.140625" customWidth="1"/>
    <col min="8" max="8" width="10" customWidth="1"/>
    <col min="9" max="10" width="8.85546875" customWidth="1"/>
    <col min="11" max="11" width="15.85546875" customWidth="1"/>
    <col min="12" max="13" width="8.85546875" customWidth="1"/>
    <col min="14" max="14" width="11" customWidth="1"/>
    <col min="15" max="26" width="8.85546875" customWidth="1"/>
  </cols>
  <sheetData>
    <row r="2" spans="2:15" ht="31.5">
      <c r="B2" s="110" t="s">
        <v>3</v>
      </c>
      <c r="C2" s="1" t="s">
        <v>440</v>
      </c>
      <c r="D2" s="2" t="s">
        <v>441</v>
      </c>
      <c r="E2" s="2" t="s">
        <v>442</v>
      </c>
      <c r="F2" s="2" t="s">
        <v>443</v>
      </c>
      <c r="G2" s="2" t="s">
        <v>444</v>
      </c>
      <c r="H2" s="2" t="s">
        <v>445</v>
      </c>
      <c r="I2" s="2" t="s">
        <v>446</v>
      </c>
      <c r="J2" s="2" t="s">
        <v>447</v>
      </c>
      <c r="K2" s="3" t="s">
        <v>448</v>
      </c>
    </row>
    <row r="3" spans="2:15">
      <c r="B3" s="8">
        <v>1</v>
      </c>
      <c r="C3" s="8">
        <v>6.18</v>
      </c>
      <c r="D3" s="8">
        <v>3.09</v>
      </c>
      <c r="E3" s="8">
        <v>1</v>
      </c>
      <c r="F3" s="8">
        <v>200</v>
      </c>
      <c r="G3" s="8">
        <v>8.4</v>
      </c>
      <c r="H3" s="8">
        <v>50</v>
      </c>
      <c r="I3" s="8">
        <v>10</v>
      </c>
      <c r="J3" s="8" t="s">
        <v>449</v>
      </c>
      <c r="K3" s="8">
        <f>ROUND(3000*1500/34622,0)</f>
        <v>130</v>
      </c>
    </row>
    <row r="4" spans="2:15">
      <c r="B4" s="8">
        <v>2</v>
      </c>
      <c r="C4" s="8">
        <v>6.3</v>
      </c>
      <c r="D4" s="8">
        <v>3.15</v>
      </c>
      <c r="E4" s="8">
        <v>1</v>
      </c>
      <c r="F4" s="8">
        <v>200</v>
      </c>
      <c r="G4" s="8">
        <v>8.4</v>
      </c>
      <c r="H4" s="8">
        <v>50</v>
      </c>
      <c r="I4" s="8">
        <v>10</v>
      </c>
      <c r="J4" s="8" t="s">
        <v>449</v>
      </c>
      <c r="K4" s="8">
        <f>ROUND(16910*1500/34622,0)</f>
        <v>733</v>
      </c>
    </row>
    <row r="5" spans="2:15">
      <c r="B5" s="8">
        <v>3</v>
      </c>
      <c r="C5" s="8">
        <v>6.42</v>
      </c>
      <c r="D5" s="8">
        <v>3.21</v>
      </c>
      <c r="E5" s="8">
        <v>1</v>
      </c>
      <c r="F5" s="8">
        <v>200</v>
      </c>
      <c r="G5" s="8">
        <v>8.4</v>
      </c>
      <c r="H5" s="8">
        <v>50</v>
      </c>
      <c r="I5" s="8">
        <v>10</v>
      </c>
      <c r="J5" s="8" t="s">
        <v>449</v>
      </c>
      <c r="K5" s="8">
        <f>ROUND(43600*1500/34622,0)</f>
        <v>1889</v>
      </c>
    </row>
    <row r="7" spans="2:15" ht="47.25">
      <c r="B7" s="110" t="s">
        <v>450</v>
      </c>
      <c r="C7" s="1" t="s">
        <v>451</v>
      </c>
      <c r="D7" s="2" t="s">
        <v>452</v>
      </c>
      <c r="E7" s="2" t="s">
        <v>453</v>
      </c>
      <c r="F7" s="2" t="s">
        <v>454</v>
      </c>
      <c r="G7" s="111" t="s">
        <v>455</v>
      </c>
      <c r="H7" s="2" t="s">
        <v>456</v>
      </c>
      <c r="I7" s="2" t="s">
        <v>457</v>
      </c>
      <c r="J7" s="2" t="s">
        <v>458</v>
      </c>
      <c r="K7" s="2" t="s">
        <v>459</v>
      </c>
      <c r="L7" s="3" t="s">
        <v>460</v>
      </c>
      <c r="N7" s="111" t="s">
        <v>461</v>
      </c>
      <c r="O7" s="8">
        <f>50*1000000*1.602E-19/L8</f>
        <v>1154.0808</v>
      </c>
    </row>
    <row r="8" spans="2:15">
      <c r="C8" s="8">
        <v>50</v>
      </c>
      <c r="D8" s="8">
        <v>300</v>
      </c>
      <c r="E8" s="8">
        <v>300</v>
      </c>
      <c r="F8" s="8">
        <v>36</v>
      </c>
      <c r="G8" s="8" t="s">
        <v>462</v>
      </c>
      <c r="H8" s="8">
        <v>16784</v>
      </c>
      <c r="I8" s="8">
        <v>1840</v>
      </c>
      <c r="J8" s="8">
        <v>7204</v>
      </c>
      <c r="K8" s="8">
        <v>500</v>
      </c>
      <c r="L8" s="8">
        <f>(K8*0.0000000001/1000)/J8</f>
        <v>6.9405885619100505E-15</v>
      </c>
      <c r="M8" s="8" t="s">
        <v>463</v>
      </c>
      <c r="N8" s="8">
        <v>1500</v>
      </c>
      <c r="O8" s="8">
        <f>1500*1000000*1.602E-19/L8</f>
        <v>34622.423999999999</v>
      </c>
    </row>
    <row r="9" spans="2:15">
      <c r="D9" s="109"/>
      <c r="N9" s="8">
        <v>2500</v>
      </c>
      <c r="O9" s="8">
        <f>N9*1000000*1.602E-19/L8</f>
        <v>57704.04</v>
      </c>
    </row>
    <row r="10" spans="2:15">
      <c r="D10" s="109"/>
      <c r="N10" s="8">
        <f>O10*L8/1.602E-19/1000000</f>
        <v>1949.6035286264187</v>
      </c>
      <c r="O10" s="8">
        <v>45000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1000"/>
  <sheetViews>
    <sheetView topLeftCell="P2" workbookViewId="0">
      <selection activeCell="AJ14" sqref="AJ14"/>
    </sheetView>
  </sheetViews>
  <sheetFormatPr defaultColWidth="14.42578125" defaultRowHeight="15" customHeight="1"/>
  <cols>
    <col min="1" max="1" width="13.140625" customWidth="1"/>
    <col min="2" max="2" width="28.5703125" bestFit="1" customWidth="1"/>
    <col min="3" max="5" width="22.42578125" bestFit="1" customWidth="1"/>
    <col min="6" max="6" width="19" bestFit="1" customWidth="1"/>
    <col min="7" max="12" width="8.85546875" customWidth="1"/>
    <col min="13" max="13" width="38" customWidth="1"/>
    <col min="14" max="14" width="7.85546875" customWidth="1"/>
    <col min="15" max="15" width="10.85546875" customWidth="1"/>
    <col min="16" max="16" width="47.140625" customWidth="1"/>
    <col min="17" max="40" width="8.85546875" customWidth="1"/>
  </cols>
  <sheetData>
    <row r="1" spans="1:40">
      <c r="A1" s="112" t="s">
        <v>407</v>
      </c>
      <c r="B1" s="112" t="s">
        <v>464</v>
      </c>
      <c r="C1" s="112">
        <v>-6</v>
      </c>
      <c r="D1" s="112">
        <v>-4</v>
      </c>
      <c r="E1" s="112">
        <v>-2</v>
      </c>
      <c r="F1" s="112">
        <v>0</v>
      </c>
      <c r="G1" s="112">
        <v>2</v>
      </c>
      <c r="H1" s="112">
        <v>4</v>
      </c>
      <c r="I1" s="112">
        <v>6</v>
      </c>
      <c r="J1" s="113" t="s">
        <v>465</v>
      </c>
      <c r="K1" s="112" t="s">
        <v>466</v>
      </c>
      <c r="L1" s="112"/>
      <c r="M1" s="112" t="s">
        <v>467</v>
      </c>
      <c r="N1" s="112" t="s">
        <v>410</v>
      </c>
      <c r="O1" s="112" t="s">
        <v>3</v>
      </c>
      <c r="P1" s="112" t="s">
        <v>468</v>
      </c>
      <c r="AD1" s="8" t="s">
        <v>469</v>
      </c>
      <c r="AE1" s="8" t="s">
        <v>21</v>
      </c>
      <c r="AF1" s="8" t="s">
        <v>470</v>
      </c>
      <c r="AG1" s="8" t="s">
        <v>25</v>
      </c>
      <c r="AH1" s="8" t="s">
        <v>28</v>
      </c>
      <c r="AI1" s="8" t="s">
        <v>31</v>
      </c>
      <c r="AJ1" s="35" t="s">
        <v>36</v>
      </c>
      <c r="AK1" s="8" t="s">
        <v>471</v>
      </c>
      <c r="AL1" s="8">
        <v>-20.6</v>
      </c>
    </row>
    <row r="2" spans="1:40" ht="302.25">
      <c r="A2" s="8" t="s">
        <v>74</v>
      </c>
      <c r="B2" s="8" t="s">
        <v>73</v>
      </c>
      <c r="C2" s="8">
        <v>43399</v>
      </c>
      <c r="D2" s="8">
        <v>45150</v>
      </c>
      <c r="E2" s="8">
        <v>46106</v>
      </c>
      <c r="F2" s="8">
        <v>44869</v>
      </c>
      <c r="G2" s="8">
        <v>40782</v>
      </c>
      <c r="H2" s="8">
        <v>38551</v>
      </c>
      <c r="I2" s="8">
        <v>33397</v>
      </c>
      <c r="J2" s="114" t="s">
        <v>472</v>
      </c>
      <c r="K2" s="8">
        <v>-2.5885899999999999</v>
      </c>
      <c r="L2" s="114" t="s">
        <v>465</v>
      </c>
      <c r="M2" s="8" t="s">
        <v>473</v>
      </c>
      <c r="N2" s="8">
        <v>800</v>
      </c>
      <c r="O2" s="115">
        <v>3</v>
      </c>
      <c r="P2" s="115" t="s">
        <v>474</v>
      </c>
      <c r="AD2" s="8">
        <v>-6</v>
      </c>
      <c r="AE2" s="8">
        <v>47676</v>
      </c>
      <c r="AF2" s="8">
        <v>49355</v>
      </c>
      <c r="AG2" s="8">
        <v>17223</v>
      </c>
      <c r="AH2" s="8">
        <v>45364</v>
      </c>
      <c r="AI2" s="8">
        <v>41266</v>
      </c>
      <c r="AJ2" s="8">
        <v>49158</v>
      </c>
      <c r="AK2" s="8" t="s">
        <v>475</v>
      </c>
      <c r="AL2" s="8">
        <v>1</v>
      </c>
      <c r="AM2" s="8">
        <v>-1</v>
      </c>
      <c r="AN2" s="8">
        <v>20.6</v>
      </c>
    </row>
    <row r="3" spans="1:40" ht="30">
      <c r="A3" s="8" t="s">
        <v>77</v>
      </c>
      <c r="B3" s="8" t="s">
        <v>76</v>
      </c>
      <c r="C3" s="8">
        <v>39145</v>
      </c>
      <c r="D3" s="8">
        <v>42489</v>
      </c>
      <c r="E3" s="8">
        <v>44570</v>
      </c>
      <c r="F3" s="8">
        <v>43547</v>
      </c>
      <c r="G3" s="8">
        <v>43221</v>
      </c>
      <c r="H3" s="8">
        <v>39242</v>
      </c>
      <c r="I3" s="8">
        <v>34083</v>
      </c>
      <c r="J3" s="8" t="s">
        <v>472</v>
      </c>
      <c r="K3" s="8">
        <v>-0.96697</v>
      </c>
      <c r="L3" s="8" t="s">
        <v>465</v>
      </c>
      <c r="P3" s="115" t="s">
        <v>476</v>
      </c>
      <c r="AD3" s="8">
        <v>-4</v>
      </c>
      <c r="AE3" s="8">
        <v>53581</v>
      </c>
      <c r="AF3" s="8">
        <v>53823</v>
      </c>
      <c r="AG3" s="8">
        <v>18534</v>
      </c>
      <c r="AH3" s="8">
        <v>50492</v>
      </c>
      <c r="AI3" s="8">
        <v>48848</v>
      </c>
      <c r="AJ3" s="8">
        <v>53348</v>
      </c>
      <c r="AK3" s="8" t="s">
        <v>477</v>
      </c>
      <c r="AL3" s="8">
        <v>0</v>
      </c>
    </row>
    <row r="4" spans="1:40" ht="45">
      <c r="A4" s="8" t="s">
        <v>80</v>
      </c>
      <c r="B4" s="8" t="s">
        <v>79</v>
      </c>
      <c r="C4" s="8">
        <v>35401</v>
      </c>
      <c r="D4" s="8">
        <v>37802</v>
      </c>
      <c r="E4" s="8">
        <v>38737</v>
      </c>
      <c r="F4" s="116">
        <v>39088</v>
      </c>
      <c r="G4" s="8">
        <v>38707</v>
      </c>
      <c r="H4" s="8">
        <v>36525</v>
      </c>
      <c r="I4" s="8">
        <v>32499</v>
      </c>
      <c r="P4" s="115" t="s">
        <v>478</v>
      </c>
      <c r="AD4" s="8">
        <v>-2</v>
      </c>
      <c r="AE4" s="8">
        <v>55739</v>
      </c>
      <c r="AF4" s="8">
        <v>56111</v>
      </c>
      <c r="AG4" s="8">
        <v>19580</v>
      </c>
      <c r="AH4" s="8">
        <v>52936</v>
      </c>
      <c r="AI4" s="8">
        <v>54035</v>
      </c>
      <c r="AJ4" s="8">
        <v>54229</v>
      </c>
      <c r="AK4" s="8" t="s">
        <v>479</v>
      </c>
      <c r="AL4" s="8">
        <v>60</v>
      </c>
    </row>
    <row r="5" spans="1:40" ht="30">
      <c r="A5" s="8" t="s">
        <v>85</v>
      </c>
      <c r="B5" s="8" t="s">
        <v>84</v>
      </c>
      <c r="C5" s="8">
        <v>37226</v>
      </c>
      <c r="D5" s="8">
        <v>38494</v>
      </c>
      <c r="E5" s="8">
        <v>38431</v>
      </c>
      <c r="F5" s="8">
        <v>37955</v>
      </c>
      <c r="G5" s="8">
        <v>36721</v>
      </c>
      <c r="H5" s="8">
        <v>34056</v>
      </c>
      <c r="I5" s="8">
        <v>30032</v>
      </c>
      <c r="P5" s="115" t="s">
        <v>480</v>
      </c>
      <c r="AD5" s="8">
        <v>0</v>
      </c>
      <c r="AE5" s="8">
        <v>52107</v>
      </c>
      <c r="AF5" s="8">
        <v>54972</v>
      </c>
      <c r="AG5" s="8">
        <v>19254</v>
      </c>
      <c r="AH5" s="8">
        <v>54140</v>
      </c>
      <c r="AI5" s="8">
        <v>52849</v>
      </c>
      <c r="AJ5" s="8">
        <v>56464</v>
      </c>
      <c r="AK5" s="8" t="s">
        <v>481</v>
      </c>
      <c r="AL5" s="8">
        <v>120</v>
      </c>
    </row>
    <row r="6" spans="1:40">
      <c r="A6" s="8" t="s">
        <v>90</v>
      </c>
      <c r="B6" s="8" t="s">
        <v>89</v>
      </c>
      <c r="C6" s="8">
        <v>50269</v>
      </c>
      <c r="D6" s="8">
        <v>51565</v>
      </c>
      <c r="E6" s="8">
        <v>51245</v>
      </c>
      <c r="F6" s="8">
        <v>50507</v>
      </c>
      <c r="G6" s="8">
        <v>49057</v>
      </c>
      <c r="H6" s="8">
        <v>45297</v>
      </c>
      <c r="I6" s="8">
        <v>39084</v>
      </c>
      <c r="AD6" s="8">
        <v>2</v>
      </c>
      <c r="AE6" s="8">
        <v>52024</v>
      </c>
      <c r="AF6" s="8">
        <v>52049</v>
      </c>
      <c r="AG6" s="8">
        <v>19568</v>
      </c>
      <c r="AH6" s="8">
        <v>52595</v>
      </c>
      <c r="AI6" s="8">
        <v>51330</v>
      </c>
      <c r="AJ6" s="8">
        <v>55951</v>
      </c>
    </row>
    <row r="7" spans="1:40">
      <c r="K7" s="8">
        <v>-1.84</v>
      </c>
      <c r="V7">
        <f>1.34+0.23423</f>
        <v>1.57423</v>
      </c>
      <c r="AD7" s="8">
        <v>4</v>
      </c>
      <c r="AE7" s="8">
        <v>47804</v>
      </c>
      <c r="AF7" s="8">
        <v>48112</v>
      </c>
      <c r="AG7" s="8">
        <v>18280</v>
      </c>
      <c r="AH7" s="8">
        <v>51336</v>
      </c>
      <c r="AI7" s="8">
        <v>49605</v>
      </c>
      <c r="AJ7" s="8">
        <v>50312</v>
      </c>
    </row>
    <row r="8" spans="1:40">
      <c r="V8">
        <f>V7/2</f>
        <v>0.78711500000000001</v>
      </c>
      <c r="AD8" s="8">
        <v>6</v>
      </c>
      <c r="AE8" s="8">
        <v>39857</v>
      </c>
      <c r="AF8" s="8">
        <v>39897</v>
      </c>
      <c r="AG8" s="8">
        <v>16101</v>
      </c>
      <c r="AH8" s="8">
        <v>45339</v>
      </c>
      <c r="AI8" s="8">
        <v>44272</v>
      </c>
      <c r="AJ8" s="8">
        <v>43365</v>
      </c>
    </row>
    <row r="9" spans="1:40">
      <c r="A9" t="s">
        <v>592</v>
      </c>
      <c r="B9" t="s">
        <v>593</v>
      </c>
      <c r="AD9" s="117" t="s">
        <v>482</v>
      </c>
      <c r="AE9" s="117"/>
      <c r="AF9" s="117">
        <v>-1.34</v>
      </c>
      <c r="AG9" s="117">
        <v>-0.44</v>
      </c>
      <c r="AH9" s="117">
        <v>4.2040000000000001E-2</v>
      </c>
      <c r="AI9" s="117">
        <v>0.23422999999999999</v>
      </c>
      <c r="AJ9" s="117">
        <v>-0.69069000000000003</v>
      </c>
      <c r="AK9" s="8" t="s">
        <v>465</v>
      </c>
    </row>
    <row r="10" spans="1:40">
      <c r="A10" t="s">
        <v>594</v>
      </c>
      <c r="B10" t="s">
        <v>74</v>
      </c>
      <c r="C10" t="s">
        <v>77</v>
      </c>
      <c r="D10" t="s">
        <v>80</v>
      </c>
      <c r="E10" t="s">
        <v>85</v>
      </c>
      <c r="F10" t="s">
        <v>90</v>
      </c>
      <c r="AD10" s="8" t="s">
        <v>483</v>
      </c>
      <c r="AE10" s="8">
        <f>AVERAGE(AF9:AJ9)</f>
        <v>-0.438884</v>
      </c>
      <c r="AK10" s="8" t="s">
        <v>465</v>
      </c>
    </row>
    <row r="11" spans="1:40">
      <c r="A11" t="s">
        <v>595</v>
      </c>
      <c r="B11" t="s">
        <v>596</v>
      </c>
      <c r="AD11" s="8" t="s">
        <v>484</v>
      </c>
      <c r="AF11" s="8">
        <f t="shared" ref="AF11:AJ11" si="0">ABS(AF9-$AE$10)/ABS($AE$10)*100</f>
        <v>205.31985672751799</v>
      </c>
      <c r="AG11" s="8">
        <f t="shared" si="0"/>
        <v>0.25428131351336702</v>
      </c>
      <c r="AH11" s="8">
        <f t="shared" si="0"/>
        <v>109.57884087822751</v>
      </c>
      <c r="AI11" s="8">
        <f t="shared" si="0"/>
        <v>153.36945525469145</v>
      </c>
      <c r="AJ11" s="8">
        <f t="shared" si="0"/>
        <v>57.374158091887615</v>
      </c>
      <c r="AK11" s="8" t="s">
        <v>485</v>
      </c>
    </row>
    <row r="12" spans="1:40">
      <c r="A12" t="s">
        <v>597</v>
      </c>
      <c r="B12">
        <v>44424.85714</v>
      </c>
      <c r="C12">
        <v>44300.571430000004</v>
      </c>
      <c r="D12">
        <v>39307.666669999999</v>
      </c>
      <c r="E12">
        <v>38082.428569999996</v>
      </c>
      <c r="F12">
        <v>50821</v>
      </c>
      <c r="AD12" s="8" t="s">
        <v>486</v>
      </c>
      <c r="AF12" s="8">
        <v>55813.974430000002</v>
      </c>
      <c r="AG12" s="8">
        <v>19703.098999999998</v>
      </c>
      <c r="AH12" s="8">
        <v>54107.39316</v>
      </c>
      <c r="AI12" s="8">
        <v>53655.29898</v>
      </c>
      <c r="AJ12" s="8">
        <v>56433.040300000001</v>
      </c>
      <c r="AK12" s="8" t="s">
        <v>472</v>
      </c>
    </row>
    <row r="13" spans="1:40">
      <c r="A13" t="s">
        <v>598</v>
      </c>
      <c r="B13">
        <v>-866.57142999999996</v>
      </c>
      <c r="C13">
        <v>-411.23214000000002</v>
      </c>
      <c r="D13">
        <v>-201.60713999999999</v>
      </c>
      <c r="E13">
        <v>-574.42857000000004</v>
      </c>
      <c r="F13">
        <v>-862.125</v>
      </c>
      <c r="AD13" s="8" t="s">
        <v>487</v>
      </c>
      <c r="AF13" s="8">
        <f t="shared" ref="AF13:AJ13" si="1">ABS(AF12-AF5)/ABS(AF12)*100</f>
        <v>1.5085369544073195</v>
      </c>
      <c r="AG13" s="8">
        <f t="shared" si="1"/>
        <v>2.27933179445527</v>
      </c>
      <c r="AH13" s="8">
        <f t="shared" si="1"/>
        <v>6.0263187885580209E-2</v>
      </c>
      <c r="AI13" s="8">
        <f t="shared" si="1"/>
        <v>1.5027387701269679</v>
      </c>
      <c r="AJ13" s="8">
        <f t="shared" si="1"/>
        <v>5.4860946416171431E-2</v>
      </c>
      <c r="AK13" s="8" t="s">
        <v>485</v>
      </c>
    </row>
    <row r="14" spans="1:40" ht="15" customHeight="1">
      <c r="A14" t="s">
        <v>599</v>
      </c>
      <c r="B14">
        <v>-167.14286000000001</v>
      </c>
      <c r="C14">
        <v>-212.5625</v>
      </c>
      <c r="D14">
        <v>-146.38095000000001</v>
      </c>
      <c r="E14">
        <v>-121.98214</v>
      </c>
      <c r="F14">
        <v>-167.16963999999999</v>
      </c>
    </row>
    <row r="15" spans="1:40" ht="15" customHeight="1">
      <c r="A15" t="s">
        <v>600</v>
      </c>
      <c r="B15" s="191">
        <v>2272400</v>
      </c>
      <c r="C15" s="191">
        <v>1021710</v>
      </c>
      <c r="D15">
        <v>616403.38095000002</v>
      </c>
      <c r="E15">
        <v>296618.42856999999</v>
      </c>
      <c r="F15" s="191">
        <v>1637300</v>
      </c>
    </row>
    <row r="16" spans="1:40">
      <c r="A16" t="s">
        <v>601</v>
      </c>
      <c r="B16">
        <v>0.98165999999999998</v>
      </c>
      <c r="C16">
        <v>0.98734</v>
      </c>
      <c r="D16">
        <v>0.98185</v>
      </c>
      <c r="E16">
        <v>0.99482000000000004</v>
      </c>
      <c r="F16">
        <v>0.98663000000000001</v>
      </c>
      <c r="AD16" s="8" t="s">
        <v>488</v>
      </c>
      <c r="AI16" s="8" t="s">
        <v>489</v>
      </c>
    </row>
    <row r="17" spans="1:36">
      <c r="A17" t="s">
        <v>602</v>
      </c>
      <c r="B17">
        <v>0.97248999999999997</v>
      </c>
      <c r="C17">
        <v>0.98101000000000005</v>
      </c>
      <c r="D17">
        <v>0.97277999999999998</v>
      </c>
      <c r="E17">
        <v>0.99222999999999995</v>
      </c>
      <c r="F17">
        <v>0.97994000000000003</v>
      </c>
      <c r="R17">
        <f>55288</f>
        <v>55288</v>
      </c>
      <c r="AD17" s="85" t="s">
        <v>469</v>
      </c>
      <c r="AE17" s="85" t="s">
        <v>21</v>
      </c>
      <c r="AF17" s="85" t="s">
        <v>25</v>
      </c>
      <c r="AG17" s="85" t="s">
        <v>28</v>
      </c>
      <c r="AH17" s="85" t="s">
        <v>31</v>
      </c>
      <c r="AI17" s="85" t="s">
        <v>36</v>
      </c>
      <c r="AJ17" s="85"/>
    </row>
    <row r="18" spans="1:36">
      <c r="AD18" s="8">
        <v>-6</v>
      </c>
      <c r="AH18" s="8">
        <v>37631</v>
      </c>
      <c r="AI18" s="8">
        <v>41209</v>
      </c>
    </row>
    <row r="19" spans="1:36">
      <c r="B19">
        <f>-B13/(2*B14)</f>
        <v>-2.5923076522682451</v>
      </c>
      <c r="C19">
        <f t="shared" ref="C19:F19" si="2">-C13/(2*C14)</f>
        <v>-0.96732052925610124</v>
      </c>
      <c r="D19">
        <f t="shared" si="2"/>
        <v>-0.68863858309431647</v>
      </c>
      <c r="E19">
        <f t="shared" si="2"/>
        <v>-2.3545601429848664</v>
      </c>
      <c r="F19">
        <f t="shared" si="2"/>
        <v>-2.57859321824226</v>
      </c>
      <c r="H19">
        <f>AVERAGE(B19:F19)</f>
        <v>-1.8362840251691577</v>
      </c>
      <c r="L19">
        <f>-2.59--0.688</f>
        <v>-1.9019999999999999</v>
      </c>
      <c r="AD19" s="8">
        <v>-4</v>
      </c>
      <c r="AH19" s="8">
        <v>39980</v>
      </c>
      <c r="AI19" s="8">
        <v>40484</v>
      </c>
    </row>
    <row r="20" spans="1:36">
      <c r="B20">
        <f>B12+B13*B19+B14*B19^2</f>
        <v>45548.067014613014</v>
      </c>
      <c r="C20">
        <f t="shared" ref="C20:F20" si="3">C12+C13*C19+C14*C19^2</f>
        <v>44499.468075655968</v>
      </c>
      <c r="D20">
        <f t="shared" si="3"/>
        <v>39377.083897615652</v>
      </c>
      <c r="E20">
        <f t="shared" si="3"/>
        <v>38758.691877956888</v>
      </c>
      <c r="F20">
        <f t="shared" si="3"/>
        <v>51932.534839138556</v>
      </c>
      <c r="L20">
        <f>L19/2</f>
        <v>-0.95099999999999996</v>
      </c>
      <c r="AD20" s="8">
        <v>-2</v>
      </c>
      <c r="AH20" s="8">
        <v>39793</v>
      </c>
      <c r="AI20" s="8">
        <v>45167</v>
      </c>
    </row>
    <row r="21" spans="1:36" ht="15.75" customHeight="1">
      <c r="L21" t="s">
        <v>613</v>
      </c>
      <c r="AD21" s="8">
        <v>0</v>
      </c>
      <c r="AH21" s="8">
        <v>41498</v>
      </c>
      <c r="AI21" s="8">
        <v>43844</v>
      </c>
    </row>
    <row r="22" spans="1:36" ht="15.75" customHeight="1">
      <c r="J22">
        <f>I25</f>
        <v>0</v>
      </c>
      <c r="AD22" s="8">
        <v>2</v>
      </c>
      <c r="AH22" s="8">
        <v>40616</v>
      </c>
      <c r="AI22" s="8">
        <v>43303</v>
      </c>
    </row>
    <row r="23" spans="1:36" ht="15.75" customHeight="1">
      <c r="AD23" s="8">
        <v>4</v>
      </c>
      <c r="AH23" s="8">
        <v>40020</v>
      </c>
      <c r="AI23" s="8">
        <v>40229</v>
      </c>
    </row>
    <row r="24" spans="1:36" ht="15.75" customHeight="1">
      <c r="C24" t="s">
        <v>611</v>
      </c>
      <c r="D24">
        <v>-866.57142999999996</v>
      </c>
      <c r="E24">
        <v>-411.23214000000002</v>
      </c>
      <c r="F24">
        <v>-201.60713999999999</v>
      </c>
      <c r="G24">
        <v>-574.42857000000004</v>
      </c>
      <c r="H24">
        <v>-862.125</v>
      </c>
      <c r="AD24" s="8">
        <v>6</v>
      </c>
      <c r="AH24" s="8">
        <v>37365</v>
      </c>
      <c r="AI24" s="8">
        <v>44162</v>
      </c>
    </row>
    <row r="25" spans="1:36" ht="15.75" customHeight="1">
      <c r="C25" t="s">
        <v>612</v>
      </c>
      <c r="D25">
        <v>-167.14286000000001</v>
      </c>
      <c r="E25">
        <v>-212.5625</v>
      </c>
      <c r="F25">
        <v>-146.38095000000001</v>
      </c>
      <c r="G25">
        <v>-121.98214</v>
      </c>
      <c r="H25">
        <v>-167.16963999999999</v>
      </c>
    </row>
    <row r="26" spans="1:36" ht="15.75" customHeight="1">
      <c r="D26" t="b">
        <f>M21=-D24/(2*D25)</f>
        <v>0</v>
      </c>
      <c r="E26">
        <f t="shared" ref="E26:H26" si="4">-E24/(2*E25)</f>
        <v>-0.96732052925610124</v>
      </c>
      <c r="F26">
        <f t="shared" si="4"/>
        <v>-0.68863858309431647</v>
      </c>
      <c r="G26">
        <f t="shared" si="4"/>
        <v>-2.3545601429848664</v>
      </c>
      <c r="H26">
        <f t="shared" si="4"/>
        <v>-2.57859321824226</v>
      </c>
    </row>
    <row r="27" spans="1:36" ht="15.75" customHeight="1"/>
    <row r="28" spans="1:36" ht="15.75" customHeight="1"/>
    <row r="29" spans="1:36" ht="15.75" customHeight="1"/>
    <row r="30" spans="1:36" ht="15.75" customHeight="1"/>
    <row r="31" spans="1:36" ht="15.75" customHeight="1"/>
    <row r="32" spans="1:3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AirVsAr</vt:lpstr>
      <vt:lpstr>LongBoards</vt:lpstr>
      <vt:lpstr>LED2 Fitting v2</vt:lpstr>
      <vt:lpstr>LED3 Fitting v2</vt:lpstr>
      <vt:lpstr>LED1 Fitting v2</vt:lpstr>
      <vt:lpstr>Logs</vt:lpstr>
      <vt:lpstr>Settings</vt:lpstr>
      <vt:lpstr>LED Position Correction</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Dziubinski, Sean</dc:creator>
  <cp:lastModifiedBy>Dziubinski, Sean</cp:lastModifiedBy>
  <dcterms:created xsi:type="dcterms:W3CDTF">2024-01-10T17:13:42Z</dcterms:created>
  <dcterms:modified xsi:type="dcterms:W3CDTF">2025-03-13T14:35:28Z</dcterms:modified>
</cp:coreProperties>
</file>