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37182100-A39B-4F9C-B06F-67CB541058EC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8-5-24" sheetId="1" r:id="rId1"/>
    <sheet name="8-6-24" sheetId="2" r:id="rId2"/>
    <sheet name="8-6-24 (2)" sheetId="3" r:id="rId3"/>
    <sheet name="8-21-24" sheetId="5" r:id="rId4"/>
    <sheet name="9-5-24" sheetId="6" r:id="rId5"/>
    <sheet name="Ballistic Defic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J3" i="7"/>
  <c r="J2" i="7"/>
  <c r="K2" i="7"/>
  <c r="I2" i="7"/>
  <c r="H2" i="7"/>
  <c r="G2" i="7"/>
  <c r="H10" i="7"/>
  <c r="I6" i="7"/>
  <c r="G6" i="7"/>
  <c r="F6" i="7"/>
  <c r="D6" i="7"/>
  <c r="E1" i="7"/>
  <c r="B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6" i="6"/>
  <c r="B18" i="6"/>
  <c r="D18" i="6" s="1"/>
  <c r="G18" i="6" s="1"/>
  <c r="B19" i="6"/>
  <c r="D19" i="6"/>
  <c r="G19" i="6" s="1"/>
  <c r="B20" i="6"/>
  <c r="D20" i="6" s="1"/>
  <c r="G20" i="6" s="1"/>
  <c r="B21" i="6"/>
  <c r="D21" i="6" s="1"/>
  <c r="G21" i="6" s="1"/>
  <c r="B22" i="6"/>
  <c r="D22" i="6" s="1"/>
  <c r="G22" i="6" s="1"/>
  <c r="B23" i="6"/>
  <c r="D23" i="6" s="1"/>
  <c r="G23" i="6" s="1"/>
  <c r="B24" i="6"/>
  <c r="D24" i="6" s="1"/>
  <c r="G24" i="6" s="1"/>
  <c r="B25" i="6"/>
  <c r="D25" i="6" s="1"/>
  <c r="G25" i="6" s="1"/>
  <c r="B26" i="6"/>
  <c r="D26" i="6" s="1"/>
  <c r="G26" i="6" s="1"/>
  <c r="B27" i="6"/>
  <c r="D27" i="6" s="1"/>
  <c r="G27" i="6" s="1"/>
  <c r="B28" i="6"/>
  <c r="D28" i="6" s="1"/>
  <c r="G28" i="6" s="1"/>
  <c r="B29" i="6"/>
  <c r="D29" i="6" s="1"/>
  <c r="G29" i="6" s="1"/>
  <c r="B30" i="6"/>
  <c r="D30" i="6" s="1"/>
  <c r="G30" i="6" s="1"/>
  <c r="B31" i="6"/>
  <c r="D31" i="6"/>
  <c r="G31" i="6" s="1"/>
  <c r="B32" i="6"/>
  <c r="D32" i="6" s="1"/>
  <c r="G32" i="6" s="1"/>
  <c r="B33" i="6"/>
  <c r="D33" i="6" s="1"/>
  <c r="G33" i="6" s="1"/>
  <c r="B34" i="6"/>
  <c r="D34" i="6" s="1"/>
  <c r="G34" i="6" s="1"/>
  <c r="B35" i="6"/>
  <c r="D35" i="6"/>
  <c r="G35" i="6" s="1"/>
  <c r="B36" i="6"/>
  <c r="D36" i="6" s="1"/>
  <c r="G36" i="6" s="1"/>
  <c r="B37" i="6"/>
  <c r="D37" i="6" s="1"/>
  <c r="G37" i="6" s="1"/>
  <c r="B38" i="6"/>
  <c r="D38" i="6" s="1"/>
  <c r="G38" i="6" s="1"/>
  <c r="E3" i="6"/>
  <c r="D12" i="6"/>
  <c r="G12" i="6" s="1"/>
  <c r="D17" i="6"/>
  <c r="G17" i="6" s="1"/>
  <c r="B7" i="6"/>
  <c r="D7" i="6" s="1"/>
  <c r="G7" i="6" s="1"/>
  <c r="B8" i="6"/>
  <c r="D8" i="6" s="1"/>
  <c r="G8" i="6" s="1"/>
  <c r="B9" i="6"/>
  <c r="D9" i="6" s="1"/>
  <c r="G9" i="6" s="1"/>
  <c r="B10" i="6"/>
  <c r="D10" i="6" s="1"/>
  <c r="G10" i="6" s="1"/>
  <c r="B11" i="6"/>
  <c r="D11" i="6" s="1"/>
  <c r="G11" i="6" s="1"/>
  <c r="B12" i="6"/>
  <c r="B13" i="6"/>
  <c r="D13" i="6" s="1"/>
  <c r="G13" i="6" s="1"/>
  <c r="B14" i="6"/>
  <c r="D14" i="6" s="1"/>
  <c r="D3" i="6" s="1"/>
  <c r="B15" i="6"/>
  <c r="D15" i="6" s="1"/>
  <c r="G15" i="6" s="1"/>
  <c r="B16" i="6"/>
  <c r="D16" i="6" s="1"/>
  <c r="G16" i="6" s="1"/>
  <c r="B17" i="6"/>
  <c r="B6" i="6"/>
  <c r="L6" i="6" s="1"/>
  <c r="B3" i="6" l="1"/>
  <c r="D6" i="6"/>
  <c r="G6" i="6" s="1"/>
  <c r="G14" i="6"/>
  <c r="T30" i="5" l="1"/>
  <c r="E26" i="5" l="1"/>
  <c r="H26" i="5" s="1"/>
  <c r="I26" i="5" s="1"/>
  <c r="M22" i="5"/>
  <c r="E18" i="5" s="1"/>
  <c r="F14" i="5"/>
  <c r="I14" i="5" s="1"/>
  <c r="E14" i="5"/>
  <c r="H14" i="5" s="1"/>
  <c r="F13" i="5"/>
  <c r="I13" i="5" s="1"/>
  <c r="E13" i="5"/>
  <c r="H13" i="5" s="1"/>
  <c r="F12" i="5"/>
  <c r="I12" i="5" s="1"/>
  <c r="E12" i="5"/>
  <c r="H12" i="5" s="1"/>
  <c r="F11" i="5"/>
  <c r="I11" i="5" s="1"/>
  <c r="E11" i="5"/>
  <c r="H11" i="5" s="1"/>
  <c r="F10" i="5"/>
  <c r="I10" i="5" s="1"/>
  <c r="E10" i="5"/>
  <c r="H10" i="5" s="1"/>
  <c r="F9" i="5"/>
  <c r="I9" i="5" s="1"/>
  <c r="E9" i="5"/>
  <c r="H9" i="5" s="1"/>
  <c r="F8" i="5"/>
  <c r="I8" i="5" s="1"/>
  <c r="E8" i="5"/>
  <c r="H8" i="5" s="1"/>
  <c r="M22" i="3"/>
  <c r="E22" i="3"/>
  <c r="F22" i="3" s="1"/>
  <c r="F14" i="3"/>
  <c r="I14" i="3" s="1"/>
  <c r="E14" i="3"/>
  <c r="H14" i="3" s="1"/>
  <c r="F13" i="3"/>
  <c r="I13" i="3" s="1"/>
  <c r="E13" i="3"/>
  <c r="H13" i="3" s="1"/>
  <c r="F12" i="3"/>
  <c r="I12" i="3" s="1"/>
  <c r="E12" i="3"/>
  <c r="H12" i="3" s="1"/>
  <c r="F11" i="3"/>
  <c r="I11" i="3" s="1"/>
  <c r="E11" i="3"/>
  <c r="H11" i="3" s="1"/>
  <c r="F10" i="3"/>
  <c r="I10" i="3" s="1"/>
  <c r="E10" i="3"/>
  <c r="H10" i="3" s="1"/>
  <c r="F9" i="3"/>
  <c r="I9" i="3" s="1"/>
  <c r="E9" i="3"/>
  <c r="H9" i="3" s="1"/>
  <c r="F8" i="3"/>
  <c r="I8" i="3" s="1"/>
  <c r="E8" i="3"/>
  <c r="H8" i="3" s="1"/>
  <c r="F28" i="2"/>
  <c r="F32" i="2"/>
  <c r="M22" i="2"/>
  <c r="E32" i="2" s="1"/>
  <c r="I12" i="2"/>
  <c r="I13" i="2"/>
  <c r="F9" i="2"/>
  <c r="I9" i="2" s="1"/>
  <c r="F10" i="2"/>
  <c r="I10" i="2" s="1"/>
  <c r="F11" i="2"/>
  <c r="I11" i="2" s="1"/>
  <c r="F12" i="2"/>
  <c r="F13" i="2"/>
  <c r="F14" i="2"/>
  <c r="I14" i="2" s="1"/>
  <c r="F8" i="2"/>
  <c r="I8" i="2" s="1"/>
  <c r="E30" i="2"/>
  <c r="F30" i="2" s="1"/>
  <c r="E28" i="2"/>
  <c r="E26" i="2"/>
  <c r="F26" i="2" s="1"/>
  <c r="E24" i="2"/>
  <c r="F24" i="2" s="1"/>
  <c r="E22" i="2"/>
  <c r="F22" i="2" s="1"/>
  <c r="E14" i="2"/>
  <c r="H14" i="2" s="1"/>
  <c r="E13" i="2"/>
  <c r="H13" i="2" s="1"/>
  <c r="E12" i="2"/>
  <c r="H12" i="2" s="1"/>
  <c r="E11" i="2"/>
  <c r="H11" i="2" s="1"/>
  <c r="E10" i="2"/>
  <c r="H10" i="2" s="1"/>
  <c r="E9" i="2"/>
  <c r="H9" i="2" s="1"/>
  <c r="E8" i="2"/>
  <c r="H8" i="2" s="1"/>
  <c r="M22" i="1"/>
  <c r="E19" i="1" s="1"/>
  <c r="F19" i="1" s="1"/>
  <c r="H10" i="1"/>
  <c r="H11" i="1"/>
  <c r="H8" i="1"/>
  <c r="E9" i="1"/>
  <c r="H9" i="1" s="1"/>
  <c r="E10" i="1"/>
  <c r="E11" i="1"/>
  <c r="E12" i="1"/>
  <c r="H12" i="1" s="1"/>
  <c r="E13" i="1"/>
  <c r="H13" i="1" s="1"/>
  <c r="E14" i="1"/>
  <c r="H14" i="1" s="1"/>
  <c r="E8" i="1"/>
  <c r="E33" i="5" l="1"/>
  <c r="E29" i="5"/>
  <c r="E21" i="5"/>
  <c r="F26" i="5"/>
  <c r="E32" i="5"/>
  <c r="E28" i="5"/>
  <c r="E24" i="5"/>
  <c r="E20" i="5"/>
  <c r="H18" i="5"/>
  <c r="I18" i="5" s="1"/>
  <c r="F18" i="5"/>
  <c r="E30" i="5"/>
  <c r="E22" i="5"/>
  <c r="E25" i="5"/>
  <c r="E31" i="5"/>
  <c r="E27" i="5"/>
  <c r="E23" i="5"/>
  <c r="E19" i="5"/>
  <c r="E24" i="3"/>
  <c r="F24" i="3" s="1"/>
  <c r="E26" i="3"/>
  <c r="F26" i="3" s="1"/>
  <c r="E28" i="3"/>
  <c r="F28" i="3" s="1"/>
  <c r="E30" i="3"/>
  <c r="F30" i="3" s="1"/>
  <c r="E32" i="3"/>
  <c r="F32" i="3" s="1"/>
  <c r="E23" i="3"/>
  <c r="F23" i="3" s="1"/>
  <c r="E25" i="3"/>
  <c r="F25" i="3" s="1"/>
  <c r="E27" i="3"/>
  <c r="F27" i="3" s="1"/>
  <c r="E29" i="3"/>
  <c r="F29" i="3" s="1"/>
  <c r="E31" i="3"/>
  <c r="F31" i="3" s="1"/>
  <c r="E33" i="3"/>
  <c r="F33" i="3" s="1"/>
  <c r="E19" i="3"/>
  <c r="F19" i="3" s="1"/>
  <c r="E21" i="3"/>
  <c r="F21" i="3" s="1"/>
  <c r="E18" i="3"/>
  <c r="F18" i="3" s="1"/>
  <c r="E20" i="3"/>
  <c r="F20" i="3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F31" i="2" s="1"/>
  <c r="E33" i="2"/>
  <c r="F33" i="2" s="1"/>
  <c r="E18" i="2"/>
  <c r="F18" i="2" s="1"/>
  <c r="E20" i="2"/>
  <c r="F20" i="2" s="1"/>
  <c r="E18" i="1"/>
  <c r="F18" i="1" s="1"/>
  <c r="E30" i="1"/>
  <c r="F30" i="1" s="1"/>
  <c r="E26" i="1"/>
  <c r="F26" i="1" s="1"/>
  <c r="E22" i="1"/>
  <c r="F22" i="1" s="1"/>
  <c r="E33" i="1"/>
  <c r="F33" i="1" s="1"/>
  <c r="E29" i="1"/>
  <c r="F29" i="1" s="1"/>
  <c r="E25" i="1"/>
  <c r="F25" i="1" s="1"/>
  <c r="E21" i="1"/>
  <c r="F21" i="1" s="1"/>
  <c r="E32" i="1"/>
  <c r="F32" i="1" s="1"/>
  <c r="E28" i="1"/>
  <c r="F28" i="1" s="1"/>
  <c r="E24" i="1"/>
  <c r="F24" i="1" s="1"/>
  <c r="E20" i="1"/>
  <c r="F20" i="1" s="1"/>
  <c r="E31" i="1"/>
  <c r="F31" i="1" s="1"/>
  <c r="E27" i="1"/>
  <c r="F27" i="1" s="1"/>
  <c r="E23" i="1"/>
  <c r="F23" i="1" s="1"/>
  <c r="F23" i="5" l="1"/>
  <c r="H23" i="5"/>
  <c r="I23" i="5" s="1"/>
  <c r="H20" i="5"/>
  <c r="I20" i="5" s="1"/>
  <c r="F20" i="5"/>
  <c r="F27" i="5"/>
  <c r="H27" i="5"/>
  <c r="I27" i="5" s="1"/>
  <c r="H30" i="5"/>
  <c r="I30" i="5" s="1"/>
  <c r="F30" i="5"/>
  <c r="H24" i="5"/>
  <c r="I24" i="5" s="1"/>
  <c r="F24" i="5"/>
  <c r="H21" i="5"/>
  <c r="I21" i="5" s="1"/>
  <c r="F21" i="5"/>
  <c r="F31" i="5"/>
  <c r="H31" i="5"/>
  <c r="I31" i="5" s="1"/>
  <c r="H28" i="5"/>
  <c r="I28" i="5" s="1"/>
  <c r="F28" i="5"/>
  <c r="H29" i="5"/>
  <c r="I29" i="5" s="1"/>
  <c r="F29" i="5"/>
  <c r="H22" i="5"/>
  <c r="I22" i="5" s="1"/>
  <c r="F22" i="5"/>
  <c r="F19" i="5"/>
  <c r="H19" i="5"/>
  <c r="I19" i="5" s="1"/>
  <c r="H25" i="5"/>
  <c r="I25" i="5" s="1"/>
  <c r="F25" i="5"/>
  <c r="H32" i="5"/>
  <c r="I32" i="5" s="1"/>
  <c r="F32" i="5"/>
  <c r="H33" i="5"/>
  <c r="I33" i="5" s="1"/>
  <c r="F33" i="5"/>
</calcChain>
</file>

<file path=xl/sharedStrings.xml><?xml version="1.0" encoding="utf-8"?>
<sst xmlns="http://schemas.openxmlformats.org/spreadsheetml/2006/main" count="188" uniqueCount="60">
  <si>
    <t>RC Circuit</t>
  </si>
  <si>
    <t>Cap</t>
  </si>
  <si>
    <t>Res</t>
  </si>
  <si>
    <t>Value</t>
  </si>
  <si>
    <t>Units</t>
  </si>
  <si>
    <t>nF</t>
  </si>
  <si>
    <t>ohm</t>
  </si>
  <si>
    <t>Pulse</t>
  </si>
  <si>
    <t>Offset (mV)</t>
  </si>
  <si>
    <t>Amp (mV)</t>
  </si>
  <si>
    <t>Width (ms)</t>
  </si>
  <si>
    <t>Trail (ns)</t>
  </si>
  <si>
    <t>Lead (ns)</t>
  </si>
  <si>
    <t>Frequency (Hz)</t>
  </si>
  <si>
    <t>Waveform</t>
  </si>
  <si>
    <t>Linear Amp</t>
  </si>
  <si>
    <t>Gain</t>
  </si>
  <si>
    <t>Output</t>
  </si>
  <si>
    <t>671 ORTEC</t>
  </si>
  <si>
    <t>Unipolar</t>
  </si>
  <si>
    <t>Shaping Time (us)</t>
  </si>
  <si>
    <t>Centroid</t>
  </si>
  <si>
    <t>Data:</t>
  </si>
  <si>
    <t>Vo (mV)</t>
  </si>
  <si>
    <t>Qin (nC)</t>
  </si>
  <si>
    <t>Qo (nC)</t>
  </si>
  <si>
    <t>Qin/Centroid</t>
  </si>
  <si>
    <t>Qo/Centroid</t>
  </si>
  <si>
    <t xml:space="preserve">Q/C from slope: </t>
  </si>
  <si>
    <t>nC/ch</t>
  </si>
  <si>
    <t xml:space="preserve">Data: </t>
  </si>
  <si>
    <t>Voltage (V)</t>
  </si>
  <si>
    <t>Qc (nC)</t>
  </si>
  <si>
    <t>Energy (MeV)</t>
  </si>
  <si>
    <t>60*0.5</t>
  </si>
  <si>
    <t>30*0.5</t>
  </si>
  <si>
    <t>Ionization Energy of Xe:</t>
  </si>
  <si>
    <t>eV</t>
  </si>
  <si>
    <t>PreAmp</t>
  </si>
  <si>
    <t>Range</t>
  </si>
  <si>
    <t>Tennelec</t>
  </si>
  <si>
    <t>Load</t>
  </si>
  <si>
    <t>Load (50 ohm)</t>
  </si>
  <si>
    <t xml:space="preserve"> </t>
  </si>
  <si>
    <t>Adjusted Q</t>
  </si>
  <si>
    <t>Adjusted Energy</t>
  </si>
  <si>
    <r>
      <t>σ</t>
    </r>
    <r>
      <rPr>
        <vertAlign val="subscript"/>
        <sz val="18"/>
        <color theme="1"/>
        <rFont val="Calibri"/>
        <family val="2"/>
      </rPr>
      <t>Detector</t>
    </r>
  </si>
  <si>
    <r>
      <t>σ</t>
    </r>
    <r>
      <rPr>
        <vertAlign val="subscript"/>
        <sz val="18"/>
        <color theme="1"/>
        <rFont val="Calibri"/>
        <family val="2"/>
      </rPr>
      <t>Total</t>
    </r>
  </si>
  <si>
    <r>
      <t>σ</t>
    </r>
    <r>
      <rPr>
        <vertAlign val="subscript"/>
        <sz val="18"/>
        <color theme="1"/>
        <rFont val="Calibri"/>
        <family val="2"/>
      </rPr>
      <t>Straggling</t>
    </r>
  </si>
  <si>
    <r>
      <t>FWHM</t>
    </r>
    <r>
      <rPr>
        <vertAlign val="subscript"/>
        <sz val="14"/>
        <color theme="1"/>
        <rFont val="Calibri"/>
        <family val="2"/>
        <scheme val="minor"/>
      </rPr>
      <t>Total</t>
    </r>
  </si>
  <si>
    <r>
      <t>FWHM</t>
    </r>
    <r>
      <rPr>
        <vertAlign val="subscript"/>
        <sz val="14"/>
        <color theme="1"/>
        <rFont val="Calibri"/>
        <family val="2"/>
        <scheme val="minor"/>
      </rPr>
      <t>Detector</t>
    </r>
  </si>
  <si>
    <r>
      <t>FWHM</t>
    </r>
    <r>
      <rPr>
        <vertAlign val="subscript"/>
        <sz val="14"/>
        <color theme="1"/>
        <rFont val="Calibri"/>
        <family val="2"/>
        <scheme val="minor"/>
      </rPr>
      <t>Straggling</t>
    </r>
  </si>
  <si>
    <t>Goalx</t>
  </si>
  <si>
    <t>Goaly</t>
  </si>
  <si>
    <t>Actualx</t>
  </si>
  <si>
    <t>Actualy</t>
  </si>
  <si>
    <t>ve</t>
  </si>
  <si>
    <t>d</t>
  </si>
  <si>
    <t>tint</t>
  </si>
  <si>
    <t>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</si>
</sst>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</font>
    <font>
      <vertAlign val="subscript"/>
      <sz val="18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3" borderId="2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/>
    <xf numFmtId="0" fontId="2" fillId="0" borderId="21" xfId="0" applyFont="1" applyBorder="1"/>
    <xf numFmtId="0" fontId="0" fillId="0" borderId="21" xfId="0" applyBorder="1"/>
    <xf numFmtId="0" fontId="4" fillId="0" borderId="21" xfId="0" applyFont="1" applyBorder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'8-5-24'!$G$7</c:f>
              <c:strCache>
                <c:ptCount val="1"/>
                <c:pt idx="0">
                  <c:v>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88147419072616"/>
                  <c:y val="5.5595290172061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'8-5-24'!$E$8:$E$14</c:f>
              <c:numCache>
                <c:formatCode>General</c:formatCode>
                <c:ptCount val="7"/>
                <c:pt idx="0">
                  <c:v>3.5800000000000003E-3</c:v>
                </c:pt>
                <c:pt idx="1">
                  <c:v>7.1600000000000006E-3</c:v>
                </c:pt>
                <c:pt idx="2">
                  <c:v>1.0740000000000001E-2</c:v>
                </c:pt>
                <c:pt idx="3">
                  <c:v>1.4320000000000001E-2</c:v>
                </c:pt>
                <c:pt idx="4">
                  <c:v>1.7899999999999999E-2</c:v>
                </c:pt>
                <c:pt idx="5">
                  <c:v>2.1480000000000003E-2</c:v>
                </c:pt>
                <c:pt idx="6">
                  <c:v>2.5060000000000002E-2</c:v>
                </c:pt>
              </c:numCache>
            </c:numRef>
          </c:xVal>
          <c:yVal>
            <c:numRef>
              <c:f>'8-5-24'!$G$8:$G$14</c:f>
              <c:numCache>
                <c:formatCode>General</c:formatCode>
                <c:ptCount val="7"/>
                <c:pt idx="0">
                  <c:v>175</c:v>
                </c:pt>
                <c:pt idx="1">
                  <c:v>348</c:v>
                </c:pt>
                <c:pt idx="2">
                  <c:v>520</c:v>
                </c:pt>
                <c:pt idx="3">
                  <c:v>694</c:v>
                </c:pt>
                <c:pt idx="4">
                  <c:v>867</c:v>
                </c:pt>
                <c:pt idx="5">
                  <c:v>1039</c:v>
                </c:pt>
                <c:pt idx="6">
                  <c:v>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1-46F3-8E22-9DC5F5C2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61055"/>
        <c:axId val="488861471"/>
      </c:scatterChart>
      <c:valAx>
        <c:axId val="4888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Collected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471"/>
        <c:crosses val="autoZero"/>
        <c:crossBetween val="midCat"/>
      </c:valAx>
      <c:valAx>
        <c:axId val="4888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Centroid (ch)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'9-5-24'!$G$5</c:f>
              <c:strCache>
                <c:ptCount val="1"/>
                <c:pt idx="0">
                  <c:v>σDetector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'9-5-24'!$H$6:$H$38</c:f>
              <c:numCache>
                <c:formatCode>General</c:formatCode>
                <c:ptCount val="33"/>
                <c:pt idx="0">
                  <c:v>4.2553191489361701E-2</c:v>
                </c:pt>
                <c:pt idx="1">
                  <c:v>8.5106382978723402E-2</c:v>
                </c:pt>
                <c:pt idx="2">
                  <c:v>0.1276595744680851</c:v>
                </c:pt>
                <c:pt idx="3">
                  <c:v>0.1702127659574468</c:v>
                </c:pt>
                <c:pt idx="4">
                  <c:v>0.21276595744680851</c:v>
                </c:pt>
                <c:pt idx="5">
                  <c:v>0.25531914893617019</c:v>
                </c:pt>
                <c:pt idx="6">
                  <c:v>0.2978723404255319</c:v>
                </c:pt>
                <c:pt idx="7">
                  <c:v>0.34042553191489361</c:v>
                </c:pt>
                <c:pt idx="8">
                  <c:v>0.38297872340425526</c:v>
                </c:pt>
                <c:pt idx="9">
                  <c:v>0.42553191489361702</c:v>
                </c:pt>
                <c:pt idx="10">
                  <c:v>0.46808510638297868</c:v>
                </c:pt>
                <c:pt idx="11">
                  <c:v>0.51063829787234039</c:v>
                </c:pt>
                <c:pt idx="12">
                  <c:v>0.55319148936170204</c:v>
                </c:pt>
                <c:pt idx="13">
                  <c:v>0.5957446808510638</c:v>
                </c:pt>
                <c:pt idx="14">
                  <c:v>0.63829787234042545</c:v>
                </c:pt>
                <c:pt idx="15">
                  <c:v>0.68085106382978722</c:v>
                </c:pt>
                <c:pt idx="16">
                  <c:v>0.72340425531914898</c:v>
                </c:pt>
                <c:pt idx="17">
                  <c:v>0.76595744680851052</c:v>
                </c:pt>
                <c:pt idx="18">
                  <c:v>0.80851063829787229</c:v>
                </c:pt>
                <c:pt idx="19">
                  <c:v>0.85106382978723405</c:v>
                </c:pt>
                <c:pt idx="20">
                  <c:v>0.89361702127659581</c:v>
                </c:pt>
                <c:pt idx="21">
                  <c:v>0.93617021276595735</c:v>
                </c:pt>
                <c:pt idx="22">
                  <c:v>0.97872340425531912</c:v>
                </c:pt>
                <c:pt idx="23">
                  <c:v>1.0212765957446808</c:v>
                </c:pt>
                <c:pt idx="24">
                  <c:v>1.0638297872340425</c:v>
                </c:pt>
                <c:pt idx="25">
                  <c:v>1.1063829787234041</c:v>
                </c:pt>
                <c:pt idx="26">
                  <c:v>1.1489361702127661</c:v>
                </c:pt>
                <c:pt idx="27">
                  <c:v>1.1914893617021276</c:v>
                </c:pt>
                <c:pt idx="28">
                  <c:v>1.2340425531914894</c:v>
                </c:pt>
                <c:pt idx="29">
                  <c:v>1.2765957446808509</c:v>
                </c:pt>
                <c:pt idx="30">
                  <c:v>1.3191489361702127</c:v>
                </c:pt>
                <c:pt idx="31">
                  <c:v>1.3617021276595744</c:v>
                </c:pt>
                <c:pt idx="32">
                  <c:v>1.4042553191489362</c:v>
                </c:pt>
              </c:numCache>
            </c:numRef>
          </c:xVal>
          <c:yVal>
            <c:numRef>
              <c:f>'9-5-24'!$G$6:$G$38</c:f>
              <c:numCache>
                <c:formatCode>General</c:formatCode>
                <c:ptCount val="33"/>
                <c:pt idx="0">
                  <c:v>1.4105577687092865</c:v>
                </c:pt>
                <c:pt idx="1">
                  <c:v>1.4086308588655612</c:v>
                </c:pt>
                <c:pt idx="2">
                  <c:v>1.4054134715515851</c:v>
                </c:pt>
                <c:pt idx="3">
                  <c:v>1.4008967154209355</c:v>
                </c:pt>
                <c:pt idx="4">
                  <c:v>1.3950679697863446</c:v>
                </c:pt>
                <c:pt idx="5">
                  <c:v>1.3879107050378134</c:v>
                </c:pt>
                <c:pt idx="6">
                  <c:v>1.379404241613555</c:v>
                </c:pt>
                <c:pt idx="7">
                  <c:v>1.369523439081096</c:v>
                </c:pt>
                <c:pt idx="8">
                  <c:v>1.3582383039775081</c:v>
                </c:pt>
                <c:pt idx="9">
                  <c:v>1.34551350137374</c:v>
                </c:pt>
                <c:pt idx="10">
                  <c:v>1.3313077503546977</c:v>
                </c:pt>
                <c:pt idx="11">
                  <c:v>1.3155730773005694</c:v>
                </c:pt>
                <c:pt idx="12">
                  <c:v>1.2982538923761533</c:v>
                </c:pt>
                <c:pt idx="13">
                  <c:v>1.2792858430427949</c:v>
                </c:pt>
                <c:pt idx="14">
                  <c:v>1.2585943822923</c:v>
                </c:pt>
                <c:pt idx="15">
                  <c:v>1.2360929665093552</c:v>
                </c:pt>
                <c:pt idx="16">
                  <c:v>1.2116807650359884</c:v>
                </c:pt>
                <c:pt idx="17">
                  <c:v>1.1852397152688727</c:v>
                </c:pt>
                <c:pt idx="18">
                  <c:v>1.1566306846747658</c:v>
                </c:pt>
                <c:pt idx="19">
                  <c:v>1.1256883896531653</c:v>
                </c:pt>
                <c:pt idx="20">
                  <c:v>1.0922145449758462</c:v>
                </c:pt>
                <c:pt idx="21">
                  <c:v>1.0559684302581176</c:v>
                </c:pt>
                <c:pt idx="22">
                  <c:v>1.0166535746924463</c:v>
                </c:pt>
                <c:pt idx="23">
                  <c:v>0.97389840741024225</c:v>
                </c:pt>
                <c:pt idx="24">
                  <c:v>0.92722714410527385</c:v>
                </c:pt>
                <c:pt idx="25">
                  <c:v>0.87601409655506013</c:v>
                </c:pt>
                <c:pt idx="26">
                  <c:v>0.81940812160294885</c:v>
                </c:pt>
                <c:pt idx="27">
                  <c:v>0.7561991099721731</c:v>
                </c:pt>
                <c:pt idx="28">
                  <c:v>0.68456042091599245</c:v>
                </c:pt>
                <c:pt idx="29">
                  <c:v>0.6014875706403201</c:v>
                </c:pt>
                <c:pt idx="30">
                  <c:v>0.50132831275826295</c:v>
                </c:pt>
                <c:pt idx="31">
                  <c:v>0.37047443703910088</c:v>
                </c:pt>
                <c:pt idx="32">
                  <c:v>0.13982486050044848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6-4A4D-95F7-1A9BD82621AE}"/>
            </c:ext>
          </c:extLst>
        </c:ser>
        <c:ser>
          <c:idx val="1"/>
          <c:order val="1"/>
          <c:tx>
            <c:v>Goal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'9-5-24'!$I$6:$I$9</c:f>
              <c:numCache>
                <c:formatCode>General</c:formatCode>
                <c:ptCount val="4"/>
                <c:pt idx="0">
                  <c:v>0.01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'9-5-24'!$J$6:$J$9</c:f>
              <c:numCache>
                <c:formatCode>General</c:formatCode>
                <c:ptCount val="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6-4A4D-95F7-1A9BD82621AE}"/>
            </c:ext>
          </c:extLst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'9-5-24'!$K$6</c:f>
              <c:numCache>
                <c:formatCode>General</c:formatCode>
                <c:ptCount val="1"/>
                <c:pt idx="0">
                  <c:v>0.11269315000000001</c:v>
                </c:pt>
              </c:numCache>
            </c:numRef>
          </c:xVal>
          <c:yVal>
            <c:numRef>
              <c:f>'9-5-24'!$L$6</c:f>
              <c:numCache>
                <c:formatCode>General</c:formatCode>
                <c:ptCount val="1"/>
                <c:pt idx="0">
                  <c:v>1.4066926625653267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6-4A4D-95F7-1A9BD826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11920"/>
        <c:axId val="1881306096"/>
      </c:scatterChart>
      <c:valAx>
        <c:axId val="1881311920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06096"/>
        <c:crosses val="autoZero"/>
        <c:crossBetween val="midCat"/>
      </c:valAx>
      <c:valAx>
        <c:axId val="18813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1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'8-5-24'!$E$17</c:f>
              <c:strCache>
                <c:ptCount val="1"/>
                <c:pt idx="0">
                  <c:v>Qc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'8-5-24'!$C$18:$C$33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2300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</c:numCache>
            </c:numRef>
          </c:xVal>
          <c:yVal>
            <c:numRef>
              <c:f>'8-5-24'!$E$18:$E$33</c:f>
              <c:numCache>
                <c:formatCode>General</c:formatCode>
                <c:ptCount val="16"/>
                <c:pt idx="0">
                  <c:v>2.1539226244718748E-3</c:v>
                </c:pt>
                <c:pt idx="1">
                  <c:v>2.1125010355397232E-3</c:v>
                </c:pt>
                <c:pt idx="2">
                  <c:v>2.7545356639880705E-3</c:v>
                </c:pt>
                <c:pt idx="3">
                  <c:v>3.8729185651561592E-3</c:v>
                </c:pt>
                <c:pt idx="4">
                  <c:v>5.5712037113743677E-3</c:v>
                </c:pt>
                <c:pt idx="5">
                  <c:v>7.2901996520586525E-3</c:v>
                </c:pt>
                <c:pt idx="6">
                  <c:v>1.1308093778477342E-2</c:v>
                </c:pt>
                <c:pt idx="7">
                  <c:v>1.6257973655869437E-2</c:v>
                </c:pt>
                <c:pt idx="8">
                  <c:v>1.9385303620246871E-2</c:v>
                </c:pt>
                <c:pt idx="9">
                  <c:v>2.0545108110347113E-2</c:v>
                </c:pt>
                <c:pt idx="10">
                  <c:v>2.0835059232872172E-2</c:v>
                </c:pt>
                <c:pt idx="11">
                  <c:v>2.1539226244718747E-2</c:v>
                </c:pt>
                <c:pt idx="12">
                  <c:v>2.1456383066854445E-2</c:v>
                </c:pt>
                <c:pt idx="13">
                  <c:v>2.1414961477922292E-2</c:v>
                </c:pt>
                <c:pt idx="14">
                  <c:v>2.1435672272388368E-2</c:v>
                </c:pt>
                <c:pt idx="15">
                  <c:v>2.0565818904813186E-2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3-4140-9FD0-CC2BFCDF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52319"/>
        <c:axId val="488862303"/>
      </c:scatterChart>
      <c:valAx>
        <c:axId val="48885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Foil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2303"/>
        <c:crosses val="autoZero"/>
        <c:crossBetween val="midCat"/>
      </c:valAx>
      <c:valAx>
        <c:axId val="4888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Collected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'8-6-24'!$G$7</c:f>
              <c:strCache>
                <c:ptCount val="1"/>
                <c:pt idx="0">
                  <c:v>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88147419072616"/>
                  <c:y val="5.5595290172061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'8-6-24'!$E$8:$E$14</c:f>
              <c:numCache>
                <c:formatCode>General</c:formatCode>
                <c:ptCount val="7"/>
                <c:pt idx="0">
                  <c:v>2.3000000000000003E-2</c:v>
                </c:pt>
                <c:pt idx="1">
                  <c:v>4.6000000000000006E-2</c:v>
                </c:pt>
                <c:pt idx="2">
                  <c:v>6.9000000000000006E-2</c:v>
                </c:pt>
                <c:pt idx="3">
                  <c:v>9.2000000000000012E-2</c:v>
                </c:pt>
                <c:pt idx="4">
                  <c:v>0.115</c:v>
                </c:pt>
                <c:pt idx="5">
                  <c:v>0.13800000000000001</c:v>
                </c:pt>
                <c:pt idx="6">
                  <c:v>0.161</c:v>
                </c:pt>
              </c:numCache>
            </c:numRef>
          </c:xVal>
          <c:yVal>
            <c:numRef>
              <c:f>'8-6-24'!$G$8:$G$14</c:f>
              <c:numCache>
                <c:formatCode>General</c:formatCode>
                <c:ptCount val="7"/>
                <c:pt idx="0">
                  <c:v>758</c:v>
                </c:pt>
                <c:pt idx="1">
                  <c:v>1508</c:v>
                </c:pt>
                <c:pt idx="2">
                  <c:v>2255</c:v>
                </c:pt>
                <c:pt idx="3">
                  <c:v>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7-FC47-99B0-C73751CB0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61055"/>
        <c:axId val="488861471"/>
      </c:scatterChart>
      <c:valAx>
        <c:axId val="4888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Collected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471"/>
        <c:crosses val="autoZero"/>
        <c:crossBetween val="midCat"/>
      </c:valAx>
      <c:valAx>
        <c:axId val="4888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Centroid (ch)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'8-6-24'!$E$17</c:f>
              <c:strCache>
                <c:ptCount val="1"/>
                <c:pt idx="0">
                  <c:v>Qc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'8-6-24'!$C$18:$C$33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2300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</c:numCache>
            </c:numRef>
          </c:xVal>
          <c:yVal>
            <c:numRef>
              <c:f>'8-6-24'!$E$18:$E$33</c:f>
              <c:numCache>
                <c:formatCode>General</c:formatCode>
                <c:ptCount val="16"/>
                <c:pt idx="0">
                  <c:v>3.1943975181988513E-3</c:v>
                </c:pt>
                <c:pt idx="1">
                  <c:v>3.1329667966950273E-3</c:v>
                </c:pt>
                <c:pt idx="2">
                  <c:v>4.0851429800043007E-3</c:v>
                </c:pt>
                <c:pt idx="3">
                  <c:v>5.7437724606075498E-3</c:v>
                </c:pt>
                <c:pt idx="4">
                  <c:v>8.2624320422643362E-3</c:v>
                </c:pt>
                <c:pt idx="5">
                  <c:v>1.0811806984673036E-2</c:v>
                </c:pt>
                <c:pt idx="6">
                  <c:v>1.6770586970543969E-2</c:v>
                </c:pt>
                <c:pt idx="7">
                  <c:v>2.4111558190250945E-2</c:v>
                </c:pt>
                <c:pt idx="8">
                  <c:v>2.8749577663789664E-2</c:v>
                </c:pt>
                <c:pt idx="9">
                  <c:v>3.0469637865896737E-2</c:v>
                </c:pt>
                <c:pt idx="10">
                  <c:v>3.0899652916423506E-2</c:v>
                </c:pt>
                <c:pt idx="11">
                  <c:v>3.1943975181988514E-2</c:v>
                </c:pt>
                <c:pt idx="12">
                  <c:v>3.1821113738980868E-2</c:v>
                </c:pt>
                <c:pt idx="13">
                  <c:v>3.1759683017477044E-2</c:v>
                </c:pt>
                <c:pt idx="14">
                  <c:v>3.1790398378228953E-2</c:v>
                </c:pt>
                <c:pt idx="15">
                  <c:v>3.0500353226648649E-2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5-614D-96D6-821D0418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52319"/>
        <c:axId val="488862303"/>
      </c:scatterChart>
      <c:valAx>
        <c:axId val="48885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Foil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2303"/>
        <c:crosses val="autoZero"/>
        <c:crossBetween val="midCat"/>
      </c:valAx>
      <c:valAx>
        <c:axId val="4888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Collected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'8-6-24 (2)'!$G$7</c:f>
              <c:strCache>
                <c:ptCount val="1"/>
                <c:pt idx="0">
                  <c:v>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88147419072616"/>
                  <c:y val="5.5595290172061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'8-6-24 (2)'!$E$8:$E$14</c:f>
              <c:numCache>
                <c:formatCode>General</c:formatCode>
                <c:ptCount val="7"/>
                <c:pt idx="0">
                  <c:v>1.1500000000000002E-2</c:v>
                </c:pt>
                <c:pt idx="1">
                  <c:v>2.3000000000000003E-2</c:v>
                </c:pt>
                <c:pt idx="2">
                  <c:v>3.4500000000000003E-2</c:v>
                </c:pt>
                <c:pt idx="3">
                  <c:v>4.6000000000000006E-2</c:v>
                </c:pt>
                <c:pt idx="4">
                  <c:v>5.7500000000000002E-2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'8-6-24 (2)'!$G$8:$G$14</c:f>
              <c:numCache>
                <c:formatCode>General</c:formatCode>
                <c:ptCount val="7"/>
                <c:pt idx="0">
                  <c:v>1440</c:v>
                </c:pt>
                <c:pt idx="1">
                  <c:v>2869</c:v>
                </c:pt>
                <c:pt idx="2">
                  <c:v>4304</c:v>
                </c:pt>
                <c:pt idx="3">
                  <c:v>5728</c:v>
                </c:pt>
                <c:pt idx="4">
                  <c:v>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5-DD49-BDCC-177BADA7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61055"/>
        <c:axId val="488861471"/>
      </c:scatterChart>
      <c:valAx>
        <c:axId val="4888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Collected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471"/>
        <c:crosses val="autoZero"/>
        <c:crossBetween val="midCat"/>
      </c:valAx>
      <c:valAx>
        <c:axId val="4888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Centroid (ch)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'8-6-24 (2)'!$E$17</c:f>
              <c:strCache>
                <c:ptCount val="1"/>
                <c:pt idx="0">
                  <c:v>Qc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'8-6-24 (2)'!$C$18:$C$33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2300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</c:numCache>
            </c:numRef>
          </c:xVal>
          <c:yVal>
            <c:numRef>
              <c:f>'8-6-24 (2)'!$E$18:$E$33</c:f>
              <c:numCache>
                <c:formatCode>General</c:formatCode>
                <c:ptCount val="16"/>
                <c:pt idx="0">
                  <c:v>8.3572398608198139E-4</c:v>
                </c:pt>
                <c:pt idx="1">
                  <c:v>8.1965237096502024E-4</c:v>
                </c:pt>
                <c:pt idx="2">
                  <c:v>1.0687624052779184E-3</c:v>
                </c:pt>
                <c:pt idx="3">
                  <c:v>1.5026960134358705E-3</c:v>
                </c:pt>
                <c:pt idx="4">
                  <c:v>2.1616322332312786E-3</c:v>
                </c:pt>
                <c:pt idx="5">
                  <c:v>2.8286042605851678E-3</c:v>
                </c:pt>
                <c:pt idx="6">
                  <c:v>4.3875509269304027E-3</c:v>
                </c:pt>
                <c:pt idx="7">
                  <c:v>6.3081089334072636E-3</c:v>
                </c:pt>
                <c:pt idx="8">
                  <c:v>7.5215158747378328E-3</c:v>
                </c:pt>
                <c:pt idx="9">
                  <c:v>7.971521098012746E-3</c:v>
                </c:pt>
                <c:pt idx="10">
                  <c:v>8.0840224038314732E-3</c:v>
                </c:pt>
                <c:pt idx="11">
                  <c:v>8.3572398608198137E-3</c:v>
                </c:pt>
                <c:pt idx="12">
                  <c:v>8.3250966305858914E-3</c:v>
                </c:pt>
                <c:pt idx="13">
                  <c:v>8.3090250154689311E-3</c:v>
                </c:pt>
                <c:pt idx="14">
                  <c:v>8.3170608230274112E-3</c:v>
                </c:pt>
                <c:pt idx="15">
                  <c:v>7.9795569055712261E-3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3-CD4C-9826-DEAC26F6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52319"/>
        <c:axId val="488862303"/>
      </c:scatterChart>
      <c:valAx>
        <c:axId val="48885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Foil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2303"/>
        <c:crosses val="autoZero"/>
        <c:crossBetween val="midCat"/>
      </c:valAx>
      <c:valAx>
        <c:axId val="4888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Collected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'8-21-24'!$G$7</c:f>
              <c:strCache>
                <c:ptCount val="1"/>
                <c:pt idx="0">
                  <c:v>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892461562081896"/>
                  <c:y val="8.1874285714285719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'8-21-24'!$E$8:$E$14</c:f>
              <c:numCache>
                <c:formatCode>General</c:formatCode>
                <c:ptCount val="7"/>
                <c:pt idx="0">
                  <c:v>2.3E-3</c:v>
                </c:pt>
                <c:pt idx="1">
                  <c:v>4.5999999999999999E-3</c:v>
                </c:pt>
                <c:pt idx="2">
                  <c:v>6.8999999999999999E-3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'8-21-24'!$G$8:$G$14</c:f>
              <c:numCache>
                <c:formatCode>General</c:formatCode>
                <c:ptCount val="7"/>
                <c:pt idx="0">
                  <c:v>2590</c:v>
                </c:pt>
                <c:pt idx="1">
                  <c:v>5011</c:v>
                </c:pt>
                <c:pt idx="2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164C-805E-A39C0CD1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61055"/>
        <c:axId val="488861471"/>
      </c:scatterChart>
      <c:valAx>
        <c:axId val="4888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Collected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471"/>
        <c:crosses val="autoZero"/>
        <c:crossBetween val="midCat"/>
      </c:valAx>
      <c:valAx>
        <c:axId val="4888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Centroid (ch)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'8-21-24'!$E$17</c:f>
              <c:strCache>
                <c:ptCount val="1"/>
                <c:pt idx="0">
                  <c:v>Qc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'8-21-24'!$C$18:$C$33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400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2300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</c:numCache>
            </c:numRef>
          </c:xVal>
          <c:yVal>
            <c:numRef>
              <c:f>'8-21-24'!$E$18:$E$33</c:f>
              <c:numCache>
                <c:formatCode>General</c:formatCode>
                <c:ptCount val="16"/>
                <c:pt idx="0">
                  <c:v>9.7469540768509844E-5</c:v>
                </c:pt>
                <c:pt idx="1">
                  <c:v>9.5595126522961577E-5</c:v>
                </c:pt>
                <c:pt idx="2">
                  <c:v>1.2464854732895971E-4</c:v>
                </c:pt>
                <c:pt idx="3">
                  <c:v>1.7525773195876289E-4</c:v>
                </c:pt>
                <c:pt idx="4">
                  <c:v>2.5210871602624179E-4</c:v>
                </c:pt>
                <c:pt idx="5">
                  <c:v>3.2989690721649484E-4</c:v>
                </c:pt>
                <c:pt idx="6">
                  <c:v>5.117150890346767E-4</c:v>
                </c:pt>
                <c:pt idx="7">
                  <c:v>7.3570759137769448E-4</c:v>
                </c:pt>
                <c:pt idx="8">
                  <c:v>8.7722586691658857E-4</c:v>
                </c:pt>
                <c:pt idx="9">
                  <c:v>9.2970946579193998E-4</c:v>
                </c:pt>
                <c:pt idx="10">
                  <c:v>9.4283036551077786E-4</c:v>
                </c:pt>
                <c:pt idx="11">
                  <c:v>9.7469540768509839E-4</c:v>
                </c:pt>
                <c:pt idx="12">
                  <c:v>9.7094657919400188E-4</c:v>
                </c:pt>
                <c:pt idx="13">
                  <c:v>9.6907216494845363E-4</c:v>
                </c:pt>
                <c:pt idx="14">
                  <c:v>9.7000937207122775E-4</c:v>
                </c:pt>
                <c:pt idx="15">
                  <c:v>9.3064667291471411E-4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1-C148-AFC2-0666A0364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52319"/>
        <c:axId val="488862303"/>
      </c:scatterChart>
      <c:valAx>
        <c:axId val="48885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Foil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2303"/>
        <c:crosses val="autoZero"/>
        <c:crossBetween val="midCat"/>
      </c:valAx>
      <c:valAx>
        <c:axId val="4888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Collected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'9-5-24'!$H$5</c:f>
              <c:strCache>
                <c:ptCount val="1"/>
                <c:pt idx="0">
                  <c:v>σStraggling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'9-5-24'!$G$6:$G$38</c:f>
              <c:numCache>
                <c:formatCode>General</c:formatCode>
                <c:ptCount val="33"/>
                <c:pt idx="0">
                  <c:v>1.4105577687092865</c:v>
                </c:pt>
                <c:pt idx="1">
                  <c:v>1.4086308588655612</c:v>
                </c:pt>
                <c:pt idx="2">
                  <c:v>1.4054134715515851</c:v>
                </c:pt>
                <c:pt idx="3">
                  <c:v>1.4008967154209355</c:v>
                </c:pt>
                <c:pt idx="4">
                  <c:v>1.3950679697863446</c:v>
                </c:pt>
                <c:pt idx="5">
                  <c:v>1.3879107050378134</c:v>
                </c:pt>
                <c:pt idx="6">
                  <c:v>1.379404241613555</c:v>
                </c:pt>
                <c:pt idx="7">
                  <c:v>1.369523439081096</c:v>
                </c:pt>
                <c:pt idx="8">
                  <c:v>1.3582383039775081</c:v>
                </c:pt>
                <c:pt idx="9">
                  <c:v>1.34551350137374</c:v>
                </c:pt>
                <c:pt idx="10">
                  <c:v>1.3313077503546977</c:v>
                </c:pt>
                <c:pt idx="11">
                  <c:v>1.3155730773005694</c:v>
                </c:pt>
                <c:pt idx="12">
                  <c:v>1.2982538923761533</c:v>
                </c:pt>
                <c:pt idx="13">
                  <c:v>1.2792858430427949</c:v>
                </c:pt>
                <c:pt idx="14">
                  <c:v>1.2585943822923</c:v>
                </c:pt>
                <c:pt idx="15">
                  <c:v>1.2360929665093552</c:v>
                </c:pt>
                <c:pt idx="16">
                  <c:v>1.2116807650359884</c:v>
                </c:pt>
                <c:pt idx="17">
                  <c:v>1.1852397152688727</c:v>
                </c:pt>
                <c:pt idx="18">
                  <c:v>1.1566306846747658</c:v>
                </c:pt>
                <c:pt idx="19">
                  <c:v>1.1256883896531653</c:v>
                </c:pt>
                <c:pt idx="20">
                  <c:v>1.0922145449758462</c:v>
                </c:pt>
                <c:pt idx="21">
                  <c:v>1.0559684302581176</c:v>
                </c:pt>
                <c:pt idx="22">
                  <c:v>1.0166535746924463</c:v>
                </c:pt>
                <c:pt idx="23">
                  <c:v>0.97389840741024225</c:v>
                </c:pt>
                <c:pt idx="24">
                  <c:v>0.92722714410527385</c:v>
                </c:pt>
                <c:pt idx="25">
                  <c:v>0.87601409655506013</c:v>
                </c:pt>
                <c:pt idx="26">
                  <c:v>0.81940812160294885</c:v>
                </c:pt>
                <c:pt idx="27">
                  <c:v>0.7561991099721731</c:v>
                </c:pt>
                <c:pt idx="28">
                  <c:v>0.68456042091599245</c:v>
                </c:pt>
                <c:pt idx="29">
                  <c:v>0.6014875706403201</c:v>
                </c:pt>
                <c:pt idx="30">
                  <c:v>0.50132831275826295</c:v>
                </c:pt>
                <c:pt idx="31">
                  <c:v>0.37047443703910088</c:v>
                </c:pt>
                <c:pt idx="32">
                  <c:v>0.13982486050044848</c:v>
                </c:pt>
              </c:numCache>
            </c:numRef>
          </c:xVal>
          <c:yVal>
            <c:numRef>
              <c:f>'9-5-24'!$H$6:$H$38</c:f>
              <c:numCache>
                <c:formatCode>General</c:formatCode>
                <c:ptCount val="33"/>
                <c:pt idx="0">
                  <c:v>4.2553191489361701E-2</c:v>
                </c:pt>
                <c:pt idx="1">
                  <c:v>8.5106382978723402E-2</c:v>
                </c:pt>
                <c:pt idx="2">
                  <c:v>0.1276595744680851</c:v>
                </c:pt>
                <c:pt idx="3">
                  <c:v>0.1702127659574468</c:v>
                </c:pt>
                <c:pt idx="4">
                  <c:v>0.21276595744680851</c:v>
                </c:pt>
                <c:pt idx="5">
                  <c:v>0.25531914893617019</c:v>
                </c:pt>
                <c:pt idx="6">
                  <c:v>0.2978723404255319</c:v>
                </c:pt>
                <c:pt idx="7">
                  <c:v>0.34042553191489361</c:v>
                </c:pt>
                <c:pt idx="8">
                  <c:v>0.38297872340425526</c:v>
                </c:pt>
                <c:pt idx="9">
                  <c:v>0.42553191489361702</c:v>
                </c:pt>
                <c:pt idx="10">
                  <c:v>0.46808510638297868</c:v>
                </c:pt>
                <c:pt idx="11">
                  <c:v>0.51063829787234039</c:v>
                </c:pt>
                <c:pt idx="12">
                  <c:v>0.55319148936170204</c:v>
                </c:pt>
                <c:pt idx="13">
                  <c:v>0.5957446808510638</c:v>
                </c:pt>
                <c:pt idx="14">
                  <c:v>0.63829787234042545</c:v>
                </c:pt>
                <c:pt idx="15">
                  <c:v>0.68085106382978722</c:v>
                </c:pt>
                <c:pt idx="16">
                  <c:v>0.72340425531914898</c:v>
                </c:pt>
                <c:pt idx="17">
                  <c:v>0.76595744680851052</c:v>
                </c:pt>
                <c:pt idx="18">
                  <c:v>0.80851063829787229</c:v>
                </c:pt>
                <c:pt idx="19">
                  <c:v>0.85106382978723405</c:v>
                </c:pt>
                <c:pt idx="20">
                  <c:v>0.89361702127659581</c:v>
                </c:pt>
                <c:pt idx="21">
                  <c:v>0.93617021276595735</c:v>
                </c:pt>
                <c:pt idx="22">
                  <c:v>0.97872340425531912</c:v>
                </c:pt>
                <c:pt idx="23">
                  <c:v>1.0212765957446808</c:v>
                </c:pt>
                <c:pt idx="24">
                  <c:v>1.0638297872340425</c:v>
                </c:pt>
                <c:pt idx="25">
                  <c:v>1.1063829787234041</c:v>
                </c:pt>
                <c:pt idx="26">
                  <c:v>1.1489361702127661</c:v>
                </c:pt>
                <c:pt idx="27">
                  <c:v>1.1914893617021276</c:v>
                </c:pt>
                <c:pt idx="28">
                  <c:v>1.2340425531914894</c:v>
                </c:pt>
                <c:pt idx="29">
                  <c:v>1.2765957446808509</c:v>
                </c:pt>
                <c:pt idx="30">
                  <c:v>1.3191489361702127</c:v>
                </c:pt>
                <c:pt idx="31">
                  <c:v>1.3617021276595744</c:v>
                </c:pt>
                <c:pt idx="32">
                  <c:v>1.4042553191489362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6B1-83E5-54EFFEFAEE4C}"/>
            </c:ext>
          </c:extLst>
        </c:ser>
        <c:ser>
          <c:idx val="1"/>
          <c:order val="1"/>
          <c:tx>
            <c:strRef>
              <c:f>'9-5-24'!$I$5</c:f>
              <c:strCache>
                <c:ptCount val="1"/>
                <c:pt idx="0">
                  <c:v>Goalx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'9-5-24'!$I$6:$I$9</c:f>
              <c:numCache>
                <c:formatCode>General</c:formatCode>
                <c:ptCount val="4"/>
                <c:pt idx="0">
                  <c:v>0.01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'9-5-24'!$J$6:$J$9</c:f>
              <c:numCache>
                <c:formatCode>General</c:formatCode>
                <c:ptCount val="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CB-46B1-83E5-54EFFEFA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48464"/>
        <c:axId val="1880548048"/>
      </c:scatterChart>
      <c:valAx>
        <c:axId val="1880548464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48048"/>
        <c:crosses val="autoZero"/>
        <c:crossBetween val="midCat"/>
      </c:valAx>
      <c:valAx>
        <c:axId val="18805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5</xdr:row>
      <xdr:rowOff>190500</xdr:rowOff>
    </xdr:from>
    <xdr:to>
      <xdr:col>16</xdr:col>
      <xdr:colOff>633412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22</xdr:row>
      <xdr:rowOff>142875</xdr:rowOff>
    </xdr:from>
    <xdr:to>
      <xdr:col>16</xdr:col>
      <xdr:colOff>442912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5</xdr:row>
      <xdr:rowOff>190500</xdr:rowOff>
    </xdr:from>
    <xdr:to>
      <xdr:col>16</xdr:col>
      <xdr:colOff>633412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3A496-BAF9-C043-807E-2D4D1B1C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22</xdr:row>
      <xdr:rowOff>142875</xdr:rowOff>
    </xdr:from>
    <xdr:to>
      <xdr:col>16</xdr:col>
      <xdr:colOff>442912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A3720-8C12-8644-9267-D318E8CF7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5</xdr:row>
      <xdr:rowOff>190500</xdr:rowOff>
    </xdr:from>
    <xdr:to>
      <xdr:col>16</xdr:col>
      <xdr:colOff>633412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9813F-6C58-894A-88D8-0D1FFDB70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22</xdr:row>
      <xdr:rowOff>142875</xdr:rowOff>
    </xdr:from>
    <xdr:to>
      <xdr:col>16</xdr:col>
      <xdr:colOff>442912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94C1D-32C9-794B-832D-A7639B7F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5</xdr:row>
      <xdr:rowOff>190500</xdr:rowOff>
    </xdr:from>
    <xdr:to>
      <xdr:col>16</xdr:col>
      <xdr:colOff>633412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1A4F8-C5FE-A746-A377-205403CC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22</xdr:row>
      <xdr:rowOff>142875</xdr:rowOff>
    </xdr:from>
    <xdr:to>
      <xdr:col>16</xdr:col>
      <xdr:colOff>442912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BEF51-6221-E145-9388-1CBA88534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4</xdr:row>
      <xdr:rowOff>180975</xdr:rowOff>
    </xdr:from>
    <xdr:to>
      <xdr:col>20</xdr:col>
      <xdr:colOff>571500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185737</xdr:colOff>
      <xdr:row>21</xdr:row>
      <xdr:rowOff>38100</xdr:rowOff>
    </xdr:from>
    <xdr:to>
      <xdr:col>19</xdr:col>
      <xdr:colOff>490537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3"/>
  <sheetViews>
    <sheetView workbookViewId="0">
      <selection activeCell="F36" sqref="F36"/>
    </sheetView>
  </sheetViews>
  <sheetFormatPr defaultColWidth="8.85546875" defaultRowHeight="15" x14ac:dyDescent="0.25"/>
  <cols>
    <col min="1" max="1" width="2.85546875" customWidth="1"/>
    <col min="3" max="3" width="11" bestFit="1" customWidth="1"/>
    <col min="4" max="4" width="10" bestFit="1" customWidth="1"/>
    <col min="6" max="6" width="12.28515625" bestFit="1" customWidth="1"/>
    <col min="7" max="7" width="14.42578125" bestFit="1" customWidth="1"/>
    <col min="8" max="8" width="12.7109375" bestFit="1" customWidth="1"/>
    <col min="9" max="9" width="12.140625" bestFit="1" customWidth="1"/>
    <col min="10" max="10" width="11" bestFit="1" customWidth="1"/>
    <col min="11" max="11" width="10" bestFit="1" customWidth="1"/>
    <col min="12" max="12" width="11.42578125" bestFit="1" customWidth="1"/>
    <col min="13" max="13" width="12" bestFit="1" customWidth="1"/>
    <col min="14" max="14" width="11" bestFit="1" customWidth="1"/>
    <col min="16" max="16" width="8.42578125" bestFit="1" customWidth="1"/>
    <col min="17" max="17" width="16.85546875" bestFit="1" customWidth="1"/>
  </cols>
  <sheetData>
    <row r="1" spans="2:17" ht="11.25" customHeight="1" thickBot="1" x14ac:dyDescent="0.3"/>
    <row r="2" spans="2:17" ht="15.75" thickBot="1" x14ac:dyDescent="0.3">
      <c r="B2" s="1" t="s">
        <v>0</v>
      </c>
      <c r="C2" s="2" t="s">
        <v>3</v>
      </c>
      <c r="D2" s="3" t="s">
        <v>4</v>
      </c>
      <c r="F2" s="1" t="s">
        <v>14</v>
      </c>
      <c r="G2" s="2" t="s">
        <v>13</v>
      </c>
      <c r="H2" s="2" t="s">
        <v>12</v>
      </c>
      <c r="I2" s="2" t="s">
        <v>11</v>
      </c>
      <c r="J2" s="2" t="s">
        <v>10</v>
      </c>
      <c r="K2" s="2" t="s">
        <v>9</v>
      </c>
      <c r="L2" s="3" t="s">
        <v>8</v>
      </c>
      <c r="N2" s="1" t="s">
        <v>15</v>
      </c>
      <c r="O2" s="2" t="s">
        <v>16</v>
      </c>
      <c r="P2" s="2" t="s">
        <v>17</v>
      </c>
      <c r="Q2" s="3" t="s">
        <v>20</v>
      </c>
    </row>
    <row r="3" spans="2:17" ht="15.75" thickBot="1" x14ac:dyDescent="0.3">
      <c r="B3" s="4" t="s">
        <v>1</v>
      </c>
      <c r="C3" s="5">
        <v>0.17899999999999999</v>
      </c>
      <c r="D3" s="6" t="s">
        <v>5</v>
      </c>
      <c r="F3" s="11" t="s">
        <v>7</v>
      </c>
      <c r="G3" s="12">
        <v>100</v>
      </c>
      <c r="H3" s="12">
        <v>5</v>
      </c>
      <c r="I3" s="12">
        <v>5</v>
      </c>
      <c r="J3" s="12">
        <v>1</v>
      </c>
      <c r="K3" s="12">
        <v>60</v>
      </c>
      <c r="L3" s="13">
        <v>30</v>
      </c>
      <c r="N3" s="11" t="s">
        <v>18</v>
      </c>
      <c r="O3" s="12">
        <v>100</v>
      </c>
      <c r="P3" s="12" t="s">
        <v>19</v>
      </c>
      <c r="Q3" s="13">
        <v>0.5</v>
      </c>
    </row>
    <row r="4" spans="2:17" ht="15.75" thickBot="1" x14ac:dyDescent="0.3">
      <c r="B4" s="7" t="s">
        <v>2</v>
      </c>
      <c r="C4" s="8">
        <v>51</v>
      </c>
      <c r="D4" s="9" t="s">
        <v>6</v>
      </c>
    </row>
    <row r="6" spans="2:17" ht="15.75" thickBot="1" x14ac:dyDescent="0.3"/>
    <row r="7" spans="2:17" ht="15.75" thickBot="1" x14ac:dyDescent="0.3">
      <c r="B7" s="16" t="s">
        <v>22</v>
      </c>
      <c r="C7" s="1" t="s">
        <v>9</v>
      </c>
      <c r="D7" s="2" t="s">
        <v>23</v>
      </c>
      <c r="E7" s="2" t="s">
        <v>24</v>
      </c>
      <c r="F7" s="2" t="s">
        <v>25</v>
      </c>
      <c r="G7" s="18" t="s">
        <v>21</v>
      </c>
      <c r="H7" s="2" t="s">
        <v>26</v>
      </c>
      <c r="I7" s="3" t="s">
        <v>27</v>
      </c>
    </row>
    <row r="8" spans="2:17" x14ac:dyDescent="0.25">
      <c r="B8" s="15"/>
      <c r="C8" s="4">
        <v>20</v>
      </c>
      <c r="D8" s="5"/>
      <c r="E8" s="5">
        <f>C8*$C$3*0.000000001*0.001*1000000000</f>
        <v>3.5800000000000003E-3</v>
      </c>
      <c r="F8" s="5"/>
      <c r="G8" s="19">
        <v>175</v>
      </c>
      <c r="H8" s="5">
        <f>E8/G8</f>
        <v>2.0457142857142857E-5</v>
      </c>
      <c r="I8" s="6"/>
    </row>
    <row r="9" spans="2:17" x14ac:dyDescent="0.25">
      <c r="B9" s="15"/>
      <c r="C9" s="17">
        <v>40</v>
      </c>
      <c r="D9" s="14"/>
      <c r="E9" s="14">
        <f t="shared" ref="E9:E14" si="0">C9*$C$3*0.000000001*0.001*1000000000</f>
        <v>7.1600000000000006E-3</v>
      </c>
      <c r="F9" s="14"/>
      <c r="G9" s="20">
        <v>348</v>
      </c>
      <c r="H9" s="14">
        <f t="shared" ref="H9:H14" si="1">E9/G9</f>
        <v>2.0574712643678162E-5</v>
      </c>
      <c r="I9" s="22"/>
    </row>
    <row r="10" spans="2:17" x14ac:dyDescent="0.25">
      <c r="B10" s="16"/>
      <c r="C10" s="17">
        <v>60</v>
      </c>
      <c r="D10" s="14"/>
      <c r="E10" s="14">
        <f t="shared" si="0"/>
        <v>1.0740000000000001E-2</v>
      </c>
      <c r="F10" s="14"/>
      <c r="G10" s="20">
        <v>520</v>
      </c>
      <c r="H10" s="14">
        <f t="shared" si="1"/>
        <v>2.0653846153846155E-5</v>
      </c>
      <c r="I10" s="22"/>
    </row>
    <row r="11" spans="2:17" x14ac:dyDescent="0.25">
      <c r="B11" s="15"/>
      <c r="C11" s="17">
        <v>80</v>
      </c>
      <c r="D11" s="14"/>
      <c r="E11" s="14">
        <f t="shared" si="0"/>
        <v>1.4320000000000001E-2</v>
      </c>
      <c r="F11" s="14"/>
      <c r="G11" s="20">
        <v>694</v>
      </c>
      <c r="H11" s="14">
        <f t="shared" si="1"/>
        <v>2.0634005763688764E-5</v>
      </c>
      <c r="I11" s="22"/>
    </row>
    <row r="12" spans="2:17" x14ac:dyDescent="0.25">
      <c r="B12" s="15"/>
      <c r="C12" s="17">
        <v>100</v>
      </c>
      <c r="D12" s="14"/>
      <c r="E12" s="14">
        <f t="shared" si="0"/>
        <v>1.7899999999999999E-2</v>
      </c>
      <c r="F12" s="14"/>
      <c r="G12" s="20">
        <v>867</v>
      </c>
      <c r="H12" s="14">
        <f t="shared" si="1"/>
        <v>2.0645905420991924E-5</v>
      </c>
      <c r="I12" s="22"/>
    </row>
    <row r="13" spans="2:17" x14ac:dyDescent="0.25">
      <c r="B13" s="16"/>
      <c r="C13" s="17">
        <v>120</v>
      </c>
      <c r="D13" s="14"/>
      <c r="E13" s="14">
        <f t="shared" si="0"/>
        <v>2.1480000000000003E-2</v>
      </c>
      <c r="F13" s="14"/>
      <c r="G13" s="20">
        <v>1039</v>
      </c>
      <c r="H13" s="14">
        <f t="shared" si="1"/>
        <v>2.0673724735322428E-5</v>
      </c>
      <c r="I13" s="22"/>
    </row>
    <row r="14" spans="2:17" ht="15.75" thickBot="1" x14ac:dyDescent="0.3">
      <c r="B14" s="15"/>
      <c r="C14" s="7">
        <v>140</v>
      </c>
      <c r="D14" s="8"/>
      <c r="E14" s="8">
        <f t="shared" si="0"/>
        <v>2.5060000000000002E-2</v>
      </c>
      <c r="F14" s="8"/>
      <c r="G14" s="21">
        <v>1212</v>
      </c>
      <c r="H14" s="8">
        <f t="shared" si="1"/>
        <v>2.0676567656765679E-5</v>
      </c>
      <c r="I14" s="9"/>
    </row>
    <row r="16" spans="2:17" ht="15.75" thickBot="1" x14ac:dyDescent="0.3"/>
    <row r="17" spans="2:14" ht="15.75" thickBot="1" x14ac:dyDescent="0.3">
      <c r="B17" s="16" t="s">
        <v>30</v>
      </c>
      <c r="C17" s="1" t="s">
        <v>31</v>
      </c>
      <c r="D17" s="2" t="s">
        <v>21</v>
      </c>
      <c r="E17" s="3" t="s">
        <v>32</v>
      </c>
      <c r="F17" s="10" t="s">
        <v>33</v>
      </c>
    </row>
    <row r="18" spans="2:14" x14ac:dyDescent="0.25">
      <c r="C18" s="4">
        <v>50</v>
      </c>
      <c r="D18" s="5">
        <v>104</v>
      </c>
      <c r="E18" s="6">
        <f>D18*$M$22</f>
        <v>2.1539226244718748E-3</v>
      </c>
      <c r="F18">
        <f>E18*22*(1/1.602E-19)*0.000000001/1000000</f>
        <v>295.79461759289177</v>
      </c>
    </row>
    <row r="19" spans="2:14" x14ac:dyDescent="0.25">
      <c r="C19" s="17">
        <v>100</v>
      </c>
      <c r="D19" s="14">
        <v>102</v>
      </c>
      <c r="E19" s="6">
        <f t="shared" ref="E19:E33" si="2">D19*$M$22</f>
        <v>2.1125010355397232E-3</v>
      </c>
      <c r="F19">
        <f t="shared" ref="F19:F33" si="3">E19*22*(1/1.602E-19)*0.000000001/1000000</f>
        <v>290.10625956225914</v>
      </c>
    </row>
    <row r="20" spans="2:14" x14ac:dyDescent="0.25">
      <c r="C20" s="17">
        <v>400</v>
      </c>
      <c r="D20" s="14">
        <v>133</v>
      </c>
      <c r="E20" s="6">
        <f t="shared" si="2"/>
        <v>2.7545356639880705E-3</v>
      </c>
      <c r="F20">
        <f t="shared" si="3"/>
        <v>378.27580903706337</v>
      </c>
    </row>
    <row r="21" spans="2:14" x14ac:dyDescent="0.25">
      <c r="C21" s="17">
        <v>500</v>
      </c>
      <c r="D21" s="14">
        <v>187</v>
      </c>
      <c r="E21" s="6">
        <f t="shared" si="2"/>
        <v>3.8729185651561592E-3</v>
      </c>
      <c r="F21">
        <f t="shared" si="3"/>
        <v>531.86147586414165</v>
      </c>
    </row>
    <row r="22" spans="2:14" x14ac:dyDescent="0.25">
      <c r="C22" s="17">
        <v>650</v>
      </c>
      <c r="D22" s="14">
        <v>269</v>
      </c>
      <c r="E22" s="6">
        <f t="shared" si="2"/>
        <v>5.5712037113743677E-3</v>
      </c>
      <c r="F22">
        <f t="shared" si="3"/>
        <v>765.08415512007559</v>
      </c>
      <c r="L22" s="23" t="s">
        <v>28</v>
      </c>
      <c r="M22">
        <f>1/48284</f>
        <v>2.0710794466075717E-5</v>
      </c>
      <c r="N22" t="s">
        <v>29</v>
      </c>
    </row>
    <row r="23" spans="2:14" x14ac:dyDescent="0.25">
      <c r="C23" s="17">
        <v>800</v>
      </c>
      <c r="D23" s="14">
        <v>352</v>
      </c>
      <c r="E23" s="6">
        <f t="shared" si="2"/>
        <v>7.2901996520586525E-3</v>
      </c>
      <c r="F23">
        <f t="shared" si="3"/>
        <v>1001.1510133913257</v>
      </c>
    </row>
    <row r="24" spans="2:14" x14ac:dyDescent="0.25">
      <c r="C24" s="17">
        <v>1000</v>
      </c>
      <c r="D24" s="14">
        <v>546</v>
      </c>
      <c r="E24" s="6">
        <f t="shared" si="2"/>
        <v>1.1308093778477342E-2</v>
      </c>
      <c r="F24">
        <f t="shared" si="3"/>
        <v>1552.9217423626815</v>
      </c>
    </row>
    <row r="25" spans="2:14" x14ac:dyDescent="0.25">
      <c r="C25" s="17">
        <v>1250</v>
      </c>
      <c r="D25" s="14">
        <v>785</v>
      </c>
      <c r="E25" s="6">
        <f t="shared" si="2"/>
        <v>1.6257973655869437E-2</v>
      </c>
      <c r="F25">
        <f t="shared" si="3"/>
        <v>2232.6805270232685</v>
      </c>
    </row>
    <row r="26" spans="2:14" x14ac:dyDescent="0.25">
      <c r="C26" s="17">
        <v>1500</v>
      </c>
      <c r="D26" s="14">
        <v>936</v>
      </c>
      <c r="E26" s="6">
        <f t="shared" si="2"/>
        <v>1.9385303620246871E-2</v>
      </c>
      <c r="F26">
        <f t="shared" si="3"/>
        <v>2662.1515583360251</v>
      </c>
    </row>
    <row r="27" spans="2:14" x14ac:dyDescent="0.25">
      <c r="C27" s="17">
        <v>1750</v>
      </c>
      <c r="D27" s="14">
        <v>992</v>
      </c>
      <c r="E27" s="6">
        <f t="shared" si="2"/>
        <v>2.0545108110347113E-2</v>
      </c>
      <c r="F27">
        <f t="shared" si="3"/>
        <v>2821.4255831937367</v>
      </c>
    </row>
    <row r="28" spans="2:14" x14ac:dyDescent="0.25">
      <c r="C28" s="17">
        <v>2000</v>
      </c>
      <c r="D28" s="14">
        <v>1006</v>
      </c>
      <c r="E28" s="6">
        <f t="shared" si="2"/>
        <v>2.0835059232872172E-2</v>
      </c>
      <c r="F28">
        <f t="shared" si="3"/>
        <v>2861.2440894081642</v>
      </c>
    </row>
    <row r="29" spans="2:14" x14ac:dyDescent="0.25">
      <c r="C29" s="17">
        <v>2300</v>
      </c>
      <c r="D29" s="14">
        <v>1040</v>
      </c>
      <c r="E29" s="6">
        <f t="shared" si="2"/>
        <v>2.1539226244718747E-2</v>
      </c>
      <c r="F29">
        <f t="shared" si="3"/>
        <v>2957.9461759289175</v>
      </c>
    </row>
    <row r="30" spans="2:14" x14ac:dyDescent="0.25">
      <c r="C30" s="17">
        <v>2600</v>
      </c>
      <c r="D30" s="14">
        <v>1036</v>
      </c>
      <c r="E30" s="6">
        <f t="shared" si="2"/>
        <v>2.1456383066854445E-2</v>
      </c>
      <c r="F30">
        <f t="shared" si="3"/>
        <v>2946.5694598676519</v>
      </c>
    </row>
    <row r="31" spans="2:14" x14ac:dyDescent="0.25">
      <c r="C31" s="17">
        <v>2700</v>
      </c>
      <c r="D31" s="14">
        <v>1034</v>
      </c>
      <c r="E31" s="6">
        <f t="shared" si="2"/>
        <v>2.1414961477922292E-2</v>
      </c>
      <c r="F31">
        <f t="shared" si="3"/>
        <v>2940.8811018370193</v>
      </c>
    </row>
    <row r="32" spans="2:14" x14ac:dyDescent="0.25">
      <c r="C32" s="17">
        <v>2800</v>
      </c>
      <c r="D32" s="14">
        <v>1035</v>
      </c>
      <c r="E32" s="6">
        <f t="shared" si="2"/>
        <v>2.1435672272388368E-2</v>
      </c>
      <c r="F32">
        <f t="shared" si="3"/>
        <v>2943.7252808523358</v>
      </c>
    </row>
    <row r="33" spans="3:6" ht="15.75" thickBot="1" x14ac:dyDescent="0.3">
      <c r="C33" s="7">
        <v>2900</v>
      </c>
      <c r="D33" s="8">
        <v>993</v>
      </c>
      <c r="E33" s="9">
        <f t="shared" si="2"/>
        <v>2.0565818904813186E-2</v>
      </c>
      <c r="F33">
        <f t="shared" si="3"/>
        <v>2824.2697622090518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3"/>
  <sheetViews>
    <sheetView topLeftCell="B6" workbookViewId="0">
      <selection activeCell="H22" sqref="H22"/>
    </sheetView>
  </sheetViews>
  <sheetFormatPr defaultColWidth="8.85546875" defaultRowHeight="15" x14ac:dyDescent="0.25"/>
  <cols>
    <col min="1" max="1" width="2.85546875" customWidth="1"/>
    <col min="3" max="3" width="11" bestFit="1" customWidth="1"/>
    <col min="4" max="4" width="10" bestFit="1" customWidth="1"/>
    <col min="6" max="6" width="12.28515625" bestFit="1" customWidth="1"/>
    <col min="7" max="7" width="14.42578125" bestFit="1" customWidth="1"/>
    <col min="8" max="8" width="12.7109375" bestFit="1" customWidth="1"/>
    <col min="9" max="9" width="12.140625" bestFit="1" customWidth="1"/>
    <col min="10" max="10" width="11" bestFit="1" customWidth="1"/>
    <col min="11" max="11" width="10" bestFit="1" customWidth="1"/>
    <col min="12" max="12" width="11.42578125" bestFit="1" customWidth="1"/>
    <col min="13" max="13" width="12" bestFit="1" customWidth="1"/>
    <col min="14" max="14" width="11" bestFit="1" customWidth="1"/>
    <col min="16" max="16" width="13.28515625" customWidth="1"/>
    <col min="17" max="17" width="16.85546875" bestFit="1" customWidth="1"/>
  </cols>
  <sheetData>
    <row r="1" spans="2:17" ht="11.25" customHeight="1" thickBot="1" x14ac:dyDescent="0.3"/>
    <row r="2" spans="2:17" ht="15.75" thickBot="1" x14ac:dyDescent="0.3">
      <c r="B2" s="1" t="s">
        <v>0</v>
      </c>
      <c r="C2" s="2" t="s">
        <v>3</v>
      </c>
      <c r="D2" s="3" t="s">
        <v>4</v>
      </c>
      <c r="F2" s="1" t="s">
        <v>14</v>
      </c>
      <c r="G2" s="2" t="s">
        <v>13</v>
      </c>
      <c r="H2" s="2" t="s">
        <v>12</v>
      </c>
      <c r="I2" s="2" t="s">
        <v>11</v>
      </c>
      <c r="J2" s="2" t="s">
        <v>10</v>
      </c>
      <c r="K2" s="2" t="s">
        <v>9</v>
      </c>
      <c r="L2" s="3" t="s">
        <v>8</v>
      </c>
      <c r="N2" s="1" t="s">
        <v>15</v>
      </c>
      <c r="O2" s="2" t="s">
        <v>16</v>
      </c>
      <c r="P2" s="2" t="s">
        <v>17</v>
      </c>
      <c r="Q2" s="3" t="s">
        <v>20</v>
      </c>
    </row>
    <row r="3" spans="2:17" ht="15.75" thickBot="1" x14ac:dyDescent="0.3">
      <c r="B3" s="4" t="s">
        <v>1</v>
      </c>
      <c r="C3" s="5">
        <v>1.1499999999999999</v>
      </c>
      <c r="D3" s="6" t="s">
        <v>5</v>
      </c>
      <c r="F3" s="11" t="s">
        <v>7</v>
      </c>
      <c r="G3" s="12">
        <v>100</v>
      </c>
      <c r="H3" s="12">
        <v>5</v>
      </c>
      <c r="I3" s="12">
        <v>5</v>
      </c>
      <c r="J3" s="12">
        <v>1</v>
      </c>
      <c r="K3" s="12" t="s">
        <v>34</v>
      </c>
      <c r="L3" s="13" t="s">
        <v>35</v>
      </c>
      <c r="N3" s="11" t="s">
        <v>18</v>
      </c>
      <c r="O3" s="12">
        <v>100</v>
      </c>
      <c r="P3" s="12" t="s">
        <v>19</v>
      </c>
      <c r="Q3" s="13">
        <v>0.5</v>
      </c>
    </row>
    <row r="4" spans="2:17" ht="15.75" thickBot="1" x14ac:dyDescent="0.3">
      <c r="B4" s="7" t="s">
        <v>2</v>
      </c>
      <c r="C4" s="8">
        <v>51</v>
      </c>
      <c r="D4" s="9" t="s">
        <v>6</v>
      </c>
      <c r="N4" s="1" t="s">
        <v>38</v>
      </c>
      <c r="O4" s="2" t="s">
        <v>39</v>
      </c>
      <c r="P4" s="2"/>
      <c r="Q4" s="3"/>
    </row>
    <row r="5" spans="2:17" ht="15.75" thickBot="1" x14ac:dyDescent="0.3">
      <c r="N5" s="11" t="s">
        <v>40</v>
      </c>
      <c r="O5" s="12">
        <v>10</v>
      </c>
      <c r="P5" s="12"/>
      <c r="Q5" s="13"/>
    </row>
    <row r="6" spans="2:17" ht="15.75" thickBot="1" x14ac:dyDescent="0.3"/>
    <row r="7" spans="2:17" ht="15.75" thickBot="1" x14ac:dyDescent="0.3">
      <c r="B7" s="16" t="s">
        <v>22</v>
      </c>
      <c r="C7" s="1" t="s">
        <v>9</v>
      </c>
      <c r="D7" s="2" t="s">
        <v>23</v>
      </c>
      <c r="E7" s="2" t="s">
        <v>24</v>
      </c>
      <c r="F7" s="2" t="s">
        <v>25</v>
      </c>
      <c r="G7" s="18" t="s">
        <v>21</v>
      </c>
      <c r="H7" s="2" t="s">
        <v>26</v>
      </c>
      <c r="I7" s="3" t="s">
        <v>27</v>
      </c>
    </row>
    <row r="8" spans="2:17" x14ac:dyDescent="0.25">
      <c r="B8" s="15"/>
      <c r="C8" s="4">
        <v>20</v>
      </c>
      <c r="D8" s="5">
        <v>28</v>
      </c>
      <c r="E8" s="5">
        <f>C8*$C$3*0.000000001*0.001*1000000000</f>
        <v>2.3000000000000003E-2</v>
      </c>
      <c r="F8" s="5">
        <f>D8*$C$3*0.001</f>
        <v>3.2199999999999999E-2</v>
      </c>
      <c r="G8" s="19">
        <v>758</v>
      </c>
      <c r="H8" s="5">
        <f>E8/G8</f>
        <v>3.0343007915567287E-5</v>
      </c>
      <c r="I8" s="6">
        <f>F8/G8</f>
        <v>4.2480211081794194E-5</v>
      </c>
    </row>
    <row r="9" spans="2:17" x14ac:dyDescent="0.25">
      <c r="B9" s="15"/>
      <c r="C9" s="17">
        <v>40</v>
      </c>
      <c r="D9" s="14">
        <v>52</v>
      </c>
      <c r="E9" s="14">
        <f t="shared" ref="E9:E14" si="0">C9*$C$3*0.000000001*0.001*1000000000</f>
        <v>4.6000000000000006E-2</v>
      </c>
      <c r="F9" s="5">
        <f t="shared" ref="F9:F14" si="1">D9*$C$3*0.001</f>
        <v>5.9799999999999999E-2</v>
      </c>
      <c r="G9" s="20">
        <v>1508</v>
      </c>
      <c r="H9" s="14">
        <f t="shared" ref="H9:H14" si="2">E9/G9</f>
        <v>3.0503978779840854E-5</v>
      </c>
      <c r="I9" s="6">
        <f t="shared" ref="I9:I14" si="3">F9/G9</f>
        <v>3.9655172413793101E-5</v>
      </c>
    </row>
    <row r="10" spans="2:17" x14ac:dyDescent="0.25">
      <c r="B10" s="16"/>
      <c r="C10" s="17">
        <v>60</v>
      </c>
      <c r="D10" s="14">
        <v>73</v>
      </c>
      <c r="E10" s="14">
        <f t="shared" si="0"/>
        <v>6.9000000000000006E-2</v>
      </c>
      <c r="F10" s="5">
        <f t="shared" si="1"/>
        <v>8.3949999999999997E-2</v>
      </c>
      <c r="G10" s="20">
        <v>2255</v>
      </c>
      <c r="H10" s="14">
        <f t="shared" si="2"/>
        <v>3.0598669623059869E-5</v>
      </c>
      <c r="I10" s="6">
        <f t="shared" si="3"/>
        <v>3.7228381374722835E-5</v>
      </c>
    </row>
    <row r="11" spans="2:17" x14ac:dyDescent="0.25">
      <c r="B11" s="15"/>
      <c r="C11" s="17">
        <v>80</v>
      </c>
      <c r="D11" s="14">
        <v>98</v>
      </c>
      <c r="E11" s="14">
        <f t="shared" si="0"/>
        <v>9.2000000000000012E-2</v>
      </c>
      <c r="F11" s="5">
        <f t="shared" si="1"/>
        <v>0.11269999999999999</v>
      </c>
      <c r="G11" s="20">
        <v>3005</v>
      </c>
      <c r="H11" s="14">
        <f t="shared" si="2"/>
        <v>3.0615640599001671E-5</v>
      </c>
      <c r="I11" s="6">
        <f t="shared" si="3"/>
        <v>3.750415973377704E-5</v>
      </c>
    </row>
    <row r="12" spans="2:17" x14ac:dyDescent="0.25">
      <c r="B12" s="15"/>
      <c r="C12" s="17">
        <v>100</v>
      </c>
      <c r="D12" s="14"/>
      <c r="E12" s="14">
        <f t="shared" si="0"/>
        <v>0.115</v>
      </c>
      <c r="F12" s="5">
        <f t="shared" si="1"/>
        <v>0</v>
      </c>
      <c r="G12" s="20"/>
      <c r="H12" s="14" t="e">
        <f t="shared" si="2"/>
        <v>#DIV/0!</v>
      </c>
      <c r="I12" s="6" t="e">
        <f t="shared" si="3"/>
        <v>#DIV/0!</v>
      </c>
    </row>
    <row r="13" spans="2:17" x14ac:dyDescent="0.25">
      <c r="B13" s="16"/>
      <c r="C13" s="17">
        <v>120</v>
      </c>
      <c r="D13" s="14"/>
      <c r="E13" s="14">
        <f t="shared" si="0"/>
        <v>0.13800000000000001</v>
      </c>
      <c r="F13" s="5">
        <f t="shared" si="1"/>
        <v>0</v>
      </c>
      <c r="G13" s="20"/>
      <c r="H13" s="14" t="e">
        <f t="shared" si="2"/>
        <v>#DIV/0!</v>
      </c>
      <c r="I13" s="6" t="e">
        <f t="shared" si="3"/>
        <v>#DIV/0!</v>
      </c>
    </row>
    <row r="14" spans="2:17" ht="15.75" thickBot="1" x14ac:dyDescent="0.3">
      <c r="B14" s="15"/>
      <c r="C14" s="7">
        <v>140</v>
      </c>
      <c r="D14" s="8"/>
      <c r="E14" s="8">
        <f t="shared" si="0"/>
        <v>0.161</v>
      </c>
      <c r="F14" s="8">
        <f t="shared" si="1"/>
        <v>0</v>
      </c>
      <c r="G14" s="21"/>
      <c r="H14" s="8" t="e">
        <f t="shared" si="2"/>
        <v>#DIV/0!</v>
      </c>
      <c r="I14" s="9" t="e">
        <f t="shared" si="3"/>
        <v>#DIV/0!</v>
      </c>
    </row>
    <row r="16" spans="2:17" ht="15.75" thickBot="1" x14ac:dyDescent="0.3"/>
    <row r="17" spans="2:18" ht="15.75" thickBot="1" x14ac:dyDescent="0.3">
      <c r="B17" s="16" t="s">
        <v>30</v>
      </c>
      <c r="C17" s="1" t="s">
        <v>31</v>
      </c>
      <c r="D17" s="2" t="s">
        <v>21</v>
      </c>
      <c r="E17" s="3" t="s">
        <v>32</v>
      </c>
      <c r="F17" s="10" t="s">
        <v>33</v>
      </c>
    </row>
    <row r="18" spans="2:18" x14ac:dyDescent="0.25">
      <c r="C18" s="4">
        <v>50</v>
      </c>
      <c r="D18" s="5">
        <v>104</v>
      </c>
      <c r="E18" s="6">
        <f>D18*$M$22</f>
        <v>3.1943975181988513E-3</v>
      </c>
      <c r="F18">
        <f>E18*$Q$22*(1/1.602E-19)*0.000000001/1000000</f>
        <v>241.87292069757848</v>
      </c>
    </row>
    <row r="19" spans="2:18" x14ac:dyDescent="0.25">
      <c r="C19" s="17">
        <v>100</v>
      </c>
      <c r="D19" s="14">
        <v>102</v>
      </c>
      <c r="E19" s="6">
        <f t="shared" ref="E19:E33" si="4">D19*$M$22</f>
        <v>3.1329667966950273E-3</v>
      </c>
      <c r="F19">
        <f t="shared" ref="F19:F33" si="5">E19*$Q$22*(1/1.602E-19)*0.000000001/1000000</f>
        <v>237.22151837647121</v>
      </c>
    </row>
    <row r="20" spans="2:18" x14ac:dyDescent="0.25">
      <c r="C20" s="17">
        <v>400</v>
      </c>
      <c r="D20" s="14">
        <v>133</v>
      </c>
      <c r="E20" s="6">
        <f t="shared" si="4"/>
        <v>4.0851429800043007E-3</v>
      </c>
      <c r="F20">
        <f t="shared" si="5"/>
        <v>309.31825435363407</v>
      </c>
    </row>
    <row r="21" spans="2:18" x14ac:dyDescent="0.25">
      <c r="C21" s="17">
        <v>500</v>
      </c>
      <c r="D21" s="14">
        <v>187</v>
      </c>
      <c r="E21" s="6">
        <f t="shared" si="4"/>
        <v>5.7437724606075498E-3</v>
      </c>
      <c r="F21">
        <f t="shared" si="5"/>
        <v>434.90611702353056</v>
      </c>
    </row>
    <row r="22" spans="2:18" x14ac:dyDescent="0.25">
      <c r="C22" s="17">
        <v>650</v>
      </c>
      <c r="D22" s="14">
        <v>269</v>
      </c>
      <c r="E22" s="6">
        <f t="shared" si="4"/>
        <v>8.2624320422643362E-3</v>
      </c>
      <c r="F22">
        <f t="shared" si="5"/>
        <v>625.61361218892898</v>
      </c>
      <c r="L22" s="23" t="s">
        <v>28</v>
      </c>
      <c r="M22">
        <f>1/32557</f>
        <v>3.0715360751912033E-5</v>
      </c>
      <c r="N22" t="s">
        <v>29</v>
      </c>
      <c r="P22" s="23" t="s">
        <v>36</v>
      </c>
      <c r="Q22">
        <v>12.13</v>
      </c>
      <c r="R22" t="s">
        <v>37</v>
      </c>
    </row>
    <row r="23" spans="2:18" x14ac:dyDescent="0.25">
      <c r="C23" s="17">
        <v>800</v>
      </c>
      <c r="D23" s="14">
        <v>352</v>
      </c>
      <c r="E23" s="6">
        <f t="shared" si="4"/>
        <v>1.0811806984673036E-2</v>
      </c>
      <c r="F23">
        <f t="shared" si="5"/>
        <v>818.64680851488117</v>
      </c>
    </row>
    <row r="24" spans="2:18" x14ac:dyDescent="0.25">
      <c r="C24" s="17">
        <v>1000</v>
      </c>
      <c r="D24" s="14">
        <v>546</v>
      </c>
      <c r="E24" s="6">
        <f t="shared" si="4"/>
        <v>1.6770586970543969E-2</v>
      </c>
      <c r="F24">
        <f t="shared" si="5"/>
        <v>1269.8328336622869</v>
      </c>
    </row>
    <row r="25" spans="2:18" x14ac:dyDescent="0.25">
      <c r="C25" s="17">
        <v>1250</v>
      </c>
      <c r="D25" s="14">
        <v>785</v>
      </c>
      <c r="E25" s="6">
        <f t="shared" si="4"/>
        <v>2.4111558190250945E-2</v>
      </c>
      <c r="F25">
        <f t="shared" si="5"/>
        <v>1825.6754110346067</v>
      </c>
    </row>
    <row r="26" spans="2:18" x14ac:dyDescent="0.25">
      <c r="C26" s="17">
        <v>1500</v>
      </c>
      <c r="D26" s="14">
        <v>936</v>
      </c>
      <c r="E26" s="6">
        <f t="shared" si="4"/>
        <v>2.8749577663789664E-2</v>
      </c>
      <c r="F26">
        <f t="shared" si="5"/>
        <v>2176.8562862782064</v>
      </c>
    </row>
    <row r="27" spans="2:18" x14ac:dyDescent="0.25">
      <c r="C27" s="17">
        <v>1750</v>
      </c>
      <c r="D27" s="14">
        <v>992</v>
      </c>
      <c r="E27" s="6">
        <f t="shared" si="4"/>
        <v>3.0469637865896737E-2</v>
      </c>
      <c r="F27">
        <f t="shared" si="5"/>
        <v>2307.0955512692103</v>
      </c>
    </row>
    <row r="28" spans="2:18" x14ac:dyDescent="0.25">
      <c r="C28" s="17">
        <v>2000</v>
      </c>
      <c r="D28" s="14">
        <v>1006</v>
      </c>
      <c r="E28" s="6">
        <f t="shared" si="4"/>
        <v>3.0899652916423506E-2</v>
      </c>
      <c r="F28">
        <f t="shared" si="5"/>
        <v>2339.6553675169612</v>
      </c>
    </row>
    <row r="29" spans="2:18" x14ac:dyDescent="0.25">
      <c r="C29" s="17">
        <v>2300</v>
      </c>
      <c r="D29" s="14">
        <v>1040</v>
      </c>
      <c r="E29" s="6">
        <f t="shared" si="4"/>
        <v>3.1943975181988514E-2</v>
      </c>
      <c r="F29">
        <f t="shared" si="5"/>
        <v>2418.7292069757855</v>
      </c>
    </row>
    <row r="30" spans="2:18" x14ac:dyDescent="0.25">
      <c r="C30" s="17">
        <v>2600</v>
      </c>
      <c r="D30" s="14">
        <v>1036</v>
      </c>
      <c r="E30" s="6">
        <f t="shared" si="4"/>
        <v>3.1821113738980868E-2</v>
      </c>
      <c r="F30">
        <f t="shared" si="5"/>
        <v>2409.4264023335704</v>
      </c>
    </row>
    <row r="31" spans="2:18" x14ac:dyDescent="0.25">
      <c r="C31" s="17">
        <v>2700</v>
      </c>
      <c r="D31" s="14">
        <v>1034</v>
      </c>
      <c r="E31" s="6">
        <f t="shared" si="4"/>
        <v>3.1759683017477044E-2</v>
      </c>
      <c r="F31">
        <f t="shared" si="5"/>
        <v>2404.7750000124629</v>
      </c>
    </row>
    <row r="32" spans="2:18" x14ac:dyDescent="0.25">
      <c r="C32" s="17">
        <v>2800</v>
      </c>
      <c r="D32" s="14">
        <v>1035</v>
      </c>
      <c r="E32" s="6">
        <f t="shared" si="4"/>
        <v>3.1790398378228953E-2</v>
      </c>
      <c r="F32">
        <f t="shared" si="5"/>
        <v>2407.1007011730167</v>
      </c>
    </row>
    <row r="33" spans="3:6" ht="15.75" thickBot="1" x14ac:dyDescent="0.3">
      <c r="C33" s="7">
        <v>2900</v>
      </c>
      <c r="D33" s="8">
        <v>993</v>
      </c>
      <c r="E33" s="9">
        <f t="shared" si="4"/>
        <v>3.0500353226648649E-2</v>
      </c>
      <c r="F33">
        <f t="shared" si="5"/>
        <v>2309.4212524297636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topLeftCell="A33" workbookViewId="0">
      <selection activeCell="P55" sqref="P55"/>
    </sheetView>
  </sheetViews>
  <sheetFormatPr defaultColWidth="8.85546875" defaultRowHeight="15" x14ac:dyDescent="0.25"/>
  <cols>
    <col min="1" max="1" width="2.85546875" customWidth="1"/>
    <col min="3" max="3" width="11" bestFit="1" customWidth="1"/>
    <col min="4" max="4" width="10" bestFit="1" customWidth="1"/>
    <col min="6" max="6" width="12.28515625" bestFit="1" customWidth="1"/>
    <col min="7" max="7" width="14.42578125" bestFit="1" customWidth="1"/>
    <col min="8" max="8" width="12.7109375" bestFit="1" customWidth="1"/>
    <col min="9" max="9" width="12.140625" bestFit="1" customWidth="1"/>
    <col min="10" max="10" width="11" bestFit="1" customWidth="1"/>
    <col min="11" max="11" width="10" bestFit="1" customWidth="1"/>
    <col min="12" max="12" width="11.42578125" bestFit="1" customWidth="1"/>
    <col min="13" max="13" width="12" bestFit="1" customWidth="1"/>
    <col min="14" max="14" width="11" bestFit="1" customWidth="1"/>
    <col min="15" max="15" width="10" bestFit="1" customWidth="1"/>
    <col min="16" max="16" width="12.7109375" customWidth="1"/>
    <col min="17" max="17" width="7.85546875" bestFit="1" customWidth="1"/>
    <col min="18" max="18" width="14.28515625" bestFit="1" customWidth="1"/>
  </cols>
  <sheetData>
    <row r="1" spans="2:18" ht="11.25" customHeight="1" thickBot="1" x14ac:dyDescent="0.3"/>
    <row r="2" spans="2:18" ht="15.75" thickBot="1" x14ac:dyDescent="0.3">
      <c r="B2" s="1" t="s">
        <v>0</v>
      </c>
      <c r="C2" s="2" t="s">
        <v>3</v>
      </c>
      <c r="D2" s="3" t="s">
        <v>4</v>
      </c>
      <c r="F2" s="1" t="s">
        <v>14</v>
      </c>
      <c r="G2" s="2" t="s">
        <v>13</v>
      </c>
      <c r="H2" s="2" t="s">
        <v>12</v>
      </c>
      <c r="I2" s="2" t="s">
        <v>11</v>
      </c>
      <c r="J2" s="2" t="s">
        <v>10</v>
      </c>
      <c r="K2" s="2" t="s">
        <v>9</v>
      </c>
      <c r="L2" s="18" t="s">
        <v>8</v>
      </c>
      <c r="M2" s="3" t="s">
        <v>41</v>
      </c>
      <c r="O2" s="1" t="s">
        <v>15</v>
      </c>
      <c r="P2" s="2" t="s">
        <v>16</v>
      </c>
      <c r="Q2" s="2" t="s">
        <v>17</v>
      </c>
      <c r="R2" s="3" t="s">
        <v>20</v>
      </c>
    </row>
    <row r="3" spans="2:18" ht="15.75" thickBot="1" x14ac:dyDescent="0.3">
      <c r="B3" s="4" t="s">
        <v>1</v>
      </c>
      <c r="C3" s="5">
        <v>1.1499999999999999</v>
      </c>
      <c r="D3" s="6" t="s">
        <v>5</v>
      </c>
      <c r="F3" s="11" t="s">
        <v>7</v>
      </c>
      <c r="G3" s="12">
        <v>100</v>
      </c>
      <c r="H3" s="12">
        <v>5</v>
      </c>
      <c r="I3" s="12">
        <v>5</v>
      </c>
      <c r="J3" s="12">
        <v>1</v>
      </c>
      <c r="K3" s="12" t="s">
        <v>34</v>
      </c>
      <c r="L3" s="24" t="s">
        <v>35</v>
      </c>
      <c r="M3" s="25" t="s">
        <v>42</v>
      </c>
      <c r="O3" s="11" t="s">
        <v>18</v>
      </c>
      <c r="P3" s="12">
        <v>100</v>
      </c>
      <c r="Q3" s="12" t="s">
        <v>19</v>
      </c>
      <c r="R3" s="13">
        <v>0.5</v>
      </c>
    </row>
    <row r="4" spans="2:18" ht="15.75" thickBot="1" x14ac:dyDescent="0.3">
      <c r="B4" s="7" t="s">
        <v>2</v>
      </c>
      <c r="C4" s="8">
        <v>51</v>
      </c>
      <c r="D4" s="9" t="s">
        <v>6</v>
      </c>
      <c r="O4" s="1" t="s">
        <v>38</v>
      </c>
      <c r="P4" s="2" t="s">
        <v>39</v>
      </c>
      <c r="Q4" s="2"/>
      <c r="R4" s="3"/>
    </row>
    <row r="5" spans="2:18" ht="15.75" thickBot="1" x14ac:dyDescent="0.3">
      <c r="O5" s="11" t="s">
        <v>40</v>
      </c>
      <c r="P5" s="12">
        <v>10</v>
      </c>
      <c r="Q5" s="12"/>
      <c r="R5" s="13"/>
    </row>
    <row r="6" spans="2:18" ht="15.75" thickBot="1" x14ac:dyDescent="0.3"/>
    <row r="7" spans="2:18" ht="15.75" thickBot="1" x14ac:dyDescent="0.3">
      <c r="B7" s="16" t="s">
        <v>22</v>
      </c>
      <c r="C7" s="1" t="s">
        <v>9</v>
      </c>
      <c r="D7" s="2" t="s">
        <v>23</v>
      </c>
      <c r="E7" s="2" t="s">
        <v>24</v>
      </c>
      <c r="F7" s="2" t="s">
        <v>25</v>
      </c>
      <c r="G7" s="18" t="s">
        <v>21</v>
      </c>
      <c r="H7" s="2" t="s">
        <v>26</v>
      </c>
      <c r="I7" s="3" t="s">
        <v>27</v>
      </c>
    </row>
    <row r="8" spans="2:18" x14ac:dyDescent="0.25">
      <c r="B8" s="15"/>
      <c r="C8" s="4">
        <v>10</v>
      </c>
      <c r="D8" s="5"/>
      <c r="E8" s="5">
        <f>C8*$C$3*0.000000001*0.001*1000000000</f>
        <v>1.1500000000000002E-2</v>
      </c>
      <c r="F8" s="5">
        <f>D8*$C$3*0.001</f>
        <v>0</v>
      </c>
      <c r="G8" s="19">
        <v>1440</v>
      </c>
      <c r="H8" s="5">
        <f>E8/G8</f>
        <v>7.9861111111111119E-6</v>
      </c>
      <c r="I8" s="6">
        <f>F8/G8</f>
        <v>0</v>
      </c>
    </row>
    <row r="9" spans="2:18" x14ac:dyDescent="0.25">
      <c r="B9" s="15"/>
      <c r="C9" s="17">
        <v>20</v>
      </c>
      <c r="D9" s="14"/>
      <c r="E9" s="14">
        <f t="shared" ref="E9:E14" si="0">C9*$C$3*0.000000001*0.001*1000000000</f>
        <v>2.3000000000000003E-2</v>
      </c>
      <c r="F9" s="5">
        <f t="shared" ref="F9:F14" si="1">D9*$C$3*0.001</f>
        <v>0</v>
      </c>
      <c r="G9" s="19">
        <v>2869</v>
      </c>
      <c r="H9" s="14">
        <f t="shared" ref="H9:H14" si="2">E9/G9</f>
        <v>8.0167305681422107E-6</v>
      </c>
      <c r="I9" s="6">
        <f t="shared" ref="I9:I14" si="3">F9/G9</f>
        <v>0</v>
      </c>
    </row>
    <row r="10" spans="2:18" x14ac:dyDescent="0.25">
      <c r="B10" s="16"/>
      <c r="C10" s="17">
        <v>30</v>
      </c>
      <c r="D10" s="14"/>
      <c r="E10" s="14">
        <f t="shared" si="0"/>
        <v>3.4500000000000003E-2</v>
      </c>
      <c r="F10" s="5">
        <f t="shared" si="1"/>
        <v>0</v>
      </c>
      <c r="G10" s="20">
        <v>4304</v>
      </c>
      <c r="H10" s="14">
        <f t="shared" si="2"/>
        <v>8.0157992565055773E-6</v>
      </c>
      <c r="I10" s="6">
        <f t="shared" si="3"/>
        <v>0</v>
      </c>
    </row>
    <row r="11" spans="2:18" x14ac:dyDescent="0.25">
      <c r="B11" s="15"/>
      <c r="C11" s="17">
        <v>40</v>
      </c>
      <c r="D11" s="14"/>
      <c r="E11" s="14">
        <f t="shared" si="0"/>
        <v>4.6000000000000006E-2</v>
      </c>
      <c r="F11" s="5">
        <f t="shared" si="1"/>
        <v>0</v>
      </c>
      <c r="G11" s="20">
        <v>5728</v>
      </c>
      <c r="H11" s="14">
        <f t="shared" si="2"/>
        <v>8.0307262569832405E-6</v>
      </c>
      <c r="I11" s="6">
        <f t="shared" si="3"/>
        <v>0</v>
      </c>
    </row>
    <row r="12" spans="2:18" x14ac:dyDescent="0.25">
      <c r="B12" s="15"/>
      <c r="C12" s="17">
        <v>50</v>
      </c>
      <c r="D12" s="14"/>
      <c r="E12" s="14">
        <f t="shared" si="0"/>
        <v>5.7500000000000002E-2</v>
      </c>
      <c r="F12" s="5">
        <f t="shared" si="1"/>
        <v>0</v>
      </c>
      <c r="G12" s="20">
        <v>7166</v>
      </c>
      <c r="H12" s="14">
        <f t="shared" si="2"/>
        <v>8.0240022327658383E-6</v>
      </c>
      <c r="I12" s="6">
        <f t="shared" si="3"/>
        <v>0</v>
      </c>
    </row>
    <row r="13" spans="2:18" x14ac:dyDescent="0.25">
      <c r="B13" s="16"/>
      <c r="C13" s="17"/>
      <c r="D13" s="14"/>
      <c r="E13" s="14">
        <f t="shared" si="0"/>
        <v>0</v>
      </c>
      <c r="F13" s="5">
        <f t="shared" si="1"/>
        <v>0</v>
      </c>
      <c r="G13" s="20"/>
      <c r="H13" s="14" t="e">
        <f t="shared" si="2"/>
        <v>#DIV/0!</v>
      </c>
      <c r="I13" s="6" t="e">
        <f t="shared" si="3"/>
        <v>#DIV/0!</v>
      </c>
    </row>
    <row r="14" spans="2:18" ht="15.75" thickBot="1" x14ac:dyDescent="0.3">
      <c r="B14" s="15"/>
      <c r="C14" s="7"/>
      <c r="D14" s="8"/>
      <c r="E14" s="8">
        <f t="shared" si="0"/>
        <v>0</v>
      </c>
      <c r="F14" s="8">
        <f t="shared" si="1"/>
        <v>0</v>
      </c>
      <c r="G14" s="21"/>
      <c r="H14" s="8" t="e">
        <f t="shared" si="2"/>
        <v>#DIV/0!</v>
      </c>
      <c r="I14" s="9" t="e">
        <f t="shared" si="3"/>
        <v>#DIV/0!</v>
      </c>
    </row>
    <row r="16" spans="2:18" ht="15.75" thickBot="1" x14ac:dyDescent="0.3"/>
    <row r="17" spans="2:18" ht="15.75" thickBot="1" x14ac:dyDescent="0.3">
      <c r="B17" s="16" t="s">
        <v>30</v>
      </c>
      <c r="C17" s="1" t="s">
        <v>31</v>
      </c>
      <c r="D17" s="2" t="s">
        <v>21</v>
      </c>
      <c r="E17" s="3" t="s">
        <v>32</v>
      </c>
      <c r="F17" s="10" t="s">
        <v>33</v>
      </c>
    </row>
    <row r="18" spans="2:18" x14ac:dyDescent="0.25">
      <c r="C18" s="4">
        <v>50</v>
      </c>
      <c r="D18" s="5">
        <v>104</v>
      </c>
      <c r="E18" s="6">
        <f>D18*$M$22</f>
        <v>8.3572398608198139E-4</v>
      </c>
      <c r="F18">
        <f>E18*$Q$22*(1/1.602E-19)*0.000000001/1000000</f>
        <v>63.279225662761775</v>
      </c>
    </row>
    <row r="19" spans="2:18" x14ac:dyDescent="0.25">
      <c r="C19" s="17">
        <v>100</v>
      </c>
      <c r="D19" s="14">
        <v>102</v>
      </c>
      <c r="E19" s="6">
        <f t="shared" ref="E19:E33" si="4">D19*$M$22</f>
        <v>8.1965237096502024E-4</v>
      </c>
      <c r="F19">
        <f t="shared" ref="F19:F33" si="5">E19*$Q$22*(1/1.602E-19)*0.000000001/1000000</f>
        <v>62.062317476939434</v>
      </c>
    </row>
    <row r="20" spans="2:18" x14ac:dyDescent="0.25">
      <c r="C20" s="17">
        <v>400</v>
      </c>
      <c r="D20" s="14">
        <v>133</v>
      </c>
      <c r="E20" s="6">
        <f t="shared" si="4"/>
        <v>1.0687624052779184E-3</v>
      </c>
      <c r="F20">
        <f t="shared" si="5"/>
        <v>80.924394357185733</v>
      </c>
    </row>
    <row r="21" spans="2:18" x14ac:dyDescent="0.25">
      <c r="C21" s="17">
        <v>500</v>
      </c>
      <c r="D21" s="14">
        <v>187</v>
      </c>
      <c r="E21" s="6">
        <f t="shared" si="4"/>
        <v>1.5026960134358705E-3</v>
      </c>
      <c r="F21">
        <f t="shared" si="5"/>
        <v>113.78091537438897</v>
      </c>
    </row>
    <row r="22" spans="2:18" x14ac:dyDescent="0.25">
      <c r="C22" s="17">
        <v>650</v>
      </c>
      <c r="D22" s="14">
        <v>269</v>
      </c>
      <c r="E22" s="6">
        <f t="shared" si="4"/>
        <v>2.1616322332312786E-3</v>
      </c>
      <c r="F22">
        <f t="shared" si="5"/>
        <v>163.67415099310497</v>
      </c>
      <c r="L22" s="23" t="s">
        <v>28</v>
      </c>
      <c r="M22">
        <f>1/124443</f>
        <v>8.0358075584805903E-6</v>
      </c>
      <c r="N22" t="s">
        <v>29</v>
      </c>
      <c r="P22" s="23" t="s">
        <v>36</v>
      </c>
      <c r="Q22">
        <v>12.13</v>
      </c>
      <c r="R22" t="s">
        <v>37</v>
      </c>
    </row>
    <row r="23" spans="2:18" x14ac:dyDescent="0.25">
      <c r="C23" s="17">
        <v>800</v>
      </c>
      <c r="D23" s="14">
        <v>352</v>
      </c>
      <c r="E23" s="6">
        <f t="shared" si="4"/>
        <v>2.8286042605851678E-3</v>
      </c>
      <c r="F23">
        <f t="shared" si="5"/>
        <v>214.17584070473214</v>
      </c>
    </row>
    <row r="24" spans="2:18" x14ac:dyDescent="0.25">
      <c r="C24" s="17">
        <v>1000</v>
      </c>
      <c r="D24" s="14">
        <v>546</v>
      </c>
      <c r="E24" s="6">
        <f t="shared" si="4"/>
        <v>4.3875509269304027E-3</v>
      </c>
      <c r="F24">
        <f t="shared" si="5"/>
        <v>332.21593472949934</v>
      </c>
    </row>
    <row r="25" spans="2:18" x14ac:dyDescent="0.25">
      <c r="C25" s="17">
        <v>1250</v>
      </c>
      <c r="D25" s="14">
        <v>785</v>
      </c>
      <c r="E25" s="6">
        <f t="shared" si="4"/>
        <v>6.3081089334072636E-3</v>
      </c>
      <c r="F25">
        <f t="shared" si="5"/>
        <v>477.63646293526915</v>
      </c>
    </row>
    <row r="26" spans="2:18" x14ac:dyDescent="0.25">
      <c r="C26" s="17">
        <v>1500</v>
      </c>
      <c r="D26" s="14">
        <v>936</v>
      </c>
      <c r="E26" s="6">
        <f t="shared" si="4"/>
        <v>7.5215158747378328E-3</v>
      </c>
      <c r="F26">
        <f t="shared" si="5"/>
        <v>569.51303096485606</v>
      </c>
    </row>
    <row r="27" spans="2:18" x14ac:dyDescent="0.25">
      <c r="C27" s="17">
        <v>1750</v>
      </c>
      <c r="D27" s="14">
        <v>992</v>
      </c>
      <c r="E27" s="6">
        <f t="shared" si="4"/>
        <v>7.971521098012746E-3</v>
      </c>
      <c r="F27">
        <f t="shared" si="5"/>
        <v>603.58646016788157</v>
      </c>
    </row>
    <row r="28" spans="2:18" x14ac:dyDescent="0.25">
      <c r="C28" s="17">
        <v>2000</v>
      </c>
      <c r="D28" s="14">
        <v>1006</v>
      </c>
      <c r="E28" s="6">
        <f t="shared" si="4"/>
        <v>8.0840224038314732E-3</v>
      </c>
      <c r="F28">
        <f t="shared" si="5"/>
        <v>612.10481746863786</v>
      </c>
    </row>
    <row r="29" spans="2:18" x14ac:dyDescent="0.25">
      <c r="C29" s="17">
        <v>2300</v>
      </c>
      <c r="D29" s="14">
        <v>1040</v>
      </c>
      <c r="E29" s="6">
        <f t="shared" si="4"/>
        <v>8.3572398608198137E-3</v>
      </c>
      <c r="F29">
        <f t="shared" si="5"/>
        <v>632.79225662761769</v>
      </c>
    </row>
    <row r="30" spans="2:18" x14ac:dyDescent="0.25">
      <c r="C30" s="17">
        <v>2600</v>
      </c>
      <c r="D30" s="14">
        <v>1036</v>
      </c>
      <c r="E30" s="6">
        <f t="shared" si="4"/>
        <v>8.3250966305858914E-3</v>
      </c>
      <c r="F30">
        <f t="shared" si="5"/>
        <v>630.35844025597294</v>
      </c>
    </row>
    <row r="31" spans="2:18" x14ac:dyDescent="0.25">
      <c r="C31" s="17">
        <v>2700</v>
      </c>
      <c r="D31" s="14">
        <v>1034</v>
      </c>
      <c r="E31" s="6">
        <f t="shared" si="4"/>
        <v>8.3090250154689311E-3</v>
      </c>
      <c r="F31">
        <f t="shared" si="5"/>
        <v>629.14153207015079</v>
      </c>
    </row>
    <row r="32" spans="2:18" x14ac:dyDescent="0.25">
      <c r="C32" s="17">
        <v>2800</v>
      </c>
      <c r="D32" s="14">
        <v>1035</v>
      </c>
      <c r="E32" s="6">
        <f t="shared" si="4"/>
        <v>8.3170608230274112E-3</v>
      </c>
      <c r="F32">
        <f t="shared" si="5"/>
        <v>629.74998616306198</v>
      </c>
    </row>
    <row r="33" spans="3:6" ht="15.75" thickBot="1" x14ac:dyDescent="0.3">
      <c r="C33" s="7">
        <v>2900</v>
      </c>
      <c r="D33" s="8">
        <v>993</v>
      </c>
      <c r="E33" s="9">
        <f t="shared" si="4"/>
        <v>7.9795569055712261E-3</v>
      </c>
      <c r="F33">
        <f t="shared" si="5"/>
        <v>604.19491426079264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3"/>
  <sheetViews>
    <sheetView tabSelected="1" workbookViewId="0">
      <selection activeCell="F18" sqref="F18:F33"/>
    </sheetView>
  </sheetViews>
  <sheetFormatPr defaultColWidth="8.85546875" defaultRowHeight="15" x14ac:dyDescent="0.25"/>
  <cols>
    <col min="1" max="1" width="2.85546875" customWidth="1"/>
    <col min="3" max="3" width="11" bestFit="1" customWidth="1"/>
    <col min="4" max="4" width="10" bestFit="1" customWidth="1"/>
    <col min="5" max="5" width="11.85546875" bestFit="1" customWidth="1"/>
    <col min="6" max="6" width="12.28515625" bestFit="1" customWidth="1"/>
    <col min="7" max="7" width="14.42578125" bestFit="1" customWidth="1"/>
    <col min="8" max="8" width="12.7109375" bestFit="1" customWidth="1"/>
    <col min="9" max="9" width="15.5703125" bestFit="1" customWidth="1"/>
    <col min="10" max="10" width="11" bestFit="1" customWidth="1"/>
    <col min="11" max="11" width="10" bestFit="1" customWidth="1"/>
    <col min="12" max="12" width="11.42578125" bestFit="1" customWidth="1"/>
    <col min="13" max="13" width="12" bestFit="1" customWidth="1"/>
    <col min="14" max="14" width="11" bestFit="1" customWidth="1"/>
    <col min="15" max="15" width="10" bestFit="1" customWidth="1"/>
    <col min="16" max="16" width="12.7109375" customWidth="1"/>
    <col min="17" max="17" width="7.85546875" bestFit="1" customWidth="1"/>
    <col min="18" max="18" width="14.28515625" bestFit="1" customWidth="1"/>
  </cols>
  <sheetData>
    <row r="1" spans="2:18" ht="11.25" customHeight="1" thickBot="1" x14ac:dyDescent="0.3"/>
    <row r="2" spans="2:18" ht="15.75" thickBot="1" x14ac:dyDescent="0.3">
      <c r="B2" s="1" t="s">
        <v>0</v>
      </c>
      <c r="C2" s="2" t="s">
        <v>3</v>
      </c>
      <c r="D2" s="3" t="s">
        <v>4</v>
      </c>
      <c r="F2" s="1" t="s">
        <v>14</v>
      </c>
      <c r="G2" s="2" t="s">
        <v>13</v>
      </c>
      <c r="H2" s="2" t="s">
        <v>12</v>
      </c>
      <c r="I2" s="2" t="s">
        <v>11</v>
      </c>
      <c r="J2" s="2" t="s">
        <v>10</v>
      </c>
      <c r="K2" s="2" t="s">
        <v>9</v>
      </c>
      <c r="L2" s="18" t="s">
        <v>8</v>
      </c>
      <c r="M2" s="3" t="s">
        <v>41</v>
      </c>
      <c r="O2" s="1" t="s">
        <v>15</v>
      </c>
      <c r="P2" s="2" t="s">
        <v>16</v>
      </c>
      <c r="Q2" s="2" t="s">
        <v>17</v>
      </c>
      <c r="R2" s="3" t="s">
        <v>20</v>
      </c>
    </row>
    <row r="3" spans="2:18" ht="15.75" thickBot="1" x14ac:dyDescent="0.3">
      <c r="B3" s="4" t="s">
        <v>1</v>
      </c>
      <c r="C3" s="5">
        <v>1.1499999999999999</v>
      </c>
      <c r="D3" s="6" t="s">
        <v>5</v>
      </c>
      <c r="F3" s="11" t="s">
        <v>7</v>
      </c>
      <c r="G3" s="12">
        <v>100</v>
      </c>
      <c r="H3" s="12">
        <v>5</v>
      </c>
      <c r="I3" s="12">
        <v>5</v>
      </c>
      <c r="J3" s="12">
        <v>1</v>
      </c>
      <c r="K3" s="12" t="s">
        <v>34</v>
      </c>
      <c r="L3" s="24" t="s">
        <v>35</v>
      </c>
      <c r="M3" s="25" t="s">
        <v>42</v>
      </c>
      <c r="O3" s="11" t="s">
        <v>18</v>
      </c>
      <c r="P3" s="12">
        <v>100</v>
      </c>
      <c r="Q3" s="12" t="s">
        <v>19</v>
      </c>
      <c r="R3" s="13">
        <v>0.5</v>
      </c>
    </row>
    <row r="4" spans="2:18" ht="15.75" thickBot="1" x14ac:dyDescent="0.3">
      <c r="B4" s="7" t="s">
        <v>2</v>
      </c>
      <c r="C4" s="8">
        <v>51</v>
      </c>
      <c r="D4" s="9" t="s">
        <v>6</v>
      </c>
      <c r="O4" s="1" t="s">
        <v>38</v>
      </c>
      <c r="P4" s="2" t="s">
        <v>39</v>
      </c>
      <c r="Q4" s="2"/>
      <c r="R4" s="3"/>
    </row>
    <row r="5" spans="2:18" ht="15.75" thickBot="1" x14ac:dyDescent="0.3">
      <c r="O5" s="11" t="s">
        <v>40</v>
      </c>
      <c r="P5" s="12">
        <v>1</v>
      </c>
      <c r="Q5" s="12"/>
      <c r="R5" s="13"/>
    </row>
    <row r="6" spans="2:18" ht="15.75" thickBot="1" x14ac:dyDescent="0.3"/>
    <row r="7" spans="2:18" ht="15.75" thickBot="1" x14ac:dyDescent="0.3">
      <c r="B7" s="16" t="s">
        <v>22</v>
      </c>
      <c r="C7" s="1" t="s">
        <v>9</v>
      </c>
      <c r="D7" s="2" t="s">
        <v>23</v>
      </c>
      <c r="E7" s="2" t="s">
        <v>24</v>
      </c>
      <c r="F7" s="2" t="s">
        <v>25</v>
      </c>
      <c r="G7" s="18" t="s">
        <v>21</v>
      </c>
      <c r="H7" s="2" t="s">
        <v>26</v>
      </c>
      <c r="I7" s="3" t="s">
        <v>27</v>
      </c>
    </row>
    <row r="8" spans="2:18" x14ac:dyDescent="0.25">
      <c r="B8" s="15"/>
      <c r="C8" s="4">
        <v>2</v>
      </c>
      <c r="D8" s="5"/>
      <c r="E8" s="5">
        <f>C8*$C$3*0.000000001*0.001*1000000000</f>
        <v>2.3E-3</v>
      </c>
      <c r="F8" s="5">
        <f>D8*$C$3*0.001</f>
        <v>0</v>
      </c>
      <c r="G8" s="19">
        <v>2590</v>
      </c>
      <c r="H8" s="5">
        <f>E8/G8</f>
        <v>8.8803088803088805E-7</v>
      </c>
      <c r="I8" s="6">
        <f>F8/G8</f>
        <v>0</v>
      </c>
    </row>
    <row r="9" spans="2:18" x14ac:dyDescent="0.25">
      <c r="B9" s="15"/>
      <c r="C9" s="17">
        <v>4</v>
      </c>
      <c r="D9" s="14"/>
      <c r="E9" s="14">
        <f t="shared" ref="E9:E14" si="0">C9*$C$3*0.000000001*0.001*1000000000</f>
        <v>4.5999999999999999E-3</v>
      </c>
      <c r="F9" s="5">
        <f t="shared" ref="F9:F14" si="1">D9*$C$3*0.001</f>
        <v>0</v>
      </c>
      <c r="G9" s="19">
        <v>5011</v>
      </c>
      <c r="H9" s="14">
        <f t="shared" ref="H9:H14" si="2">E9/G9</f>
        <v>9.1798044302534422E-7</v>
      </c>
      <c r="I9" s="6">
        <f t="shared" ref="I9:I14" si="3">F9/G9</f>
        <v>0</v>
      </c>
    </row>
    <row r="10" spans="2:18" x14ac:dyDescent="0.25">
      <c r="B10" s="16"/>
      <c r="C10" s="17">
        <v>6</v>
      </c>
      <c r="D10" s="14"/>
      <c r="E10" s="14">
        <f t="shared" si="0"/>
        <v>6.8999999999999999E-3</v>
      </c>
      <c r="F10" s="5">
        <f t="shared" si="1"/>
        <v>0</v>
      </c>
      <c r="G10" s="20">
        <v>7500</v>
      </c>
      <c r="H10" s="14">
        <f t="shared" si="2"/>
        <v>9.1999999999999998E-7</v>
      </c>
      <c r="I10" s="6">
        <f t="shared" si="3"/>
        <v>0</v>
      </c>
    </row>
    <row r="11" spans="2:18" x14ac:dyDescent="0.25">
      <c r="B11" s="15"/>
      <c r="C11" s="17"/>
      <c r="D11" s="14"/>
      <c r="E11" s="14">
        <f t="shared" si="0"/>
        <v>0</v>
      </c>
      <c r="F11" s="5">
        <f t="shared" si="1"/>
        <v>0</v>
      </c>
      <c r="G11" s="20"/>
      <c r="H11" s="14" t="e">
        <f t="shared" si="2"/>
        <v>#DIV/0!</v>
      </c>
      <c r="I11" s="6" t="e">
        <f t="shared" si="3"/>
        <v>#DIV/0!</v>
      </c>
    </row>
    <row r="12" spans="2:18" x14ac:dyDescent="0.25">
      <c r="B12" s="15"/>
      <c r="C12" s="17"/>
      <c r="D12" s="14"/>
      <c r="E12" s="14">
        <f t="shared" si="0"/>
        <v>0</v>
      </c>
      <c r="F12" s="5">
        <f t="shared" si="1"/>
        <v>0</v>
      </c>
      <c r="G12" s="20"/>
      <c r="H12" s="14" t="e">
        <f t="shared" si="2"/>
        <v>#DIV/0!</v>
      </c>
      <c r="I12" s="6" t="e">
        <f t="shared" si="3"/>
        <v>#DIV/0!</v>
      </c>
    </row>
    <row r="13" spans="2:18" x14ac:dyDescent="0.25">
      <c r="B13" s="16"/>
      <c r="C13" s="17"/>
      <c r="D13" s="14"/>
      <c r="E13" s="14">
        <f t="shared" si="0"/>
        <v>0</v>
      </c>
      <c r="F13" s="5">
        <f t="shared" si="1"/>
        <v>0</v>
      </c>
      <c r="G13" s="20"/>
      <c r="H13" s="14" t="e">
        <f t="shared" si="2"/>
        <v>#DIV/0!</v>
      </c>
      <c r="I13" s="6" t="e">
        <f t="shared" si="3"/>
        <v>#DIV/0!</v>
      </c>
    </row>
    <row r="14" spans="2:18" ht="15.75" thickBot="1" x14ac:dyDescent="0.3">
      <c r="B14" s="15"/>
      <c r="C14" s="7"/>
      <c r="D14" s="8"/>
      <c r="E14" s="8">
        <f t="shared" si="0"/>
        <v>0</v>
      </c>
      <c r="F14" s="8">
        <f t="shared" si="1"/>
        <v>0</v>
      </c>
      <c r="G14" s="21"/>
      <c r="H14" s="8" t="e">
        <f t="shared" si="2"/>
        <v>#DIV/0!</v>
      </c>
      <c r="I14" s="9" t="e">
        <f t="shared" si="3"/>
        <v>#DIV/0!</v>
      </c>
    </row>
    <row r="16" spans="2:18" ht="15.75" thickBot="1" x14ac:dyDescent="0.3"/>
    <row r="17" spans="2:20" ht="15.75" thickBot="1" x14ac:dyDescent="0.3">
      <c r="B17" s="16" t="s">
        <v>30</v>
      </c>
      <c r="C17" s="1" t="s">
        <v>31</v>
      </c>
      <c r="D17" s="2" t="s">
        <v>21</v>
      </c>
      <c r="E17" s="3" t="s">
        <v>32</v>
      </c>
      <c r="F17" s="10" t="s">
        <v>33</v>
      </c>
      <c r="H17" s="10" t="s">
        <v>44</v>
      </c>
      <c r="I17" s="10" t="s">
        <v>45</v>
      </c>
    </row>
    <row r="18" spans="2:20" x14ac:dyDescent="0.25">
      <c r="C18" s="4">
        <v>50</v>
      </c>
      <c r="D18" s="5">
        <v>104</v>
      </c>
      <c r="E18" s="6">
        <f>D18*$M$22</f>
        <v>9.7469540768509844E-5</v>
      </c>
      <c r="F18">
        <f>E18*$Q$22*(1/1.602E-19)*0.000000001/1000000</f>
        <v>13.385330192928942</v>
      </c>
      <c r="H18">
        <f>E18*1.96*1.64*1.25*0.9</f>
        <v>3.5246935332708531E-4</v>
      </c>
      <c r="I18">
        <f>H18*$Q$22*(1/1.602E-19)*0.000000001/1000000</f>
        <v>48.40403104366964</v>
      </c>
    </row>
    <row r="19" spans="2:20" x14ac:dyDescent="0.25">
      <c r="C19" s="17">
        <v>100</v>
      </c>
      <c r="D19" s="14">
        <v>102</v>
      </c>
      <c r="E19" s="6">
        <f t="shared" ref="E19:E33" si="4">D19*$M$22</f>
        <v>9.5595126522961577E-5</v>
      </c>
      <c r="F19">
        <f t="shared" ref="F19:F33" si="5">E19*$Q$22*(1/1.602E-19)*0.000000001/1000000</f>
        <v>13.12791999691108</v>
      </c>
      <c r="H19">
        <f t="shared" ref="H19:H33" si="6">E19*1.96*1.64*1.25*0.9</f>
        <v>3.4569109653233363E-4</v>
      </c>
      <c r="I19">
        <f t="shared" ref="I19:I33" si="7">H19*$Q$22*(1/1.602E-19)*0.000000001/1000000</f>
        <v>47.473184292829842</v>
      </c>
    </row>
    <row r="20" spans="2:20" x14ac:dyDescent="0.25">
      <c r="C20" s="17">
        <v>400</v>
      </c>
      <c r="D20" s="14">
        <v>133</v>
      </c>
      <c r="E20" s="6">
        <f t="shared" si="4"/>
        <v>1.2464854732895971E-4</v>
      </c>
      <c r="F20">
        <f t="shared" si="5"/>
        <v>17.117778035187978</v>
      </c>
      <c r="H20">
        <f t="shared" si="6"/>
        <v>4.5075407685098401E-4</v>
      </c>
      <c r="I20">
        <f t="shared" si="7"/>
        <v>61.901308930846753</v>
      </c>
    </row>
    <row r="21" spans="2:20" x14ac:dyDescent="0.25">
      <c r="C21" s="17">
        <v>500</v>
      </c>
      <c r="D21" s="14">
        <v>187</v>
      </c>
      <c r="E21" s="6">
        <f t="shared" si="4"/>
        <v>1.7525773195876289E-4</v>
      </c>
      <c r="F21">
        <f t="shared" si="5"/>
        <v>24.067853327670313</v>
      </c>
      <c r="H21">
        <f t="shared" si="6"/>
        <v>6.3376701030927831E-4</v>
      </c>
      <c r="I21">
        <f t="shared" si="7"/>
        <v>87.034171203521382</v>
      </c>
    </row>
    <row r="22" spans="2:20" x14ac:dyDescent="0.25">
      <c r="C22" s="17">
        <v>650</v>
      </c>
      <c r="D22" s="14">
        <v>269</v>
      </c>
      <c r="E22" s="6">
        <f t="shared" si="4"/>
        <v>2.5210871602624179E-4</v>
      </c>
      <c r="F22">
        <f t="shared" si="5"/>
        <v>34.621671364402751</v>
      </c>
      <c r="H22">
        <f t="shared" si="6"/>
        <v>9.116755388940955E-4</v>
      </c>
      <c r="I22">
        <f t="shared" si="7"/>
        <v>125.19888798795319</v>
      </c>
      <c r="L22" s="23" t="s">
        <v>28</v>
      </c>
      <c r="M22">
        <f>1/1067000</f>
        <v>9.3720712277413306E-7</v>
      </c>
      <c r="N22" t="s">
        <v>29</v>
      </c>
      <c r="P22" s="23" t="s">
        <v>36</v>
      </c>
      <c r="Q22">
        <v>22</v>
      </c>
      <c r="R22" t="s">
        <v>37</v>
      </c>
      <c r="S22">
        <v>15.6</v>
      </c>
    </row>
    <row r="23" spans="2:20" x14ac:dyDescent="0.25">
      <c r="C23" s="17">
        <v>800</v>
      </c>
      <c r="D23" s="14">
        <v>352</v>
      </c>
      <c r="E23" s="6">
        <f t="shared" si="4"/>
        <v>3.2989690721649484E-4</v>
      </c>
      <c r="F23">
        <f t="shared" si="5"/>
        <v>45.304194499144117</v>
      </c>
      <c r="H23">
        <f t="shared" si="6"/>
        <v>1.1929731958762887E-3</v>
      </c>
      <c r="I23">
        <f t="shared" si="7"/>
        <v>163.82902814780493</v>
      </c>
    </row>
    <row r="24" spans="2:20" x14ac:dyDescent="0.25">
      <c r="C24" s="17">
        <v>1000</v>
      </c>
      <c r="D24" s="14">
        <v>546</v>
      </c>
      <c r="E24" s="6">
        <f t="shared" si="4"/>
        <v>5.117150890346767E-4</v>
      </c>
      <c r="F24">
        <f t="shared" si="5"/>
        <v>70.272983512876962</v>
      </c>
      <c r="H24">
        <f t="shared" si="6"/>
        <v>1.8504641049671975E-3</v>
      </c>
      <c r="I24">
        <f t="shared" si="7"/>
        <v>254.12116297926556</v>
      </c>
    </row>
    <row r="25" spans="2:20" x14ac:dyDescent="0.25">
      <c r="C25" s="17">
        <v>1250</v>
      </c>
      <c r="D25" s="14">
        <v>785</v>
      </c>
      <c r="E25" s="6">
        <f t="shared" si="4"/>
        <v>7.3570759137769448E-4</v>
      </c>
      <c r="F25">
        <f t="shared" si="5"/>
        <v>101.03350193701174</v>
      </c>
      <c r="H25">
        <f t="shared" si="6"/>
        <v>2.6604657919400191E-3</v>
      </c>
      <c r="I25">
        <f t="shared" si="7"/>
        <v>365.35734970462192</v>
      </c>
    </row>
    <row r="26" spans="2:20" x14ac:dyDescent="0.25">
      <c r="C26" s="17">
        <v>1500</v>
      </c>
      <c r="D26" s="14">
        <v>936</v>
      </c>
      <c r="E26" s="6">
        <f t="shared" si="4"/>
        <v>8.7722586691658857E-4</v>
      </c>
      <c r="F26">
        <f t="shared" si="5"/>
        <v>120.4679717363605</v>
      </c>
      <c r="G26" t="s">
        <v>43</v>
      </c>
      <c r="H26">
        <f t="shared" si="6"/>
        <v>3.1722241799437673E-3</v>
      </c>
      <c r="I26">
        <f t="shared" si="7"/>
        <v>435.63627939302683</v>
      </c>
    </row>
    <row r="27" spans="2:20" x14ac:dyDescent="0.25">
      <c r="C27" s="17">
        <v>1750</v>
      </c>
      <c r="D27" s="14">
        <v>992</v>
      </c>
      <c r="E27" s="6">
        <f t="shared" si="4"/>
        <v>9.2970946579193998E-4</v>
      </c>
      <c r="F27">
        <f t="shared" si="5"/>
        <v>127.67545722486069</v>
      </c>
      <c r="H27">
        <f t="shared" si="6"/>
        <v>3.3620153701968128E-3</v>
      </c>
      <c r="I27">
        <f t="shared" si="7"/>
        <v>461.69998841654115</v>
      </c>
    </row>
    <row r="28" spans="2:20" x14ac:dyDescent="0.25">
      <c r="C28" s="17">
        <v>2000</v>
      </c>
      <c r="D28" s="14">
        <v>1006</v>
      </c>
      <c r="E28" s="6">
        <f t="shared" si="4"/>
        <v>9.4283036551077786E-4</v>
      </c>
      <c r="F28">
        <f t="shared" si="5"/>
        <v>129.47732859698573</v>
      </c>
      <c r="H28">
        <f t="shared" si="6"/>
        <v>3.4094631677600747E-3</v>
      </c>
      <c r="I28">
        <f t="shared" si="7"/>
        <v>468.21591567241984</v>
      </c>
    </row>
    <row r="29" spans="2:20" x14ac:dyDescent="0.25">
      <c r="C29" s="17">
        <v>2300</v>
      </c>
      <c r="D29" s="14">
        <v>1040</v>
      </c>
      <c r="E29" s="6">
        <f t="shared" si="4"/>
        <v>9.7469540768509839E-4</v>
      </c>
      <c r="F29">
        <f t="shared" si="5"/>
        <v>133.85330192928944</v>
      </c>
      <c r="H29">
        <f t="shared" si="6"/>
        <v>3.5246935332708526E-3</v>
      </c>
      <c r="I29">
        <f t="shared" si="7"/>
        <v>484.04031043669647</v>
      </c>
    </row>
    <row r="30" spans="2:20" x14ac:dyDescent="0.25">
      <c r="C30" s="17">
        <v>2600</v>
      </c>
      <c r="D30" s="14">
        <v>1036</v>
      </c>
      <c r="E30" s="6">
        <f t="shared" si="4"/>
        <v>9.7094657919400188E-4</v>
      </c>
      <c r="F30">
        <f t="shared" si="5"/>
        <v>133.33848153725373</v>
      </c>
      <c r="H30">
        <f t="shared" si="6"/>
        <v>3.5111370196813495E-3</v>
      </c>
      <c r="I30">
        <f t="shared" si="7"/>
        <v>482.17861693501681</v>
      </c>
      <c r="T30">
        <f>3.92/2</f>
        <v>1.96</v>
      </c>
    </row>
    <row r="31" spans="2:20" x14ac:dyDescent="0.25">
      <c r="C31" s="17">
        <v>2700</v>
      </c>
      <c r="D31" s="14">
        <v>1034</v>
      </c>
      <c r="E31" s="6">
        <f t="shared" si="4"/>
        <v>9.6907216494845363E-4</v>
      </c>
      <c r="F31">
        <f t="shared" si="5"/>
        <v>133.08107134123586</v>
      </c>
      <c r="H31">
        <f t="shared" si="6"/>
        <v>3.504358762886598E-3</v>
      </c>
      <c r="I31">
        <f t="shared" si="7"/>
        <v>481.24777018417711</v>
      </c>
    </row>
    <row r="32" spans="2:20" x14ac:dyDescent="0.25">
      <c r="C32" s="17">
        <v>2800</v>
      </c>
      <c r="D32" s="14">
        <v>1035</v>
      </c>
      <c r="E32" s="6">
        <f t="shared" si="4"/>
        <v>9.7000937207122775E-4</v>
      </c>
      <c r="F32">
        <f t="shared" si="5"/>
        <v>133.20977643924476</v>
      </c>
      <c r="H32">
        <f t="shared" si="6"/>
        <v>3.5077478912839731E-3</v>
      </c>
      <c r="I32">
        <f t="shared" si="7"/>
        <v>481.7131935595969</v>
      </c>
    </row>
    <row r="33" spans="3:9" ht="15.75" thickBot="1" x14ac:dyDescent="0.3">
      <c r="C33" s="7">
        <v>2900</v>
      </c>
      <c r="D33" s="8">
        <v>993</v>
      </c>
      <c r="E33" s="6">
        <f t="shared" si="4"/>
        <v>9.3064667291471411E-4</v>
      </c>
      <c r="F33">
        <f t="shared" si="5"/>
        <v>127.80416232286963</v>
      </c>
      <c r="H33">
        <f t="shared" si="6"/>
        <v>3.3654044985941892E-3</v>
      </c>
      <c r="I33">
        <f t="shared" si="7"/>
        <v>462.16541179196111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8"/>
  <sheetViews>
    <sheetView workbookViewId="0">
      <selection activeCell="P38" sqref="P38"/>
    </sheetView>
  </sheetViews>
  <sheetFormatPr defaultRowHeight="15" x14ac:dyDescent="0.25"/>
  <cols>
    <col min="2" max="2" width="13" bestFit="1" customWidth="1"/>
    <col min="4" max="4" width="15.7109375" bestFit="1" customWidth="1"/>
    <col min="5" max="5" width="17" bestFit="1" customWidth="1"/>
    <col min="7" max="7" width="11.140625" bestFit="1" customWidth="1"/>
    <col min="8" max="8" width="12.42578125" bestFit="1" customWidth="1"/>
    <col min="12" max="12" width="11.85546875" customWidth="1"/>
  </cols>
  <sheetData>
    <row r="2" spans="2:12" ht="26.25" x14ac:dyDescent="0.45">
      <c r="B2" s="27" t="s">
        <v>47</v>
      </c>
      <c r="C2" s="28"/>
      <c r="D2" s="27" t="s">
        <v>46</v>
      </c>
      <c r="E2" s="27" t="s">
        <v>48</v>
      </c>
    </row>
    <row r="3" spans="2:12" ht="23.25" x14ac:dyDescent="0.35">
      <c r="B3" s="26">
        <f>B6/2.35*100</f>
        <v>1.4111994873057638</v>
      </c>
      <c r="D3" s="26">
        <f>D14/2.35*100</f>
        <v>1.3582383039775081</v>
      </c>
      <c r="E3" s="26">
        <f>E14/2.35*100</f>
        <v>0.38297872340425526</v>
      </c>
    </row>
    <row r="5" spans="2:12" ht="26.25" x14ac:dyDescent="0.45">
      <c r="B5" s="29" t="s">
        <v>49</v>
      </c>
      <c r="C5" s="28"/>
      <c r="D5" s="29" t="s">
        <v>50</v>
      </c>
      <c r="E5" s="29" t="s">
        <v>51</v>
      </c>
      <c r="G5" s="27" t="s">
        <v>46</v>
      </c>
      <c r="H5" s="27" t="s">
        <v>48</v>
      </c>
      <c r="I5" t="s">
        <v>52</v>
      </c>
      <c r="J5" t="s">
        <v>53</v>
      </c>
      <c r="K5" t="s">
        <v>54</v>
      </c>
      <c r="L5" t="s">
        <v>55</v>
      </c>
    </row>
    <row r="6" spans="2:12" x14ac:dyDescent="0.25">
      <c r="B6">
        <f>32.81/989.35</f>
        <v>3.3163187951685449E-2</v>
      </c>
      <c r="D6">
        <f>SQRT(B6^2-E6^2)</f>
        <v>3.3148107564668232E-2</v>
      </c>
      <c r="E6">
        <v>1E-3</v>
      </c>
      <c r="G6">
        <f>D6/2.35*100</f>
        <v>1.4105577687092865</v>
      </c>
      <c r="H6">
        <f>E6/2.35*100</f>
        <v>4.2553191489361701E-2</v>
      </c>
      <c r="I6">
        <v>0.01</v>
      </c>
      <c r="J6">
        <v>1.2</v>
      </c>
      <c r="K6">
        <v>0.11269315000000001</v>
      </c>
      <c r="L6">
        <f>SQRT((B6/2.35*100)^2-K6^2)</f>
        <v>1.4066926625653267</v>
      </c>
    </row>
    <row r="7" spans="2:12" x14ac:dyDescent="0.25">
      <c r="B7">
        <f t="shared" ref="B7:B38" si="0">32.81/989.35</f>
        <v>3.3163187951685449E-2</v>
      </c>
      <c r="D7">
        <f t="shared" ref="D7:D17" si="1">SQRT(B7^2-E7^2)</f>
        <v>3.3102825183340692E-2</v>
      </c>
      <c r="E7">
        <v>2E-3</v>
      </c>
      <c r="G7">
        <f t="shared" ref="G7:G38" si="2">D7/2.35*100</f>
        <v>1.4086308588655612</v>
      </c>
      <c r="H7">
        <f t="shared" ref="H7:H38" si="3">E7/2.35*100</f>
        <v>8.5106382978723402E-2</v>
      </c>
      <c r="I7">
        <v>0.5</v>
      </c>
      <c r="J7">
        <v>1.2</v>
      </c>
    </row>
    <row r="8" spans="2:12" x14ac:dyDescent="0.25">
      <c r="B8">
        <f t="shared" si="0"/>
        <v>3.3163187951685449E-2</v>
      </c>
      <c r="D8">
        <f t="shared" si="1"/>
        <v>3.3027216581462251E-2</v>
      </c>
      <c r="E8">
        <v>3.0000000000000001E-3</v>
      </c>
      <c r="G8">
        <f t="shared" si="2"/>
        <v>1.4054134715515851</v>
      </c>
      <c r="H8">
        <f t="shared" si="3"/>
        <v>0.1276595744680851</v>
      </c>
      <c r="I8">
        <v>1</v>
      </c>
      <c r="J8">
        <v>1.2</v>
      </c>
    </row>
    <row r="9" spans="2:12" x14ac:dyDescent="0.25">
      <c r="B9">
        <f t="shared" si="0"/>
        <v>3.3163187951685449E-2</v>
      </c>
      <c r="D9">
        <f t="shared" si="1"/>
        <v>3.292107281239199E-2</v>
      </c>
      <c r="E9">
        <v>4.0000000000000001E-3</v>
      </c>
      <c r="G9">
        <f t="shared" si="2"/>
        <v>1.4008967154209355</v>
      </c>
      <c r="H9">
        <f t="shared" si="3"/>
        <v>0.1702127659574468</v>
      </c>
      <c r="I9">
        <v>1.5</v>
      </c>
      <c r="J9">
        <v>1.2</v>
      </c>
    </row>
    <row r="10" spans="2:12" x14ac:dyDescent="0.25">
      <c r="B10">
        <f t="shared" si="0"/>
        <v>3.3163187951685449E-2</v>
      </c>
      <c r="D10">
        <f t="shared" si="1"/>
        <v>3.2784097289979101E-2</v>
      </c>
      <c r="E10">
        <v>5.0000000000000001E-3</v>
      </c>
      <c r="G10">
        <f t="shared" si="2"/>
        <v>1.3950679697863446</v>
      </c>
      <c r="H10">
        <f t="shared" si="3"/>
        <v>0.21276595744680851</v>
      </c>
    </row>
    <row r="11" spans="2:12" x14ac:dyDescent="0.25">
      <c r="B11">
        <f t="shared" si="0"/>
        <v>3.3163187951685449E-2</v>
      </c>
      <c r="D11">
        <f t="shared" si="1"/>
        <v>3.2615901568388617E-2</v>
      </c>
      <c r="E11">
        <v>6.0000000000000001E-3</v>
      </c>
      <c r="G11">
        <f t="shared" si="2"/>
        <v>1.3879107050378134</v>
      </c>
      <c r="H11">
        <f t="shared" si="3"/>
        <v>0.25531914893617019</v>
      </c>
    </row>
    <row r="12" spans="2:12" x14ac:dyDescent="0.25">
      <c r="B12">
        <f t="shared" si="0"/>
        <v>3.3163187951685449E-2</v>
      </c>
      <c r="D12">
        <f t="shared" si="1"/>
        <v>3.2415999677918542E-2</v>
      </c>
      <c r="E12">
        <v>7.0000000000000001E-3</v>
      </c>
      <c r="G12">
        <f t="shared" si="2"/>
        <v>1.379404241613555</v>
      </c>
      <c r="H12">
        <f t="shared" si="3"/>
        <v>0.2978723404255319</v>
      </c>
    </row>
    <row r="13" spans="2:12" x14ac:dyDescent="0.25">
      <c r="B13">
        <f t="shared" si="0"/>
        <v>3.3163187951685449E-2</v>
      </c>
      <c r="D13">
        <f t="shared" si="1"/>
        <v>3.2183800818405758E-2</v>
      </c>
      <c r="E13">
        <v>8.0000000000000002E-3</v>
      </c>
      <c r="G13">
        <f t="shared" si="2"/>
        <v>1.369523439081096</v>
      </c>
      <c r="H13">
        <f t="shared" si="3"/>
        <v>0.34042553191489361</v>
      </c>
    </row>
    <row r="14" spans="2:12" x14ac:dyDescent="0.25">
      <c r="B14">
        <f t="shared" si="0"/>
        <v>3.3163187951685449E-2</v>
      </c>
      <c r="D14">
        <f t="shared" si="1"/>
        <v>3.1918600143471441E-2</v>
      </c>
      <c r="E14">
        <v>8.9999999999999993E-3</v>
      </c>
      <c r="G14">
        <f t="shared" si="2"/>
        <v>1.3582383039775081</v>
      </c>
      <c r="H14">
        <f t="shared" si="3"/>
        <v>0.38297872340425526</v>
      </c>
    </row>
    <row r="15" spans="2:12" x14ac:dyDescent="0.25">
      <c r="B15">
        <f t="shared" si="0"/>
        <v>3.3163187951685449E-2</v>
      </c>
      <c r="D15">
        <f t="shared" si="1"/>
        <v>3.1619567282282893E-2</v>
      </c>
      <c r="E15">
        <v>0.01</v>
      </c>
      <c r="G15">
        <f t="shared" si="2"/>
        <v>1.34551350137374</v>
      </c>
      <c r="H15">
        <f t="shared" si="3"/>
        <v>0.42553191489361702</v>
      </c>
    </row>
    <row r="16" spans="2:12" x14ac:dyDescent="0.25">
      <c r="B16">
        <f t="shared" si="0"/>
        <v>3.3163187951685449E-2</v>
      </c>
      <c r="D16">
        <f t="shared" si="1"/>
        <v>3.1285732133335395E-2</v>
      </c>
      <c r="E16">
        <v>1.0999999999999999E-2</v>
      </c>
      <c r="G16">
        <f t="shared" si="2"/>
        <v>1.3313077503546977</v>
      </c>
      <c r="H16">
        <f t="shared" si="3"/>
        <v>0.46808510638297868</v>
      </c>
    </row>
    <row r="17" spans="2:8" x14ac:dyDescent="0.25">
      <c r="B17">
        <f t="shared" si="0"/>
        <v>3.3163187951685449E-2</v>
      </c>
      <c r="D17">
        <f t="shared" si="1"/>
        <v>3.0915967316563379E-2</v>
      </c>
      <c r="E17">
        <v>1.2E-2</v>
      </c>
      <c r="G17">
        <f t="shared" si="2"/>
        <v>1.3155730773005694</v>
      </c>
      <c r="H17">
        <f t="shared" si="3"/>
        <v>0.51063829787234039</v>
      </c>
    </row>
    <row r="18" spans="2:8" x14ac:dyDescent="0.25">
      <c r="B18">
        <f t="shared" si="0"/>
        <v>3.3163187951685449E-2</v>
      </c>
      <c r="D18">
        <f t="shared" ref="D18:D38" si="4">SQRT(B18^2-E18^2)</f>
        <v>3.0508966470839602E-2</v>
      </c>
      <c r="E18">
        <v>1.2999999999999999E-2</v>
      </c>
      <c r="G18">
        <f t="shared" si="2"/>
        <v>1.2982538923761533</v>
      </c>
      <c r="H18">
        <f t="shared" si="3"/>
        <v>0.55319148936170204</v>
      </c>
    </row>
    <row r="19" spans="2:8" x14ac:dyDescent="0.25">
      <c r="B19">
        <f t="shared" si="0"/>
        <v>3.3163187951685449E-2</v>
      </c>
      <c r="D19">
        <f t="shared" si="4"/>
        <v>3.0063217311505682E-2</v>
      </c>
      <c r="E19">
        <v>1.4E-2</v>
      </c>
      <c r="G19">
        <f t="shared" si="2"/>
        <v>1.2792858430427949</v>
      </c>
      <c r="H19">
        <f t="shared" si="3"/>
        <v>0.5957446808510638</v>
      </c>
    </row>
    <row r="20" spans="2:8" x14ac:dyDescent="0.25">
      <c r="B20">
        <f t="shared" si="0"/>
        <v>3.3163187951685449E-2</v>
      </c>
      <c r="D20">
        <f t="shared" si="4"/>
        <v>2.9576967983869055E-2</v>
      </c>
      <c r="E20">
        <v>1.4999999999999999E-2</v>
      </c>
      <c r="G20">
        <f t="shared" si="2"/>
        <v>1.2585943822923</v>
      </c>
      <c r="H20">
        <f t="shared" si="3"/>
        <v>0.63829787234042545</v>
      </c>
    </row>
    <row r="21" spans="2:8" x14ac:dyDescent="0.25">
      <c r="B21">
        <f t="shared" si="0"/>
        <v>3.3163187951685449E-2</v>
      </c>
      <c r="D21">
        <f t="shared" si="4"/>
        <v>2.9048184712969848E-2</v>
      </c>
      <c r="E21">
        <v>1.6E-2</v>
      </c>
      <c r="G21">
        <f t="shared" si="2"/>
        <v>1.2360929665093552</v>
      </c>
      <c r="H21">
        <f t="shared" si="3"/>
        <v>0.68085106382978722</v>
      </c>
    </row>
    <row r="22" spans="2:8" x14ac:dyDescent="0.25">
      <c r="B22">
        <f t="shared" si="0"/>
        <v>3.3163187951685449E-2</v>
      </c>
      <c r="D22">
        <f t="shared" si="4"/>
        <v>2.8474497978345729E-2</v>
      </c>
      <c r="E22">
        <v>1.7000000000000001E-2</v>
      </c>
      <c r="G22">
        <f t="shared" si="2"/>
        <v>1.2116807650359884</v>
      </c>
      <c r="H22">
        <f t="shared" si="3"/>
        <v>0.72340425531914898</v>
      </c>
    </row>
    <row r="23" spans="2:8" x14ac:dyDescent="0.25">
      <c r="B23">
        <f t="shared" si="0"/>
        <v>3.3163187951685449E-2</v>
      </c>
      <c r="D23">
        <f t="shared" si="4"/>
        <v>2.7853133308818508E-2</v>
      </c>
      <c r="E23">
        <v>1.7999999999999999E-2</v>
      </c>
      <c r="G23">
        <f t="shared" si="2"/>
        <v>1.1852397152688727</v>
      </c>
      <c r="H23">
        <f t="shared" si="3"/>
        <v>0.76595744680851052</v>
      </c>
    </row>
    <row r="24" spans="2:8" x14ac:dyDescent="0.25">
      <c r="B24">
        <f t="shared" si="0"/>
        <v>3.3163187951685449E-2</v>
      </c>
      <c r="D24">
        <f t="shared" si="4"/>
        <v>2.7180821089856998E-2</v>
      </c>
      <c r="E24">
        <v>1.9E-2</v>
      </c>
      <c r="G24">
        <f t="shared" si="2"/>
        <v>1.1566306846747658</v>
      </c>
      <c r="H24">
        <f t="shared" si="3"/>
        <v>0.80851063829787229</v>
      </c>
    </row>
    <row r="25" spans="2:8" x14ac:dyDescent="0.25">
      <c r="B25">
        <f t="shared" si="0"/>
        <v>3.3163187951685449E-2</v>
      </c>
      <c r="D25">
        <f t="shared" si="4"/>
        <v>2.6453677156849386E-2</v>
      </c>
      <c r="E25">
        <v>0.02</v>
      </c>
      <c r="G25">
        <f t="shared" si="2"/>
        <v>1.1256883896531653</v>
      </c>
      <c r="H25">
        <f t="shared" si="3"/>
        <v>0.85106382978723405</v>
      </c>
    </row>
    <row r="26" spans="2:8" x14ac:dyDescent="0.25">
      <c r="B26">
        <f t="shared" si="0"/>
        <v>3.3163187951685449E-2</v>
      </c>
      <c r="D26">
        <f t="shared" si="4"/>
        <v>2.5667041806932387E-2</v>
      </c>
      <c r="E26">
        <v>2.1000000000000001E-2</v>
      </c>
      <c r="G26">
        <f t="shared" si="2"/>
        <v>1.0922145449758462</v>
      </c>
      <c r="H26">
        <f t="shared" si="3"/>
        <v>0.89361702127659581</v>
      </c>
    </row>
    <row r="27" spans="2:8" x14ac:dyDescent="0.25">
      <c r="B27">
        <f t="shared" si="0"/>
        <v>3.3163187951685449E-2</v>
      </c>
      <c r="D27">
        <f t="shared" si="4"/>
        <v>2.4815258111065761E-2</v>
      </c>
      <c r="E27">
        <v>2.1999999999999999E-2</v>
      </c>
      <c r="G27">
        <f t="shared" si="2"/>
        <v>1.0559684302581176</v>
      </c>
      <c r="H27">
        <f t="shared" si="3"/>
        <v>0.93617021276595735</v>
      </c>
    </row>
    <row r="28" spans="2:8" x14ac:dyDescent="0.25">
      <c r="B28">
        <f t="shared" si="0"/>
        <v>3.3163187951685449E-2</v>
      </c>
      <c r="D28">
        <f t="shared" si="4"/>
        <v>2.3891359005272492E-2</v>
      </c>
      <c r="E28">
        <v>2.3E-2</v>
      </c>
      <c r="G28">
        <f t="shared" si="2"/>
        <v>1.0166535746924463</v>
      </c>
      <c r="H28">
        <f t="shared" si="3"/>
        <v>0.97872340425531912</v>
      </c>
    </row>
    <row r="29" spans="2:8" x14ac:dyDescent="0.25">
      <c r="B29">
        <f t="shared" si="0"/>
        <v>3.3163187951685449E-2</v>
      </c>
      <c r="D29">
        <f t="shared" si="4"/>
        <v>2.2886612574140694E-2</v>
      </c>
      <c r="E29">
        <v>2.4E-2</v>
      </c>
      <c r="G29">
        <f t="shared" si="2"/>
        <v>0.97389840741024225</v>
      </c>
      <c r="H29">
        <f t="shared" si="3"/>
        <v>1.0212765957446808</v>
      </c>
    </row>
    <row r="30" spans="2:8" x14ac:dyDescent="0.25">
      <c r="B30">
        <f t="shared" si="0"/>
        <v>3.3163187951685449E-2</v>
      </c>
      <c r="D30">
        <f t="shared" si="4"/>
        <v>2.1789837886473935E-2</v>
      </c>
      <c r="E30">
        <v>2.5000000000000001E-2</v>
      </c>
      <c r="G30">
        <f t="shared" si="2"/>
        <v>0.92722714410527385</v>
      </c>
      <c r="H30">
        <f t="shared" si="3"/>
        <v>1.0638297872340425</v>
      </c>
    </row>
    <row r="31" spans="2:8" x14ac:dyDescent="0.25">
      <c r="B31">
        <f t="shared" si="0"/>
        <v>3.3163187951685449E-2</v>
      </c>
      <c r="D31">
        <f t="shared" si="4"/>
        <v>2.0586331269043912E-2</v>
      </c>
      <c r="E31">
        <v>2.5999999999999999E-2</v>
      </c>
      <c r="G31">
        <f t="shared" si="2"/>
        <v>0.87601409655506013</v>
      </c>
      <c r="H31">
        <f t="shared" si="3"/>
        <v>1.1063829787234041</v>
      </c>
    </row>
    <row r="32" spans="2:8" x14ac:dyDescent="0.25">
      <c r="B32">
        <f t="shared" si="0"/>
        <v>3.3163187951685449E-2</v>
      </c>
      <c r="D32">
        <f t="shared" si="4"/>
        <v>1.9256090857669297E-2</v>
      </c>
      <c r="E32">
        <v>2.7E-2</v>
      </c>
      <c r="G32">
        <f t="shared" si="2"/>
        <v>0.81940812160294885</v>
      </c>
      <c r="H32">
        <f t="shared" si="3"/>
        <v>1.1489361702127661</v>
      </c>
    </row>
    <row r="33" spans="2:8" x14ac:dyDescent="0.25">
      <c r="B33">
        <f t="shared" si="0"/>
        <v>3.3163187951685449E-2</v>
      </c>
      <c r="D33">
        <f t="shared" si="4"/>
        <v>1.7770679084346069E-2</v>
      </c>
      <c r="E33">
        <v>2.8000000000000001E-2</v>
      </c>
      <c r="G33">
        <f t="shared" si="2"/>
        <v>0.7561991099721731</v>
      </c>
      <c r="H33">
        <f t="shared" si="3"/>
        <v>1.1914893617021276</v>
      </c>
    </row>
    <row r="34" spans="2:8" x14ac:dyDescent="0.25">
      <c r="B34">
        <f t="shared" si="0"/>
        <v>3.3163187951685449E-2</v>
      </c>
      <c r="D34">
        <f t="shared" si="4"/>
        <v>1.6087169891525824E-2</v>
      </c>
      <c r="E34">
        <v>2.9000000000000001E-2</v>
      </c>
      <c r="G34">
        <f t="shared" si="2"/>
        <v>0.68456042091599245</v>
      </c>
      <c r="H34">
        <f t="shared" si="3"/>
        <v>1.2340425531914894</v>
      </c>
    </row>
    <row r="35" spans="2:8" x14ac:dyDescent="0.25">
      <c r="B35">
        <f t="shared" si="0"/>
        <v>3.3163187951685449E-2</v>
      </c>
      <c r="D35">
        <f t="shared" si="4"/>
        <v>1.4134957910047522E-2</v>
      </c>
      <c r="E35">
        <v>0.03</v>
      </c>
      <c r="G35">
        <f t="shared" si="2"/>
        <v>0.6014875706403201</v>
      </c>
      <c r="H35">
        <f t="shared" si="3"/>
        <v>1.2765957446808509</v>
      </c>
    </row>
    <row r="36" spans="2:8" x14ac:dyDescent="0.25">
      <c r="B36">
        <f t="shared" si="0"/>
        <v>3.3163187951685449E-2</v>
      </c>
      <c r="D36">
        <f t="shared" si="4"/>
        <v>1.178121534981918E-2</v>
      </c>
      <c r="E36">
        <v>3.1E-2</v>
      </c>
      <c r="G36">
        <f t="shared" si="2"/>
        <v>0.50132831275826295</v>
      </c>
      <c r="H36">
        <f t="shared" si="3"/>
        <v>1.3191489361702127</v>
      </c>
    </row>
    <row r="37" spans="2:8" x14ac:dyDescent="0.25">
      <c r="B37">
        <f t="shared" si="0"/>
        <v>3.3163187951685449E-2</v>
      </c>
      <c r="D37">
        <f t="shared" si="4"/>
        <v>8.7061492704188712E-3</v>
      </c>
      <c r="E37">
        <v>3.2000000000000001E-2</v>
      </c>
      <c r="G37">
        <f t="shared" si="2"/>
        <v>0.37047443703910088</v>
      </c>
      <c r="H37">
        <f t="shared" si="3"/>
        <v>1.3617021276595744</v>
      </c>
    </row>
    <row r="38" spans="2:8" x14ac:dyDescent="0.25">
      <c r="B38">
        <f t="shared" si="0"/>
        <v>3.3163187951685449E-2</v>
      </c>
      <c r="D38">
        <f t="shared" si="4"/>
        <v>3.2858842217605394E-3</v>
      </c>
      <c r="E38">
        <v>3.3000000000000002E-2</v>
      </c>
      <c r="G38">
        <f t="shared" si="2"/>
        <v>0.13982486050044848</v>
      </c>
      <c r="H38">
        <f t="shared" si="3"/>
        <v>1.4042553191489362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6831-FFEB-4D3F-8119-23B67ECCF80F}">
  <dimension ref="A1:K10"/>
  <sheetViews>
    <sheetView workbookViewId="0">
      <selection activeCell="K4" sqref="K4"/>
    </sheetView>
  </sheetViews>
  <sheetFormatPr defaultRowHeight="15" x14ac:dyDescent="0.25"/>
  <sheetData>
    <row r="1" spans="1:11" x14ac:dyDescent="0.25">
      <c r="A1" t="s">
        <v>56</v>
      </c>
      <c r="B1" s="30">
        <v>150000</v>
      </c>
      <c r="D1" t="s">
        <v>59</v>
      </c>
      <c r="E1">
        <f>B2/0.01</f>
        <v>475</v>
      </c>
    </row>
    <row r="2" spans="1:11" x14ac:dyDescent="0.25">
      <c r="A2" t="s">
        <v>57</v>
      </c>
      <c r="B2">
        <v>4.75</v>
      </c>
      <c r="G2" s="30">
        <f>0.5+(E1*B3/B2)*(1-(E1*B3/B2)/2)</f>
        <v>0.52954999999999997</v>
      </c>
      <c r="H2" s="30">
        <f>1/G2</f>
        <v>1.888395807761307</v>
      </c>
      <c r="I2" s="30">
        <f>130*H2</f>
        <v>245.49145500896992</v>
      </c>
      <c r="J2" s="30">
        <f>I2/(1-0.41)</f>
        <v>416.08721187960998</v>
      </c>
      <c r="K2" s="30">
        <f>I2/(1-0.19)</f>
        <v>303.0758703814443</v>
      </c>
    </row>
    <row r="3" spans="1:11" x14ac:dyDescent="0.25">
      <c r="A3" t="s">
        <v>58</v>
      </c>
      <c r="B3" s="30">
        <v>2.9999999999999997E-4</v>
      </c>
      <c r="J3" s="30">
        <f>500/J2</f>
        <v>1.2016711538461538</v>
      </c>
      <c r="K3" s="30">
        <f>500/K2</f>
        <v>1.6497519230769231</v>
      </c>
    </row>
    <row r="6" spans="1:11" x14ac:dyDescent="0.25">
      <c r="B6" s="31">
        <f>B1*B3/(2*B2)-B1^2*B3^2/(4*B2^2)</f>
        <v>-17.700831024930746</v>
      </c>
      <c r="D6" s="31">
        <f>B1*B3/(B2)-B1^2*B3^2/(2*B2^2)+E1*B3/B2</f>
        <v>-35.371662049861492</v>
      </c>
      <c r="F6" s="31">
        <f>E1*B3/B2</f>
        <v>0.03</v>
      </c>
      <c r="G6">
        <f>1.03/2</f>
        <v>0.51500000000000001</v>
      </c>
      <c r="I6">
        <f>1/0.515</f>
        <v>1.941747572815534</v>
      </c>
    </row>
    <row r="10" spans="1:11" x14ac:dyDescent="0.25">
      <c r="H10">
        <f>134*1.44*1.9417*1.25*1.1</f>
        <v>515.17184399999996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144E412B654C48AB32CB0CBA15BF5D" ma:contentTypeVersion="2" ma:contentTypeDescription="Create a new document." ma:contentTypeScope="" ma:versionID="94fe2c3aca7566056f7f3f808a2014e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cc10a156eb2aa295318eab019ded2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242BE4-EB9E-46EC-8403-7A5DCB08129D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A9B99B-45D8-440F-A7D5-D5FFD08473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AADEA4-B3C1-45F7-876A-D85745EF4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8-5-24</vt:lpstr>
      <vt:lpstr>8-6-24</vt:lpstr>
      <vt:lpstr>8-6-24 (2)</vt:lpstr>
      <vt:lpstr>8-21-24</vt:lpstr>
      <vt:lpstr>9-5-24</vt:lpstr>
      <vt:lpstr>Ballistic Deficit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2025-04-15T00:49:47Z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0x010100D4144E412B654C48AB32CB0CBA15BF5D</vt:lpwstr>
  </property>
</Properties>
</file>