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lia\Desktop\"/>
    </mc:Choice>
  </mc:AlternateContent>
  <xr:revisionPtr revIDLastSave="0" documentId="8_{7B00F1CC-1175-4223-96CD-44DC33F25C8D}" xr6:coauthVersionLast="45" xr6:coauthVersionMax="45" xr10:uidLastSave="{00000000-0000-0000-0000-000000000000}"/>
  <bookViews>
    <workbookView xWindow="-120" yWindow="-120" windowWidth="29040" windowHeight="15840" xr2:uid="{9E06EE77-AE6F-490F-9C60-2CC13AD2367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7" i="1" l="1"/>
  <c r="C267" i="1"/>
  <c r="D267" i="1"/>
  <c r="E267" i="1"/>
  <c r="F267" i="1"/>
  <c r="K267" i="1"/>
  <c r="L267" i="1"/>
  <c r="M267" i="1"/>
  <c r="N267" i="1"/>
  <c r="B230" i="1"/>
  <c r="C230" i="1"/>
  <c r="D230" i="1"/>
  <c r="E230" i="1"/>
  <c r="F230" i="1"/>
  <c r="G230" i="1"/>
  <c r="H230" i="1"/>
  <c r="I230" i="1"/>
  <c r="J230" i="1"/>
  <c r="L230" i="1"/>
  <c r="M230" i="1"/>
  <c r="N230" i="1"/>
  <c r="B231" i="1"/>
  <c r="C231" i="1"/>
  <c r="D231" i="1"/>
  <c r="E231" i="1"/>
  <c r="F231" i="1"/>
  <c r="G231" i="1"/>
  <c r="H231" i="1"/>
  <c r="I231" i="1"/>
  <c r="J231" i="1"/>
  <c r="L231" i="1"/>
  <c r="M231" i="1"/>
  <c r="N231" i="1"/>
  <c r="B232" i="1"/>
  <c r="C232" i="1"/>
  <c r="D232" i="1"/>
  <c r="E232" i="1"/>
  <c r="F232" i="1"/>
  <c r="G232" i="1"/>
  <c r="H232" i="1"/>
  <c r="I232" i="1"/>
  <c r="J232" i="1"/>
  <c r="L232" i="1"/>
  <c r="M232" i="1"/>
  <c r="N232" i="1"/>
  <c r="B233" i="1"/>
  <c r="C233" i="1"/>
  <c r="D233" i="1"/>
  <c r="E233" i="1"/>
  <c r="F233" i="1"/>
  <c r="G233" i="1"/>
  <c r="H233" i="1"/>
  <c r="I233" i="1"/>
  <c r="J233" i="1"/>
  <c r="L233" i="1"/>
  <c r="M233" i="1"/>
  <c r="N233" i="1"/>
  <c r="B234" i="1"/>
  <c r="C234" i="1"/>
  <c r="D234" i="1"/>
  <c r="E234" i="1"/>
  <c r="F234" i="1"/>
  <c r="K234" i="1"/>
  <c r="L234" i="1"/>
  <c r="M234" i="1"/>
  <c r="N234" i="1"/>
  <c r="B235" i="1"/>
  <c r="C235" i="1"/>
  <c r="D235" i="1"/>
  <c r="E235" i="1"/>
  <c r="F235" i="1"/>
  <c r="K235" i="1"/>
  <c r="L235" i="1"/>
  <c r="M235" i="1"/>
  <c r="N235" i="1"/>
  <c r="B236" i="1"/>
  <c r="C236" i="1"/>
  <c r="D236" i="1"/>
  <c r="E236" i="1"/>
  <c r="F236" i="1"/>
  <c r="G236" i="1"/>
  <c r="H236" i="1"/>
  <c r="I236" i="1"/>
  <c r="J236" i="1"/>
  <c r="L236" i="1"/>
  <c r="M236" i="1"/>
  <c r="N236" i="1"/>
  <c r="B237" i="1"/>
  <c r="C237" i="1"/>
  <c r="D237" i="1"/>
  <c r="E237" i="1"/>
  <c r="F237" i="1"/>
  <c r="G237" i="1"/>
  <c r="H237" i="1"/>
  <c r="I237" i="1"/>
  <c r="J237" i="1"/>
  <c r="L237" i="1"/>
  <c r="M237" i="1"/>
  <c r="N237" i="1"/>
  <c r="B238" i="1"/>
  <c r="C238" i="1"/>
  <c r="D238" i="1"/>
  <c r="E238" i="1"/>
  <c r="F238" i="1"/>
  <c r="G238" i="1"/>
  <c r="H238" i="1"/>
  <c r="I238" i="1"/>
  <c r="J238" i="1"/>
  <c r="L238" i="1"/>
  <c r="M238" i="1"/>
  <c r="N238" i="1"/>
  <c r="B239" i="1"/>
  <c r="C239" i="1"/>
  <c r="D239" i="1"/>
  <c r="E239" i="1"/>
  <c r="F239" i="1"/>
  <c r="G239" i="1"/>
  <c r="H239" i="1"/>
  <c r="I239" i="1"/>
  <c r="J239" i="1"/>
  <c r="L239" i="1"/>
  <c r="M239" i="1"/>
  <c r="N239" i="1"/>
  <c r="B240" i="1"/>
  <c r="C240" i="1"/>
  <c r="D240" i="1"/>
  <c r="E240" i="1"/>
  <c r="F240" i="1"/>
  <c r="G240" i="1"/>
  <c r="H240" i="1"/>
  <c r="I240" i="1"/>
  <c r="J240" i="1"/>
  <c r="L240" i="1"/>
  <c r="M240" i="1"/>
  <c r="N240" i="1"/>
  <c r="B241" i="1"/>
  <c r="C241" i="1"/>
  <c r="D241" i="1"/>
  <c r="E241" i="1"/>
  <c r="F241" i="1"/>
  <c r="G241" i="1"/>
  <c r="H241" i="1"/>
  <c r="I241" i="1"/>
  <c r="J241" i="1"/>
  <c r="L241" i="1"/>
  <c r="M241" i="1"/>
  <c r="N241" i="1"/>
  <c r="B242" i="1"/>
  <c r="C242" i="1"/>
  <c r="D242" i="1"/>
  <c r="E242" i="1"/>
  <c r="F242" i="1"/>
  <c r="G242" i="1"/>
  <c r="H242" i="1"/>
  <c r="I242" i="1"/>
  <c r="J242" i="1"/>
  <c r="L242" i="1"/>
  <c r="M242" i="1"/>
  <c r="N242" i="1"/>
  <c r="B243" i="1"/>
  <c r="C243" i="1"/>
  <c r="D243" i="1"/>
  <c r="E243" i="1"/>
  <c r="F243" i="1"/>
  <c r="G243" i="1"/>
  <c r="H243" i="1"/>
  <c r="I243" i="1"/>
  <c r="J243" i="1"/>
  <c r="L243" i="1"/>
  <c r="M243" i="1"/>
  <c r="N243" i="1"/>
  <c r="B244" i="1"/>
  <c r="C244" i="1"/>
  <c r="D244" i="1"/>
  <c r="E244" i="1"/>
  <c r="F244" i="1"/>
  <c r="G244" i="1"/>
  <c r="H244" i="1"/>
  <c r="I244" i="1"/>
  <c r="J244" i="1"/>
  <c r="L244" i="1"/>
  <c r="M244" i="1"/>
  <c r="N244" i="1"/>
  <c r="B245" i="1"/>
  <c r="C245" i="1"/>
  <c r="D245" i="1"/>
  <c r="E245" i="1"/>
  <c r="F245" i="1"/>
  <c r="K245" i="1"/>
  <c r="L245" i="1"/>
  <c r="M245" i="1"/>
  <c r="N245" i="1"/>
  <c r="B246" i="1"/>
  <c r="C246" i="1"/>
  <c r="D246" i="1"/>
  <c r="E246" i="1"/>
  <c r="F246" i="1"/>
  <c r="G246" i="1"/>
  <c r="H246" i="1"/>
  <c r="I246" i="1"/>
  <c r="J246" i="1"/>
  <c r="L246" i="1"/>
  <c r="M246" i="1"/>
  <c r="N246" i="1"/>
  <c r="B247" i="1"/>
  <c r="C247" i="1"/>
  <c r="D247" i="1"/>
  <c r="E247" i="1"/>
  <c r="F247" i="1"/>
  <c r="G247" i="1"/>
  <c r="H247" i="1"/>
  <c r="I247" i="1"/>
  <c r="J247" i="1"/>
  <c r="L247" i="1"/>
  <c r="M247" i="1"/>
  <c r="N247" i="1"/>
  <c r="B248" i="1"/>
  <c r="C248" i="1"/>
  <c r="D248" i="1"/>
  <c r="E248" i="1"/>
  <c r="F248" i="1"/>
  <c r="G248" i="1"/>
  <c r="H248" i="1"/>
  <c r="I248" i="1"/>
  <c r="J248" i="1"/>
  <c r="L248" i="1"/>
  <c r="M248" i="1"/>
  <c r="N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B250" i="1"/>
  <c r="C250" i="1"/>
  <c r="D250" i="1"/>
  <c r="E250" i="1"/>
  <c r="F250" i="1"/>
  <c r="I250" i="1"/>
  <c r="J250" i="1"/>
  <c r="L250" i="1"/>
  <c r="M250" i="1"/>
  <c r="N250" i="1"/>
  <c r="B251" i="1"/>
  <c r="C251" i="1"/>
  <c r="D251" i="1"/>
  <c r="E251" i="1"/>
  <c r="F251" i="1"/>
  <c r="G251" i="1"/>
  <c r="H251" i="1"/>
  <c r="I251" i="1"/>
  <c r="J251" i="1"/>
  <c r="L251" i="1"/>
  <c r="M251" i="1"/>
  <c r="N251" i="1"/>
  <c r="B252" i="1"/>
  <c r="C252" i="1"/>
  <c r="D252" i="1"/>
  <c r="E252" i="1"/>
  <c r="F252" i="1"/>
  <c r="G252" i="1"/>
  <c r="H252" i="1"/>
  <c r="I252" i="1"/>
  <c r="J252" i="1"/>
  <c r="L252" i="1"/>
  <c r="M252" i="1"/>
  <c r="N252" i="1"/>
  <c r="B253" i="1"/>
  <c r="C253" i="1"/>
  <c r="D253" i="1"/>
  <c r="E253" i="1"/>
  <c r="F253" i="1"/>
  <c r="G253" i="1"/>
  <c r="H253" i="1"/>
  <c r="I253" i="1"/>
  <c r="J253" i="1"/>
  <c r="L253" i="1"/>
  <c r="M253" i="1"/>
  <c r="N253" i="1"/>
  <c r="B254" i="1"/>
  <c r="C254" i="1"/>
  <c r="D254" i="1"/>
  <c r="E254" i="1"/>
  <c r="F254" i="1"/>
  <c r="G254" i="1"/>
  <c r="H254" i="1"/>
  <c r="I254" i="1"/>
  <c r="J254" i="1"/>
  <c r="L254" i="1"/>
  <c r="M254" i="1"/>
  <c r="N254" i="1"/>
  <c r="B255" i="1"/>
  <c r="C255" i="1"/>
  <c r="D255" i="1"/>
  <c r="E255" i="1"/>
  <c r="F255" i="1"/>
  <c r="G255" i="1"/>
  <c r="H255" i="1"/>
  <c r="I255" i="1"/>
  <c r="J255" i="1"/>
  <c r="L255" i="1"/>
  <c r="M255" i="1"/>
  <c r="N255" i="1"/>
  <c r="B256" i="1"/>
  <c r="C256" i="1"/>
  <c r="D256" i="1"/>
  <c r="E256" i="1"/>
  <c r="F256" i="1"/>
  <c r="I256" i="1"/>
  <c r="J256" i="1"/>
  <c r="L256" i="1"/>
  <c r="M256" i="1"/>
  <c r="N256" i="1"/>
  <c r="B257" i="1"/>
  <c r="C257" i="1"/>
  <c r="D257" i="1"/>
  <c r="E257" i="1"/>
  <c r="F257" i="1"/>
  <c r="G257" i="1"/>
  <c r="H257" i="1"/>
  <c r="I257" i="1"/>
  <c r="J257" i="1"/>
  <c r="L257" i="1"/>
  <c r="M257" i="1"/>
  <c r="N257" i="1"/>
  <c r="B258" i="1"/>
  <c r="C258" i="1"/>
  <c r="D258" i="1"/>
  <c r="E258" i="1"/>
  <c r="F258" i="1"/>
  <c r="G258" i="1"/>
  <c r="H258" i="1"/>
  <c r="I258" i="1"/>
  <c r="J258" i="1"/>
  <c r="L258" i="1"/>
  <c r="M258" i="1"/>
  <c r="N258" i="1"/>
  <c r="B259" i="1"/>
  <c r="C259" i="1"/>
  <c r="D259" i="1"/>
  <c r="E259" i="1"/>
  <c r="F259" i="1"/>
  <c r="G259" i="1"/>
  <c r="H259" i="1"/>
  <c r="I259" i="1"/>
  <c r="J259" i="1"/>
  <c r="L259" i="1"/>
  <c r="M259" i="1"/>
  <c r="N259" i="1"/>
  <c r="B260" i="1"/>
  <c r="C260" i="1"/>
  <c r="D260" i="1"/>
  <c r="E260" i="1"/>
  <c r="F260" i="1"/>
  <c r="G260" i="1"/>
  <c r="H260" i="1"/>
  <c r="I260" i="1"/>
  <c r="J260" i="1"/>
  <c r="L260" i="1"/>
  <c r="M260" i="1"/>
  <c r="N260" i="1"/>
  <c r="B261" i="1"/>
  <c r="C261" i="1"/>
  <c r="D261" i="1"/>
  <c r="E261" i="1"/>
  <c r="F261" i="1"/>
  <c r="G261" i="1"/>
  <c r="H261" i="1"/>
  <c r="I261" i="1"/>
  <c r="J261" i="1"/>
  <c r="L261" i="1"/>
  <c r="M261" i="1"/>
  <c r="N261" i="1"/>
  <c r="B262" i="1"/>
  <c r="C262" i="1"/>
  <c r="D262" i="1"/>
  <c r="E262" i="1"/>
  <c r="F262" i="1"/>
  <c r="G262" i="1"/>
  <c r="H262" i="1"/>
  <c r="I262" i="1"/>
  <c r="J262" i="1"/>
  <c r="L262" i="1"/>
  <c r="M262" i="1"/>
  <c r="N262" i="1"/>
  <c r="B263" i="1"/>
  <c r="C263" i="1"/>
  <c r="D263" i="1"/>
  <c r="E263" i="1"/>
  <c r="F263" i="1"/>
  <c r="G263" i="1"/>
  <c r="H263" i="1"/>
  <c r="I263" i="1"/>
  <c r="J263" i="1"/>
  <c r="L263" i="1"/>
  <c r="M263" i="1"/>
  <c r="N263" i="1"/>
  <c r="B264" i="1"/>
  <c r="C264" i="1"/>
  <c r="D264" i="1"/>
  <c r="E264" i="1"/>
  <c r="F264" i="1"/>
  <c r="G264" i="1"/>
  <c r="H264" i="1"/>
  <c r="I264" i="1"/>
  <c r="J264" i="1"/>
  <c r="L264" i="1"/>
  <c r="M264" i="1"/>
  <c r="N264" i="1"/>
  <c r="B265" i="1"/>
  <c r="C265" i="1"/>
  <c r="D265" i="1"/>
  <c r="E265" i="1"/>
  <c r="F265" i="1"/>
  <c r="K265" i="1"/>
  <c r="L265" i="1"/>
  <c r="M265" i="1"/>
  <c r="N265" i="1"/>
  <c r="B266" i="1"/>
  <c r="C266" i="1"/>
  <c r="D266" i="1"/>
  <c r="E266" i="1"/>
  <c r="F266" i="1"/>
  <c r="L266" i="1"/>
  <c r="M266" i="1"/>
  <c r="N266" i="1"/>
  <c r="B190" i="1"/>
  <c r="C190" i="1"/>
  <c r="D190" i="1"/>
  <c r="E190" i="1"/>
  <c r="F190" i="1"/>
  <c r="K190" i="1"/>
  <c r="L190" i="1"/>
  <c r="M190" i="1"/>
  <c r="N190" i="1"/>
  <c r="B191" i="1"/>
  <c r="C191" i="1"/>
  <c r="D191" i="1"/>
  <c r="E191" i="1"/>
  <c r="F191" i="1"/>
  <c r="K191" i="1"/>
  <c r="L191" i="1"/>
  <c r="M191" i="1"/>
  <c r="N191" i="1"/>
  <c r="B192" i="1"/>
  <c r="C192" i="1"/>
  <c r="D192" i="1"/>
  <c r="E192" i="1"/>
  <c r="F192" i="1"/>
  <c r="G192" i="1"/>
  <c r="H192" i="1"/>
  <c r="I192" i="1"/>
  <c r="J192" i="1"/>
  <c r="L192" i="1"/>
  <c r="M192" i="1"/>
  <c r="N192" i="1"/>
  <c r="B193" i="1"/>
  <c r="C193" i="1"/>
  <c r="D193" i="1"/>
  <c r="E193" i="1"/>
  <c r="F193" i="1"/>
  <c r="K193" i="1"/>
  <c r="L193" i="1"/>
  <c r="M193" i="1"/>
  <c r="N193" i="1"/>
  <c r="B194" i="1"/>
  <c r="C194" i="1"/>
  <c r="D194" i="1"/>
  <c r="E194" i="1"/>
  <c r="F194" i="1"/>
  <c r="K194" i="1"/>
  <c r="L194" i="1"/>
  <c r="M194" i="1"/>
  <c r="N194" i="1"/>
  <c r="B195" i="1"/>
  <c r="C195" i="1"/>
  <c r="D195" i="1"/>
  <c r="E195" i="1"/>
  <c r="F195" i="1"/>
  <c r="K195" i="1"/>
  <c r="L195" i="1"/>
  <c r="M195" i="1"/>
  <c r="N195" i="1"/>
  <c r="B196" i="1"/>
  <c r="C196" i="1"/>
  <c r="D196" i="1"/>
  <c r="E196" i="1"/>
  <c r="F196" i="1"/>
  <c r="K196" i="1"/>
  <c r="L196" i="1"/>
  <c r="M196" i="1"/>
  <c r="N196" i="1"/>
  <c r="B197" i="1"/>
  <c r="C197" i="1"/>
  <c r="D197" i="1"/>
  <c r="E197" i="1"/>
  <c r="F197" i="1"/>
  <c r="K197" i="1"/>
  <c r="L197" i="1"/>
  <c r="M197" i="1"/>
  <c r="N197" i="1"/>
  <c r="B198" i="1"/>
  <c r="C198" i="1"/>
  <c r="D198" i="1"/>
  <c r="E198" i="1"/>
  <c r="F198" i="1"/>
  <c r="G198" i="1"/>
  <c r="H198" i="1"/>
  <c r="I198" i="1"/>
  <c r="J198" i="1"/>
  <c r="L198" i="1"/>
  <c r="M198" i="1"/>
  <c r="N198" i="1"/>
  <c r="B199" i="1"/>
  <c r="C199" i="1"/>
  <c r="D199" i="1"/>
  <c r="E199" i="1"/>
  <c r="F199" i="1"/>
  <c r="G199" i="1"/>
  <c r="H199" i="1"/>
  <c r="I199" i="1"/>
  <c r="J199" i="1"/>
  <c r="L199" i="1"/>
  <c r="M199" i="1"/>
  <c r="N199" i="1"/>
  <c r="B200" i="1"/>
  <c r="C200" i="1"/>
  <c r="D200" i="1"/>
  <c r="E200" i="1"/>
  <c r="F200" i="1"/>
  <c r="K200" i="1"/>
  <c r="L200" i="1"/>
  <c r="M200" i="1"/>
  <c r="N200" i="1"/>
  <c r="B201" i="1"/>
  <c r="C201" i="1"/>
  <c r="D201" i="1"/>
  <c r="E201" i="1"/>
  <c r="F201" i="1"/>
  <c r="K201" i="1"/>
  <c r="L201" i="1"/>
  <c r="M201" i="1"/>
  <c r="N201" i="1"/>
  <c r="B202" i="1"/>
  <c r="C202" i="1"/>
  <c r="D202" i="1"/>
  <c r="E202" i="1"/>
  <c r="F202" i="1"/>
  <c r="G202" i="1"/>
  <c r="H202" i="1"/>
  <c r="I202" i="1"/>
  <c r="J202" i="1"/>
  <c r="L202" i="1"/>
  <c r="M202" i="1"/>
  <c r="N202" i="1"/>
  <c r="B203" i="1"/>
  <c r="C203" i="1"/>
  <c r="D203" i="1"/>
  <c r="E203" i="1"/>
  <c r="F203" i="1"/>
  <c r="G203" i="1"/>
  <c r="H203" i="1"/>
  <c r="I203" i="1"/>
  <c r="J203" i="1"/>
  <c r="L203" i="1"/>
  <c r="M203" i="1"/>
  <c r="N203" i="1"/>
  <c r="B204" i="1"/>
  <c r="C204" i="1"/>
  <c r="D204" i="1"/>
  <c r="E204" i="1"/>
  <c r="F204" i="1"/>
  <c r="G204" i="1"/>
  <c r="H204" i="1"/>
  <c r="I204" i="1"/>
  <c r="J204" i="1"/>
  <c r="L204" i="1"/>
  <c r="M204" i="1"/>
  <c r="N204" i="1"/>
  <c r="B205" i="1"/>
  <c r="C205" i="1"/>
  <c r="D205" i="1"/>
  <c r="E205" i="1"/>
  <c r="F205" i="1"/>
  <c r="G205" i="1"/>
  <c r="H205" i="1"/>
  <c r="I205" i="1"/>
  <c r="J205" i="1"/>
  <c r="L205" i="1"/>
  <c r="M205" i="1"/>
  <c r="N205" i="1"/>
  <c r="B206" i="1"/>
  <c r="C206" i="1"/>
  <c r="D206" i="1"/>
  <c r="E206" i="1"/>
  <c r="F206" i="1"/>
  <c r="G206" i="1"/>
  <c r="H206" i="1"/>
  <c r="I206" i="1"/>
  <c r="J206" i="1"/>
  <c r="L206" i="1"/>
  <c r="M206" i="1"/>
  <c r="N206" i="1"/>
  <c r="B207" i="1"/>
  <c r="C207" i="1"/>
  <c r="D207" i="1"/>
  <c r="E207" i="1"/>
  <c r="F207" i="1"/>
  <c r="G207" i="1"/>
  <c r="H207" i="1"/>
  <c r="I207" i="1"/>
  <c r="J207" i="1"/>
  <c r="L207" i="1"/>
  <c r="M207" i="1"/>
  <c r="N207" i="1"/>
  <c r="B208" i="1"/>
  <c r="C208" i="1"/>
  <c r="D208" i="1"/>
  <c r="E208" i="1"/>
  <c r="F208" i="1"/>
  <c r="G208" i="1"/>
  <c r="H208" i="1"/>
  <c r="I208" i="1"/>
  <c r="J208" i="1"/>
  <c r="L208" i="1"/>
  <c r="M208" i="1"/>
  <c r="N208" i="1"/>
  <c r="B209" i="1"/>
  <c r="C209" i="1"/>
  <c r="D209" i="1"/>
  <c r="E209" i="1"/>
  <c r="F209" i="1"/>
  <c r="K209" i="1"/>
  <c r="L209" i="1"/>
  <c r="M209" i="1"/>
  <c r="N209" i="1"/>
  <c r="B210" i="1"/>
  <c r="C210" i="1"/>
  <c r="D210" i="1"/>
  <c r="E210" i="1"/>
  <c r="F210" i="1"/>
  <c r="G210" i="1"/>
  <c r="H210" i="1"/>
  <c r="I210" i="1"/>
  <c r="J210" i="1"/>
  <c r="L210" i="1"/>
  <c r="M210" i="1"/>
  <c r="N210" i="1"/>
  <c r="B211" i="1"/>
  <c r="C211" i="1"/>
  <c r="D211" i="1"/>
  <c r="E211" i="1"/>
  <c r="F211" i="1"/>
  <c r="G211" i="1"/>
  <c r="H211" i="1"/>
  <c r="I211" i="1"/>
  <c r="J211" i="1"/>
  <c r="L211" i="1"/>
  <c r="M211" i="1"/>
  <c r="N211" i="1"/>
  <c r="B212" i="1"/>
  <c r="C212" i="1"/>
  <c r="D212" i="1"/>
  <c r="E212" i="1"/>
  <c r="F212" i="1"/>
  <c r="K212" i="1"/>
  <c r="L212" i="1"/>
  <c r="M212" i="1"/>
  <c r="N212" i="1"/>
  <c r="B213" i="1"/>
  <c r="C213" i="1"/>
  <c r="D213" i="1"/>
  <c r="E213" i="1"/>
  <c r="F213" i="1"/>
  <c r="K213" i="1"/>
  <c r="L213" i="1"/>
  <c r="M213" i="1"/>
  <c r="N213" i="1"/>
  <c r="B214" i="1"/>
  <c r="C214" i="1"/>
  <c r="D214" i="1"/>
  <c r="E214" i="1"/>
  <c r="F214" i="1"/>
  <c r="K214" i="1"/>
  <c r="L214" i="1"/>
  <c r="M214" i="1"/>
  <c r="N214" i="1"/>
  <c r="B215" i="1"/>
  <c r="C215" i="1"/>
  <c r="D215" i="1"/>
  <c r="E215" i="1"/>
  <c r="F215" i="1"/>
  <c r="K215" i="1"/>
  <c r="L215" i="1"/>
  <c r="M215" i="1"/>
  <c r="N215" i="1"/>
  <c r="B216" i="1"/>
  <c r="C216" i="1"/>
  <c r="D216" i="1"/>
  <c r="E216" i="1"/>
  <c r="F216" i="1"/>
  <c r="G216" i="1"/>
  <c r="H216" i="1"/>
  <c r="I216" i="1"/>
  <c r="J216" i="1"/>
  <c r="L216" i="1"/>
  <c r="M216" i="1"/>
  <c r="N216" i="1"/>
  <c r="B217" i="1"/>
  <c r="C217" i="1"/>
  <c r="D217" i="1"/>
  <c r="E217" i="1"/>
  <c r="F217" i="1"/>
  <c r="G217" i="1"/>
  <c r="H217" i="1"/>
  <c r="I217" i="1"/>
  <c r="J217" i="1"/>
  <c r="L217" i="1"/>
  <c r="M217" i="1"/>
  <c r="N217" i="1"/>
  <c r="B218" i="1"/>
  <c r="C218" i="1"/>
  <c r="D218" i="1"/>
  <c r="E218" i="1"/>
  <c r="F218" i="1"/>
  <c r="G218" i="1"/>
  <c r="H218" i="1"/>
  <c r="I218" i="1"/>
  <c r="J218" i="1"/>
  <c r="L218" i="1"/>
  <c r="M218" i="1"/>
  <c r="N218" i="1"/>
  <c r="B219" i="1"/>
  <c r="C219" i="1"/>
  <c r="D219" i="1"/>
  <c r="E219" i="1"/>
  <c r="F219" i="1"/>
  <c r="G219" i="1"/>
  <c r="H219" i="1"/>
  <c r="I219" i="1"/>
  <c r="J219" i="1"/>
  <c r="L219" i="1"/>
  <c r="M219" i="1"/>
  <c r="N219" i="1"/>
  <c r="B220" i="1"/>
  <c r="C220" i="1"/>
  <c r="D220" i="1"/>
  <c r="E220" i="1"/>
  <c r="F220" i="1"/>
  <c r="G220" i="1"/>
  <c r="H220" i="1"/>
  <c r="I220" i="1"/>
  <c r="J220" i="1"/>
  <c r="L220" i="1"/>
  <c r="M220" i="1"/>
  <c r="N220" i="1"/>
  <c r="B221" i="1"/>
  <c r="C221" i="1"/>
  <c r="D221" i="1"/>
  <c r="E221" i="1"/>
  <c r="F221" i="1"/>
  <c r="G221" i="1"/>
  <c r="H221" i="1"/>
  <c r="I221" i="1"/>
  <c r="J221" i="1"/>
  <c r="L221" i="1"/>
  <c r="M221" i="1"/>
  <c r="N221" i="1"/>
  <c r="B222" i="1"/>
  <c r="C222" i="1"/>
  <c r="D222" i="1"/>
  <c r="E222" i="1"/>
  <c r="F222" i="1"/>
  <c r="G222" i="1"/>
  <c r="H222" i="1"/>
  <c r="I222" i="1"/>
  <c r="J222" i="1"/>
  <c r="L222" i="1"/>
  <c r="M222" i="1"/>
  <c r="N222" i="1"/>
  <c r="B223" i="1"/>
  <c r="C223" i="1"/>
  <c r="D223" i="1"/>
  <c r="E223" i="1"/>
  <c r="F223" i="1"/>
  <c r="G223" i="1"/>
  <c r="H223" i="1"/>
  <c r="I223" i="1"/>
  <c r="J223" i="1"/>
  <c r="L223" i="1"/>
  <c r="M223" i="1"/>
  <c r="N223" i="1"/>
  <c r="B224" i="1"/>
  <c r="C224" i="1"/>
  <c r="D224" i="1"/>
  <c r="E224" i="1"/>
  <c r="F224" i="1"/>
  <c r="G224" i="1"/>
  <c r="H224" i="1"/>
  <c r="I224" i="1"/>
  <c r="J224" i="1"/>
  <c r="L224" i="1"/>
  <c r="M224" i="1"/>
  <c r="N224" i="1"/>
  <c r="B225" i="1"/>
  <c r="C225" i="1"/>
  <c r="D225" i="1"/>
  <c r="E225" i="1"/>
  <c r="F225" i="1"/>
  <c r="K225" i="1"/>
  <c r="L225" i="1"/>
  <c r="M225" i="1"/>
  <c r="N225" i="1"/>
  <c r="B226" i="1"/>
  <c r="C226" i="1"/>
  <c r="D226" i="1"/>
  <c r="E226" i="1"/>
  <c r="F226" i="1"/>
  <c r="K226" i="1"/>
  <c r="L226" i="1"/>
  <c r="M226" i="1"/>
  <c r="N226" i="1"/>
  <c r="B227" i="1"/>
  <c r="C227" i="1"/>
  <c r="D227" i="1"/>
  <c r="E227" i="1"/>
  <c r="F227" i="1"/>
  <c r="K227" i="1"/>
  <c r="L227" i="1"/>
  <c r="M227" i="1"/>
  <c r="N227" i="1"/>
  <c r="B228" i="1"/>
  <c r="C228" i="1"/>
  <c r="D228" i="1"/>
  <c r="E228" i="1"/>
  <c r="F228" i="1"/>
  <c r="K228" i="1"/>
  <c r="L228" i="1"/>
  <c r="M228" i="1"/>
  <c r="N228" i="1"/>
  <c r="B229" i="1"/>
  <c r="C229" i="1"/>
  <c r="D229" i="1"/>
  <c r="E229" i="1"/>
  <c r="F229" i="1"/>
  <c r="G229" i="1"/>
  <c r="H229" i="1"/>
  <c r="I229" i="1"/>
  <c r="J229" i="1"/>
  <c r="L229" i="1"/>
  <c r="M229" i="1"/>
  <c r="N229" i="1"/>
  <c r="B151" i="1"/>
  <c r="C151" i="1"/>
  <c r="D151" i="1"/>
  <c r="E151" i="1"/>
  <c r="F151" i="1"/>
  <c r="G151" i="1"/>
  <c r="H151" i="1"/>
  <c r="I151" i="1"/>
  <c r="J151" i="1"/>
  <c r="L151" i="1"/>
  <c r="M151" i="1"/>
  <c r="N151" i="1"/>
  <c r="B152" i="1"/>
  <c r="C152" i="1"/>
  <c r="D152" i="1"/>
  <c r="E152" i="1"/>
  <c r="F152" i="1"/>
  <c r="G152" i="1"/>
  <c r="H152" i="1"/>
  <c r="I152" i="1"/>
  <c r="J152" i="1"/>
  <c r="L152" i="1"/>
  <c r="M152" i="1"/>
  <c r="N152" i="1"/>
  <c r="B153" i="1"/>
  <c r="C153" i="1"/>
  <c r="D153" i="1"/>
  <c r="E153" i="1"/>
  <c r="F153" i="1"/>
  <c r="G153" i="1"/>
  <c r="H153" i="1"/>
  <c r="I153" i="1"/>
  <c r="J153" i="1"/>
  <c r="L153" i="1"/>
  <c r="M153" i="1"/>
  <c r="N153" i="1"/>
  <c r="B154" i="1"/>
  <c r="C154" i="1"/>
  <c r="D154" i="1"/>
  <c r="E154" i="1"/>
  <c r="F154" i="1"/>
  <c r="K154" i="1"/>
  <c r="L154" i="1"/>
  <c r="M154" i="1"/>
  <c r="N154" i="1"/>
  <c r="B155" i="1"/>
  <c r="C155" i="1"/>
  <c r="D155" i="1"/>
  <c r="E155" i="1"/>
  <c r="F155" i="1"/>
  <c r="K155" i="1"/>
  <c r="L155" i="1"/>
  <c r="M155" i="1"/>
  <c r="N155" i="1"/>
  <c r="B156" i="1"/>
  <c r="C156" i="1"/>
  <c r="D156" i="1"/>
  <c r="E156" i="1"/>
  <c r="F156" i="1"/>
  <c r="K156" i="1"/>
  <c r="L156" i="1"/>
  <c r="M156" i="1"/>
  <c r="N156" i="1"/>
  <c r="B157" i="1"/>
  <c r="C157" i="1"/>
  <c r="D157" i="1"/>
  <c r="E157" i="1"/>
  <c r="F157" i="1"/>
  <c r="G157" i="1"/>
  <c r="H157" i="1"/>
  <c r="I157" i="1"/>
  <c r="J157" i="1"/>
  <c r="L157" i="1"/>
  <c r="M157" i="1"/>
  <c r="N157" i="1"/>
  <c r="B158" i="1"/>
  <c r="C158" i="1"/>
  <c r="D158" i="1"/>
  <c r="E158" i="1"/>
  <c r="F158" i="1"/>
  <c r="K158" i="1"/>
  <c r="L158" i="1"/>
  <c r="M158" i="1"/>
  <c r="N158" i="1"/>
  <c r="B159" i="1"/>
  <c r="C159" i="1"/>
  <c r="D159" i="1"/>
  <c r="E159" i="1"/>
  <c r="F159" i="1"/>
  <c r="K159" i="1"/>
  <c r="L159" i="1"/>
  <c r="M159" i="1"/>
  <c r="N159" i="1"/>
  <c r="B160" i="1"/>
  <c r="C160" i="1"/>
  <c r="D160" i="1"/>
  <c r="E160" i="1"/>
  <c r="F160" i="1"/>
  <c r="K160" i="1"/>
  <c r="L160" i="1"/>
  <c r="M160" i="1"/>
  <c r="N160" i="1"/>
  <c r="B161" i="1"/>
  <c r="C161" i="1"/>
  <c r="D161" i="1"/>
  <c r="E161" i="1"/>
  <c r="F161" i="1"/>
  <c r="G161" i="1"/>
  <c r="H161" i="1"/>
  <c r="I161" i="1"/>
  <c r="J161" i="1"/>
  <c r="L161" i="1"/>
  <c r="M161" i="1"/>
  <c r="N161" i="1"/>
  <c r="B162" i="1"/>
  <c r="C162" i="1"/>
  <c r="D162" i="1"/>
  <c r="E162" i="1"/>
  <c r="F162" i="1"/>
  <c r="G162" i="1"/>
  <c r="H162" i="1"/>
  <c r="I162" i="1"/>
  <c r="J162" i="1"/>
  <c r="L162" i="1"/>
  <c r="M162" i="1"/>
  <c r="N162" i="1"/>
  <c r="B163" i="1"/>
  <c r="C163" i="1"/>
  <c r="D163" i="1"/>
  <c r="E163" i="1"/>
  <c r="F163" i="1"/>
  <c r="G163" i="1"/>
  <c r="H163" i="1"/>
  <c r="I163" i="1"/>
  <c r="J163" i="1"/>
  <c r="L163" i="1"/>
  <c r="M163" i="1"/>
  <c r="N163" i="1"/>
  <c r="B164" i="1"/>
  <c r="C164" i="1"/>
  <c r="D164" i="1"/>
  <c r="E164" i="1"/>
  <c r="F164" i="1"/>
  <c r="K164" i="1"/>
  <c r="L164" i="1"/>
  <c r="M164" i="1"/>
  <c r="N164" i="1"/>
  <c r="B165" i="1"/>
  <c r="C165" i="1"/>
  <c r="D165" i="1"/>
  <c r="E165" i="1"/>
  <c r="F165" i="1"/>
  <c r="G165" i="1"/>
  <c r="H165" i="1"/>
  <c r="I165" i="1"/>
  <c r="J165" i="1"/>
  <c r="L165" i="1"/>
  <c r="M165" i="1"/>
  <c r="N165" i="1"/>
  <c r="B166" i="1"/>
  <c r="C166" i="1"/>
  <c r="D166" i="1"/>
  <c r="E166" i="1"/>
  <c r="F166" i="1"/>
  <c r="G166" i="1"/>
  <c r="H166" i="1"/>
  <c r="I166" i="1"/>
  <c r="J166" i="1"/>
  <c r="L166" i="1"/>
  <c r="M166" i="1"/>
  <c r="N166" i="1"/>
  <c r="B167" i="1"/>
  <c r="C167" i="1"/>
  <c r="D167" i="1"/>
  <c r="E167" i="1"/>
  <c r="F167" i="1"/>
  <c r="K167" i="1"/>
  <c r="L167" i="1"/>
  <c r="M167" i="1"/>
  <c r="N167" i="1"/>
  <c r="B168" i="1"/>
  <c r="C168" i="1"/>
  <c r="D168" i="1"/>
  <c r="E168" i="1"/>
  <c r="F168" i="1"/>
  <c r="K168" i="1"/>
  <c r="L168" i="1"/>
  <c r="M168" i="1"/>
  <c r="N168" i="1"/>
  <c r="B169" i="1"/>
  <c r="C169" i="1"/>
  <c r="D169" i="1"/>
  <c r="E169" i="1"/>
  <c r="F169" i="1"/>
  <c r="K169" i="1"/>
  <c r="L169" i="1"/>
  <c r="M169" i="1"/>
  <c r="N169" i="1"/>
  <c r="B170" i="1"/>
  <c r="C170" i="1"/>
  <c r="D170" i="1"/>
  <c r="E170" i="1"/>
  <c r="F170" i="1"/>
  <c r="K170" i="1"/>
  <c r="L170" i="1"/>
  <c r="M170" i="1"/>
  <c r="N170" i="1"/>
  <c r="B171" i="1"/>
  <c r="C171" i="1"/>
  <c r="D171" i="1"/>
  <c r="E171" i="1"/>
  <c r="F171" i="1"/>
  <c r="G171" i="1"/>
  <c r="H171" i="1"/>
  <c r="I171" i="1"/>
  <c r="J171" i="1"/>
  <c r="L171" i="1"/>
  <c r="M171" i="1"/>
  <c r="N171" i="1"/>
  <c r="B172" i="1"/>
  <c r="C172" i="1"/>
  <c r="D172" i="1"/>
  <c r="E172" i="1"/>
  <c r="F172" i="1"/>
  <c r="K172" i="1"/>
  <c r="L172" i="1"/>
  <c r="M172" i="1"/>
  <c r="N172" i="1"/>
  <c r="B173" i="1"/>
  <c r="C173" i="1"/>
  <c r="D173" i="1"/>
  <c r="E173" i="1"/>
  <c r="F173" i="1"/>
  <c r="G173" i="1"/>
  <c r="H173" i="1"/>
  <c r="I173" i="1"/>
  <c r="J173" i="1"/>
  <c r="L173" i="1"/>
  <c r="M173" i="1"/>
  <c r="N173" i="1"/>
  <c r="B174" i="1"/>
  <c r="C174" i="1"/>
  <c r="D174" i="1"/>
  <c r="E174" i="1"/>
  <c r="F174" i="1"/>
  <c r="K174" i="1"/>
  <c r="L174" i="1"/>
  <c r="M174" i="1"/>
  <c r="N174" i="1"/>
  <c r="B175" i="1"/>
  <c r="C175" i="1"/>
  <c r="D175" i="1"/>
  <c r="E175" i="1"/>
  <c r="F175" i="1"/>
  <c r="G175" i="1"/>
  <c r="H175" i="1"/>
  <c r="I175" i="1"/>
  <c r="J175" i="1"/>
  <c r="L175" i="1"/>
  <c r="M175" i="1"/>
  <c r="N175" i="1"/>
  <c r="B176" i="1"/>
  <c r="C176" i="1"/>
  <c r="D176" i="1"/>
  <c r="E176" i="1"/>
  <c r="F176" i="1"/>
  <c r="G176" i="1"/>
  <c r="H176" i="1"/>
  <c r="I176" i="1"/>
  <c r="J176" i="1"/>
  <c r="L176" i="1"/>
  <c r="M176" i="1"/>
  <c r="N176" i="1"/>
  <c r="B177" i="1"/>
  <c r="C177" i="1"/>
  <c r="D177" i="1"/>
  <c r="E177" i="1"/>
  <c r="F177" i="1"/>
  <c r="G177" i="1"/>
  <c r="H177" i="1"/>
  <c r="I177" i="1"/>
  <c r="J177" i="1"/>
  <c r="L177" i="1"/>
  <c r="M177" i="1"/>
  <c r="N177" i="1"/>
  <c r="B178" i="1"/>
  <c r="C178" i="1"/>
  <c r="D178" i="1"/>
  <c r="E178" i="1"/>
  <c r="F178" i="1"/>
  <c r="G178" i="1"/>
  <c r="H178" i="1"/>
  <c r="I178" i="1"/>
  <c r="J178" i="1"/>
  <c r="L178" i="1"/>
  <c r="M178" i="1"/>
  <c r="N178" i="1"/>
  <c r="B179" i="1"/>
  <c r="C179" i="1"/>
  <c r="D179" i="1"/>
  <c r="E179" i="1"/>
  <c r="F179" i="1"/>
  <c r="G179" i="1"/>
  <c r="H179" i="1"/>
  <c r="I179" i="1"/>
  <c r="J179" i="1"/>
  <c r="L179" i="1"/>
  <c r="M179" i="1"/>
  <c r="N179" i="1"/>
  <c r="B180" i="1"/>
  <c r="C180" i="1"/>
  <c r="D180" i="1"/>
  <c r="E180" i="1"/>
  <c r="F180" i="1"/>
  <c r="G180" i="1"/>
  <c r="H180" i="1"/>
  <c r="I180" i="1"/>
  <c r="J180" i="1"/>
  <c r="L180" i="1"/>
  <c r="M180" i="1"/>
  <c r="N180" i="1"/>
  <c r="B181" i="1"/>
  <c r="C181" i="1"/>
  <c r="D181" i="1"/>
  <c r="E181" i="1"/>
  <c r="F181" i="1"/>
  <c r="G181" i="1"/>
  <c r="H181" i="1"/>
  <c r="I181" i="1"/>
  <c r="J181" i="1"/>
  <c r="L181" i="1"/>
  <c r="M181" i="1"/>
  <c r="N181" i="1"/>
  <c r="B182" i="1"/>
  <c r="C182" i="1"/>
  <c r="D182" i="1"/>
  <c r="E182" i="1"/>
  <c r="F182" i="1"/>
  <c r="G182" i="1"/>
  <c r="H182" i="1"/>
  <c r="I182" i="1"/>
  <c r="J182" i="1"/>
  <c r="L182" i="1"/>
  <c r="M182" i="1"/>
  <c r="N182" i="1"/>
  <c r="B183" i="1"/>
  <c r="C183" i="1"/>
  <c r="D183" i="1"/>
  <c r="E183" i="1"/>
  <c r="F183" i="1"/>
  <c r="G183" i="1"/>
  <c r="H183" i="1"/>
  <c r="I183" i="1"/>
  <c r="J183" i="1"/>
  <c r="L183" i="1"/>
  <c r="M183" i="1"/>
  <c r="N183" i="1"/>
  <c r="B184" i="1"/>
  <c r="C184" i="1"/>
  <c r="D184" i="1"/>
  <c r="E184" i="1"/>
  <c r="F184" i="1"/>
  <c r="G184" i="1"/>
  <c r="H184" i="1"/>
  <c r="I184" i="1"/>
  <c r="J184" i="1"/>
  <c r="L184" i="1"/>
  <c r="M184" i="1"/>
  <c r="N184" i="1"/>
  <c r="B185" i="1"/>
  <c r="C185" i="1"/>
  <c r="D185" i="1"/>
  <c r="E185" i="1"/>
  <c r="F185" i="1"/>
  <c r="G185" i="1"/>
  <c r="H185" i="1"/>
  <c r="I185" i="1"/>
  <c r="J185" i="1"/>
  <c r="L185" i="1"/>
  <c r="M185" i="1"/>
  <c r="N185" i="1"/>
  <c r="B186" i="1"/>
  <c r="C186" i="1"/>
  <c r="D186" i="1"/>
  <c r="E186" i="1"/>
  <c r="F186" i="1"/>
  <c r="G186" i="1"/>
  <c r="H186" i="1"/>
  <c r="I186" i="1"/>
  <c r="J186" i="1"/>
  <c r="L186" i="1"/>
  <c r="M186" i="1"/>
  <c r="N186" i="1"/>
  <c r="B187" i="1"/>
  <c r="C187" i="1"/>
  <c r="D187" i="1"/>
  <c r="E187" i="1"/>
  <c r="F187" i="1"/>
  <c r="G187" i="1"/>
  <c r="H187" i="1"/>
  <c r="I187" i="1"/>
  <c r="J187" i="1"/>
  <c r="L187" i="1"/>
  <c r="M187" i="1"/>
  <c r="N187" i="1"/>
  <c r="B188" i="1"/>
  <c r="C188" i="1"/>
  <c r="D188" i="1"/>
  <c r="E188" i="1"/>
  <c r="F188" i="1"/>
  <c r="K188" i="1"/>
  <c r="L188" i="1"/>
  <c r="M188" i="1"/>
  <c r="N188" i="1"/>
  <c r="B189" i="1"/>
  <c r="C189" i="1"/>
  <c r="D189" i="1"/>
  <c r="E189" i="1"/>
  <c r="F189" i="1"/>
  <c r="K189" i="1"/>
  <c r="L189" i="1"/>
  <c r="M189" i="1"/>
  <c r="N189" i="1"/>
  <c r="B113" i="1"/>
  <c r="C113" i="1"/>
  <c r="D113" i="1"/>
  <c r="E113" i="1"/>
  <c r="F113" i="1"/>
  <c r="G113" i="1"/>
  <c r="H113" i="1"/>
  <c r="I113" i="1"/>
  <c r="J113" i="1"/>
  <c r="L113" i="1"/>
  <c r="M113" i="1"/>
  <c r="N113" i="1"/>
  <c r="B114" i="1"/>
  <c r="C114" i="1"/>
  <c r="D114" i="1"/>
  <c r="E114" i="1"/>
  <c r="F114" i="1"/>
  <c r="G114" i="1"/>
  <c r="H114" i="1"/>
  <c r="I114" i="1"/>
  <c r="J114" i="1"/>
  <c r="L114" i="1"/>
  <c r="M114" i="1"/>
  <c r="N114" i="1"/>
  <c r="B115" i="1"/>
  <c r="C115" i="1"/>
  <c r="D115" i="1"/>
  <c r="E115" i="1"/>
  <c r="F115" i="1"/>
  <c r="G115" i="1"/>
  <c r="H115" i="1"/>
  <c r="I115" i="1"/>
  <c r="J115" i="1"/>
  <c r="L115" i="1"/>
  <c r="M115" i="1"/>
  <c r="N115" i="1"/>
  <c r="B116" i="1"/>
  <c r="C116" i="1"/>
  <c r="D116" i="1"/>
  <c r="E116" i="1"/>
  <c r="F116" i="1"/>
  <c r="G116" i="1"/>
  <c r="H116" i="1"/>
  <c r="I116" i="1"/>
  <c r="J116" i="1"/>
  <c r="L116" i="1"/>
  <c r="M116" i="1"/>
  <c r="N116" i="1"/>
  <c r="B117" i="1"/>
  <c r="C117" i="1"/>
  <c r="D117" i="1"/>
  <c r="E117" i="1"/>
  <c r="F117" i="1"/>
  <c r="G117" i="1"/>
  <c r="H117" i="1"/>
  <c r="I117" i="1"/>
  <c r="J117" i="1"/>
  <c r="L117" i="1"/>
  <c r="M117" i="1"/>
  <c r="N117" i="1"/>
  <c r="B118" i="1"/>
  <c r="C118" i="1"/>
  <c r="D118" i="1"/>
  <c r="E118" i="1"/>
  <c r="F118" i="1"/>
  <c r="G118" i="1"/>
  <c r="H118" i="1"/>
  <c r="I118" i="1"/>
  <c r="J118" i="1"/>
  <c r="L118" i="1"/>
  <c r="M118" i="1"/>
  <c r="N118" i="1"/>
  <c r="B119" i="1"/>
  <c r="C119" i="1"/>
  <c r="D119" i="1"/>
  <c r="E119" i="1"/>
  <c r="F119" i="1"/>
  <c r="G119" i="1"/>
  <c r="H119" i="1"/>
  <c r="I119" i="1"/>
  <c r="J119" i="1"/>
  <c r="L119" i="1"/>
  <c r="M119" i="1"/>
  <c r="N119" i="1"/>
  <c r="B120" i="1"/>
  <c r="C120" i="1"/>
  <c r="D120" i="1"/>
  <c r="E120" i="1"/>
  <c r="F120" i="1"/>
  <c r="G120" i="1"/>
  <c r="H120" i="1"/>
  <c r="I120" i="1"/>
  <c r="J120" i="1"/>
  <c r="L120" i="1"/>
  <c r="M120" i="1"/>
  <c r="N120" i="1"/>
  <c r="B121" i="1"/>
  <c r="C121" i="1"/>
  <c r="D121" i="1"/>
  <c r="E121" i="1"/>
  <c r="F121" i="1"/>
  <c r="G121" i="1"/>
  <c r="H121" i="1"/>
  <c r="I121" i="1"/>
  <c r="J121" i="1"/>
  <c r="L121" i="1"/>
  <c r="M121" i="1"/>
  <c r="N121" i="1"/>
  <c r="B122" i="1"/>
  <c r="C122" i="1"/>
  <c r="D122" i="1"/>
  <c r="E122" i="1"/>
  <c r="F122" i="1"/>
  <c r="G122" i="1"/>
  <c r="H122" i="1"/>
  <c r="I122" i="1"/>
  <c r="J122" i="1"/>
  <c r="L122" i="1"/>
  <c r="M122" i="1"/>
  <c r="N122" i="1"/>
  <c r="B123" i="1"/>
  <c r="C123" i="1"/>
  <c r="D123" i="1"/>
  <c r="E123" i="1"/>
  <c r="F123" i="1"/>
  <c r="G123" i="1"/>
  <c r="H123" i="1"/>
  <c r="I123" i="1"/>
  <c r="J123" i="1"/>
  <c r="L123" i="1"/>
  <c r="M123" i="1"/>
  <c r="N123" i="1"/>
  <c r="B124" i="1"/>
  <c r="C124" i="1"/>
  <c r="D124" i="1"/>
  <c r="E124" i="1"/>
  <c r="F124" i="1"/>
  <c r="G124" i="1"/>
  <c r="H124" i="1"/>
  <c r="I124" i="1"/>
  <c r="J124" i="1"/>
  <c r="L124" i="1"/>
  <c r="M124" i="1"/>
  <c r="N124" i="1"/>
  <c r="B125" i="1"/>
  <c r="C125" i="1"/>
  <c r="D125" i="1"/>
  <c r="E125" i="1"/>
  <c r="F125" i="1"/>
  <c r="G125" i="1"/>
  <c r="H125" i="1"/>
  <c r="I125" i="1"/>
  <c r="J125" i="1"/>
  <c r="L125" i="1"/>
  <c r="M125" i="1"/>
  <c r="N125" i="1"/>
  <c r="B126" i="1"/>
  <c r="C126" i="1"/>
  <c r="D126" i="1"/>
  <c r="E126" i="1"/>
  <c r="F126" i="1"/>
  <c r="G126" i="1"/>
  <c r="H126" i="1"/>
  <c r="I126" i="1"/>
  <c r="J126" i="1"/>
  <c r="L126" i="1"/>
  <c r="M126" i="1"/>
  <c r="N126" i="1"/>
  <c r="B127" i="1"/>
  <c r="C127" i="1"/>
  <c r="D127" i="1"/>
  <c r="E127" i="1"/>
  <c r="F127" i="1"/>
  <c r="G127" i="1"/>
  <c r="H127" i="1"/>
  <c r="I127" i="1"/>
  <c r="J127" i="1"/>
  <c r="L127" i="1"/>
  <c r="M127" i="1"/>
  <c r="N127" i="1"/>
  <c r="B128" i="1"/>
  <c r="C128" i="1"/>
  <c r="D128" i="1"/>
  <c r="E128" i="1"/>
  <c r="F128" i="1"/>
  <c r="G128" i="1"/>
  <c r="H128" i="1"/>
  <c r="I128" i="1"/>
  <c r="J128" i="1"/>
  <c r="L128" i="1"/>
  <c r="M128" i="1"/>
  <c r="N128" i="1"/>
  <c r="B129" i="1"/>
  <c r="C129" i="1"/>
  <c r="D129" i="1"/>
  <c r="E129" i="1"/>
  <c r="F129" i="1"/>
  <c r="G129" i="1"/>
  <c r="H129" i="1"/>
  <c r="I129" i="1"/>
  <c r="J129" i="1"/>
  <c r="L129" i="1"/>
  <c r="M129" i="1"/>
  <c r="N129" i="1"/>
  <c r="B130" i="1"/>
  <c r="C130" i="1"/>
  <c r="D130" i="1"/>
  <c r="E130" i="1"/>
  <c r="F130" i="1"/>
  <c r="G130" i="1"/>
  <c r="H130" i="1"/>
  <c r="I130" i="1"/>
  <c r="J130" i="1"/>
  <c r="L130" i="1"/>
  <c r="M130" i="1"/>
  <c r="N130" i="1"/>
  <c r="B131" i="1"/>
  <c r="C131" i="1"/>
  <c r="D131" i="1"/>
  <c r="E131" i="1"/>
  <c r="F131" i="1"/>
  <c r="G131" i="1"/>
  <c r="H131" i="1"/>
  <c r="I131" i="1"/>
  <c r="J131" i="1"/>
  <c r="L131" i="1"/>
  <c r="M131" i="1"/>
  <c r="N131" i="1"/>
  <c r="B132" i="1"/>
  <c r="C132" i="1"/>
  <c r="D132" i="1"/>
  <c r="E132" i="1"/>
  <c r="F132" i="1"/>
  <c r="G132" i="1"/>
  <c r="H132" i="1"/>
  <c r="I132" i="1"/>
  <c r="J132" i="1"/>
  <c r="L132" i="1"/>
  <c r="M132" i="1"/>
  <c r="N132" i="1"/>
  <c r="B133" i="1"/>
  <c r="C133" i="1"/>
  <c r="D133" i="1"/>
  <c r="E133" i="1"/>
  <c r="F133" i="1"/>
  <c r="G133" i="1"/>
  <c r="H133" i="1"/>
  <c r="I133" i="1"/>
  <c r="J133" i="1"/>
  <c r="L133" i="1"/>
  <c r="M133" i="1"/>
  <c r="N133" i="1"/>
  <c r="B134" i="1"/>
  <c r="C134" i="1"/>
  <c r="D134" i="1"/>
  <c r="E134" i="1"/>
  <c r="F134" i="1"/>
  <c r="G134" i="1"/>
  <c r="H134" i="1"/>
  <c r="I134" i="1"/>
  <c r="J134" i="1"/>
  <c r="L134" i="1"/>
  <c r="M134" i="1"/>
  <c r="N134" i="1"/>
  <c r="B135" i="1"/>
  <c r="C135" i="1"/>
  <c r="D135" i="1"/>
  <c r="E135" i="1"/>
  <c r="F135" i="1"/>
  <c r="G135" i="1"/>
  <c r="H135" i="1"/>
  <c r="I135" i="1"/>
  <c r="J135" i="1"/>
  <c r="L135" i="1"/>
  <c r="M135" i="1"/>
  <c r="N135" i="1"/>
  <c r="B136" i="1"/>
  <c r="C136" i="1"/>
  <c r="D136" i="1"/>
  <c r="E136" i="1"/>
  <c r="F136" i="1"/>
  <c r="G136" i="1"/>
  <c r="H136" i="1"/>
  <c r="I136" i="1"/>
  <c r="J136" i="1"/>
  <c r="L136" i="1"/>
  <c r="M136" i="1"/>
  <c r="N136" i="1"/>
  <c r="B137" i="1"/>
  <c r="C137" i="1"/>
  <c r="D137" i="1"/>
  <c r="E137" i="1"/>
  <c r="F137" i="1"/>
  <c r="K137" i="1"/>
  <c r="L137" i="1"/>
  <c r="M137" i="1"/>
  <c r="N137" i="1"/>
  <c r="B138" i="1"/>
  <c r="C138" i="1"/>
  <c r="D138" i="1"/>
  <c r="E138" i="1"/>
  <c r="F138" i="1"/>
  <c r="G138" i="1"/>
  <c r="H138" i="1"/>
  <c r="I138" i="1"/>
  <c r="J138" i="1"/>
  <c r="L138" i="1"/>
  <c r="M138" i="1"/>
  <c r="N138" i="1"/>
  <c r="B139" i="1"/>
  <c r="C139" i="1"/>
  <c r="D139" i="1"/>
  <c r="E139" i="1"/>
  <c r="F139" i="1"/>
  <c r="K139" i="1"/>
  <c r="L139" i="1"/>
  <c r="M139" i="1"/>
  <c r="N139" i="1"/>
  <c r="B140" i="1"/>
  <c r="C140" i="1"/>
  <c r="D140" i="1"/>
  <c r="E140" i="1"/>
  <c r="F140" i="1"/>
  <c r="K140" i="1"/>
  <c r="L140" i="1"/>
  <c r="M140" i="1"/>
  <c r="N140" i="1"/>
  <c r="B141" i="1"/>
  <c r="C141" i="1"/>
  <c r="D141" i="1"/>
  <c r="E141" i="1"/>
  <c r="F141" i="1"/>
  <c r="K141" i="1"/>
  <c r="L141" i="1"/>
  <c r="M141" i="1"/>
  <c r="N141" i="1"/>
  <c r="B142" i="1"/>
  <c r="C142" i="1"/>
  <c r="D142" i="1"/>
  <c r="E142" i="1"/>
  <c r="F142" i="1"/>
  <c r="K142" i="1"/>
  <c r="L142" i="1"/>
  <c r="M142" i="1"/>
  <c r="N142" i="1"/>
  <c r="B143" i="1"/>
  <c r="C143" i="1"/>
  <c r="D143" i="1"/>
  <c r="E143" i="1"/>
  <c r="F143" i="1"/>
  <c r="K143" i="1"/>
  <c r="L143" i="1"/>
  <c r="M143" i="1"/>
  <c r="N143" i="1"/>
  <c r="B144" i="1"/>
  <c r="C144" i="1"/>
  <c r="D144" i="1"/>
  <c r="E144" i="1"/>
  <c r="F144" i="1"/>
  <c r="G144" i="1"/>
  <c r="H144" i="1"/>
  <c r="I144" i="1"/>
  <c r="J144" i="1"/>
  <c r="L144" i="1"/>
  <c r="M144" i="1"/>
  <c r="N144" i="1"/>
  <c r="B145" i="1"/>
  <c r="C145" i="1"/>
  <c r="D145" i="1"/>
  <c r="E145" i="1"/>
  <c r="F145" i="1"/>
  <c r="G145" i="1"/>
  <c r="H145" i="1"/>
  <c r="I145" i="1"/>
  <c r="J145" i="1"/>
  <c r="L145" i="1"/>
  <c r="M145" i="1"/>
  <c r="N145" i="1"/>
  <c r="B146" i="1"/>
  <c r="C146" i="1"/>
  <c r="D146" i="1"/>
  <c r="E146" i="1"/>
  <c r="F146" i="1"/>
  <c r="G146" i="1"/>
  <c r="H146" i="1"/>
  <c r="I146" i="1"/>
  <c r="J146" i="1"/>
  <c r="L146" i="1"/>
  <c r="M146" i="1"/>
  <c r="N146" i="1"/>
  <c r="B147" i="1"/>
  <c r="C147" i="1"/>
  <c r="D147" i="1"/>
  <c r="E147" i="1"/>
  <c r="F147" i="1"/>
  <c r="G147" i="1"/>
  <c r="H147" i="1"/>
  <c r="I147" i="1"/>
  <c r="J147" i="1"/>
  <c r="L147" i="1"/>
  <c r="M147" i="1"/>
  <c r="N147" i="1"/>
  <c r="B148" i="1"/>
  <c r="C148" i="1"/>
  <c r="D148" i="1"/>
  <c r="E148" i="1"/>
  <c r="F148" i="1"/>
  <c r="G148" i="1"/>
  <c r="H148" i="1"/>
  <c r="I148" i="1"/>
  <c r="J148" i="1"/>
  <c r="L148" i="1"/>
  <c r="M148" i="1"/>
  <c r="N148" i="1"/>
  <c r="B149" i="1"/>
  <c r="C149" i="1"/>
  <c r="D149" i="1"/>
  <c r="E149" i="1"/>
  <c r="F149" i="1"/>
  <c r="G149" i="1"/>
  <c r="H149" i="1"/>
  <c r="I149" i="1"/>
  <c r="J149" i="1"/>
  <c r="L149" i="1"/>
  <c r="M149" i="1"/>
  <c r="N149" i="1"/>
  <c r="B150" i="1"/>
  <c r="C150" i="1"/>
  <c r="D150" i="1"/>
  <c r="E150" i="1"/>
  <c r="F150" i="1"/>
  <c r="G150" i="1"/>
  <c r="H150" i="1"/>
  <c r="I150" i="1"/>
  <c r="J150" i="1"/>
  <c r="L150" i="1"/>
  <c r="M150" i="1"/>
  <c r="N150" i="1"/>
  <c r="B75" i="1"/>
  <c r="C75" i="1"/>
  <c r="D75" i="1"/>
  <c r="E75" i="1"/>
  <c r="F75" i="1"/>
  <c r="G75" i="1"/>
  <c r="H75" i="1"/>
  <c r="I75" i="1"/>
  <c r="J75" i="1"/>
  <c r="L75" i="1"/>
  <c r="M75" i="1"/>
  <c r="N75" i="1"/>
  <c r="B76" i="1"/>
  <c r="C76" i="1"/>
  <c r="D76" i="1"/>
  <c r="E76" i="1"/>
  <c r="F76" i="1"/>
  <c r="G76" i="1"/>
  <c r="H76" i="1"/>
  <c r="I76" i="1"/>
  <c r="J76" i="1"/>
  <c r="L76" i="1"/>
  <c r="M76" i="1"/>
  <c r="N76" i="1"/>
  <c r="B77" i="1"/>
  <c r="C77" i="1"/>
  <c r="D77" i="1"/>
  <c r="E77" i="1"/>
  <c r="F77" i="1"/>
  <c r="G77" i="1"/>
  <c r="H77" i="1"/>
  <c r="I77" i="1"/>
  <c r="J77" i="1"/>
  <c r="L77" i="1"/>
  <c r="M77" i="1"/>
  <c r="N77" i="1"/>
  <c r="B78" i="1"/>
  <c r="C78" i="1"/>
  <c r="D78" i="1"/>
  <c r="E78" i="1"/>
  <c r="F78" i="1"/>
  <c r="G78" i="1"/>
  <c r="H78" i="1"/>
  <c r="I78" i="1"/>
  <c r="J78" i="1"/>
  <c r="L78" i="1"/>
  <c r="M78" i="1"/>
  <c r="N78" i="1"/>
  <c r="B79" i="1"/>
  <c r="C79" i="1"/>
  <c r="D79" i="1"/>
  <c r="E79" i="1"/>
  <c r="F79" i="1"/>
  <c r="G79" i="1"/>
  <c r="H79" i="1"/>
  <c r="I79" i="1"/>
  <c r="J79" i="1"/>
  <c r="L79" i="1"/>
  <c r="M79" i="1"/>
  <c r="N79" i="1"/>
  <c r="B80" i="1"/>
  <c r="C80" i="1"/>
  <c r="D80" i="1"/>
  <c r="E80" i="1"/>
  <c r="F80" i="1"/>
  <c r="G80" i="1"/>
  <c r="H80" i="1"/>
  <c r="I80" i="1"/>
  <c r="J80" i="1"/>
  <c r="L80" i="1"/>
  <c r="M80" i="1"/>
  <c r="N80" i="1"/>
  <c r="B81" i="1"/>
  <c r="C81" i="1"/>
  <c r="D81" i="1"/>
  <c r="E81" i="1"/>
  <c r="F81" i="1"/>
  <c r="G81" i="1"/>
  <c r="H81" i="1"/>
  <c r="I81" i="1"/>
  <c r="J81" i="1"/>
  <c r="L81" i="1"/>
  <c r="M81" i="1"/>
  <c r="N81" i="1"/>
  <c r="B82" i="1"/>
  <c r="C82" i="1"/>
  <c r="D82" i="1"/>
  <c r="E82" i="1"/>
  <c r="F82" i="1"/>
  <c r="G82" i="1"/>
  <c r="H82" i="1"/>
  <c r="I82" i="1"/>
  <c r="J82" i="1"/>
  <c r="L82" i="1"/>
  <c r="M82" i="1"/>
  <c r="N82" i="1"/>
  <c r="B83" i="1"/>
  <c r="C83" i="1"/>
  <c r="D83" i="1"/>
  <c r="E83" i="1"/>
  <c r="F83" i="1"/>
  <c r="G83" i="1"/>
  <c r="H83" i="1"/>
  <c r="I83" i="1"/>
  <c r="J83" i="1"/>
  <c r="L83" i="1"/>
  <c r="M83" i="1"/>
  <c r="N83" i="1"/>
  <c r="B84" i="1"/>
  <c r="C84" i="1"/>
  <c r="D84" i="1"/>
  <c r="E84" i="1"/>
  <c r="F84" i="1"/>
  <c r="G84" i="1"/>
  <c r="H84" i="1"/>
  <c r="I84" i="1"/>
  <c r="J84" i="1"/>
  <c r="L84" i="1"/>
  <c r="M84" i="1"/>
  <c r="N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B86" i="1"/>
  <c r="C86" i="1"/>
  <c r="D86" i="1"/>
  <c r="E86" i="1"/>
  <c r="F86" i="1"/>
  <c r="G86" i="1"/>
  <c r="H86" i="1"/>
  <c r="I86" i="1"/>
  <c r="J86" i="1"/>
  <c r="L86" i="1"/>
  <c r="M86" i="1"/>
  <c r="N86" i="1"/>
  <c r="B87" i="1"/>
  <c r="C87" i="1"/>
  <c r="D87" i="1"/>
  <c r="E87" i="1"/>
  <c r="F87" i="1"/>
  <c r="G87" i="1"/>
  <c r="H87" i="1"/>
  <c r="I87" i="1"/>
  <c r="J87" i="1"/>
  <c r="L87" i="1"/>
  <c r="M87" i="1"/>
  <c r="N87" i="1"/>
  <c r="B88" i="1"/>
  <c r="C88" i="1"/>
  <c r="D88" i="1"/>
  <c r="E88" i="1"/>
  <c r="F88" i="1"/>
  <c r="G88" i="1"/>
  <c r="H88" i="1"/>
  <c r="I88" i="1"/>
  <c r="J88" i="1"/>
  <c r="L88" i="1"/>
  <c r="M88" i="1"/>
  <c r="N88" i="1"/>
  <c r="B89" i="1"/>
  <c r="C89" i="1"/>
  <c r="D89" i="1"/>
  <c r="E89" i="1"/>
  <c r="F89" i="1"/>
  <c r="G89" i="1"/>
  <c r="H89" i="1"/>
  <c r="I89" i="1"/>
  <c r="J89" i="1"/>
  <c r="L89" i="1"/>
  <c r="M89" i="1"/>
  <c r="N89" i="1"/>
  <c r="B90" i="1"/>
  <c r="C90" i="1"/>
  <c r="D90" i="1"/>
  <c r="E90" i="1"/>
  <c r="F90" i="1"/>
  <c r="K90" i="1"/>
  <c r="L90" i="1"/>
  <c r="M90" i="1"/>
  <c r="N90" i="1"/>
  <c r="B91" i="1"/>
  <c r="C91" i="1"/>
  <c r="D91" i="1"/>
  <c r="E91" i="1"/>
  <c r="F91" i="1"/>
  <c r="K91" i="1"/>
  <c r="L91" i="1"/>
  <c r="M91" i="1"/>
  <c r="N91" i="1"/>
  <c r="B92" i="1"/>
  <c r="C92" i="1"/>
  <c r="D92" i="1"/>
  <c r="E92" i="1"/>
  <c r="F92" i="1"/>
  <c r="K92" i="1"/>
  <c r="L92" i="1"/>
  <c r="M92" i="1"/>
  <c r="N92" i="1"/>
  <c r="B93" i="1"/>
  <c r="C93" i="1"/>
  <c r="D93" i="1"/>
  <c r="E93" i="1"/>
  <c r="F93" i="1"/>
  <c r="K93" i="1"/>
  <c r="L93" i="1"/>
  <c r="M93" i="1"/>
  <c r="N93" i="1"/>
  <c r="B94" i="1"/>
  <c r="C94" i="1"/>
  <c r="D94" i="1"/>
  <c r="E94" i="1"/>
  <c r="F94" i="1"/>
  <c r="K94" i="1"/>
  <c r="L94" i="1"/>
  <c r="M94" i="1"/>
  <c r="N94" i="1"/>
  <c r="B95" i="1"/>
  <c r="C95" i="1"/>
  <c r="D95" i="1"/>
  <c r="E95" i="1"/>
  <c r="F95" i="1"/>
  <c r="K95" i="1"/>
  <c r="L95" i="1"/>
  <c r="M95" i="1"/>
  <c r="N95" i="1"/>
  <c r="B96" i="1"/>
  <c r="C96" i="1"/>
  <c r="D96" i="1"/>
  <c r="E96" i="1"/>
  <c r="F96" i="1"/>
  <c r="K96" i="1"/>
  <c r="L96" i="1"/>
  <c r="M96" i="1"/>
  <c r="N96" i="1"/>
  <c r="B97" i="1"/>
  <c r="C97" i="1"/>
  <c r="D97" i="1"/>
  <c r="E97" i="1"/>
  <c r="F97" i="1"/>
  <c r="K97" i="1"/>
  <c r="L97" i="1"/>
  <c r="M97" i="1"/>
  <c r="N97" i="1"/>
  <c r="B98" i="1"/>
  <c r="C98" i="1"/>
  <c r="D98" i="1"/>
  <c r="E98" i="1"/>
  <c r="F98" i="1"/>
  <c r="G98" i="1"/>
  <c r="H98" i="1"/>
  <c r="I98" i="1"/>
  <c r="J98" i="1"/>
  <c r="L98" i="1"/>
  <c r="M98" i="1"/>
  <c r="N98" i="1"/>
  <c r="B99" i="1"/>
  <c r="C99" i="1"/>
  <c r="D99" i="1"/>
  <c r="E99" i="1"/>
  <c r="F99" i="1"/>
  <c r="G99" i="1"/>
  <c r="H99" i="1"/>
  <c r="I99" i="1"/>
  <c r="J99" i="1"/>
  <c r="L99" i="1"/>
  <c r="M99" i="1"/>
  <c r="N99" i="1"/>
  <c r="B100" i="1"/>
  <c r="C100" i="1"/>
  <c r="D100" i="1"/>
  <c r="E100" i="1"/>
  <c r="F100" i="1"/>
  <c r="G100" i="1"/>
  <c r="H100" i="1"/>
  <c r="I100" i="1"/>
  <c r="J100" i="1"/>
  <c r="L100" i="1"/>
  <c r="M100" i="1"/>
  <c r="N100" i="1"/>
  <c r="B101" i="1"/>
  <c r="C101" i="1"/>
  <c r="D101" i="1"/>
  <c r="E101" i="1"/>
  <c r="F101" i="1"/>
  <c r="G101" i="1"/>
  <c r="H101" i="1"/>
  <c r="I101" i="1"/>
  <c r="J101" i="1"/>
  <c r="L101" i="1"/>
  <c r="M101" i="1"/>
  <c r="N101" i="1"/>
  <c r="B102" i="1"/>
  <c r="C102" i="1"/>
  <c r="D102" i="1"/>
  <c r="E102" i="1"/>
  <c r="F102" i="1"/>
  <c r="G102" i="1"/>
  <c r="H102" i="1"/>
  <c r="I102" i="1"/>
  <c r="J102" i="1"/>
  <c r="L102" i="1"/>
  <c r="M102" i="1"/>
  <c r="N102" i="1"/>
  <c r="B103" i="1"/>
  <c r="C103" i="1"/>
  <c r="D103" i="1"/>
  <c r="E103" i="1"/>
  <c r="F103" i="1"/>
  <c r="G103" i="1"/>
  <c r="H103" i="1"/>
  <c r="I103" i="1"/>
  <c r="J103" i="1"/>
  <c r="L103" i="1"/>
  <c r="M103" i="1"/>
  <c r="N103" i="1"/>
  <c r="B104" i="1"/>
  <c r="C104" i="1"/>
  <c r="D104" i="1"/>
  <c r="E104" i="1"/>
  <c r="F104" i="1"/>
  <c r="G104" i="1"/>
  <c r="H104" i="1"/>
  <c r="I104" i="1"/>
  <c r="J104" i="1"/>
  <c r="L104" i="1"/>
  <c r="M104" i="1"/>
  <c r="N104" i="1"/>
  <c r="B105" i="1"/>
  <c r="C105" i="1"/>
  <c r="D105" i="1"/>
  <c r="E105" i="1"/>
  <c r="F105" i="1"/>
  <c r="G105" i="1"/>
  <c r="H105" i="1"/>
  <c r="I105" i="1"/>
  <c r="J105" i="1"/>
  <c r="L105" i="1"/>
  <c r="M105" i="1"/>
  <c r="N105" i="1"/>
  <c r="B106" i="1"/>
  <c r="C106" i="1"/>
  <c r="D106" i="1"/>
  <c r="E106" i="1"/>
  <c r="F106" i="1"/>
  <c r="G106" i="1"/>
  <c r="H106" i="1"/>
  <c r="I106" i="1"/>
  <c r="J106" i="1"/>
  <c r="L106" i="1"/>
  <c r="M106" i="1"/>
  <c r="N106" i="1"/>
  <c r="B107" i="1"/>
  <c r="C107" i="1"/>
  <c r="D107" i="1"/>
  <c r="E107" i="1"/>
  <c r="F107" i="1"/>
  <c r="G107" i="1"/>
  <c r="H107" i="1"/>
  <c r="I107" i="1"/>
  <c r="J107" i="1"/>
  <c r="L107" i="1"/>
  <c r="M107" i="1"/>
  <c r="N107" i="1"/>
  <c r="B108" i="1"/>
  <c r="C108" i="1"/>
  <c r="D108" i="1"/>
  <c r="E108" i="1"/>
  <c r="F108" i="1"/>
  <c r="G108" i="1"/>
  <c r="H108" i="1"/>
  <c r="I108" i="1"/>
  <c r="J108" i="1"/>
  <c r="L108" i="1"/>
  <c r="M108" i="1"/>
  <c r="N108" i="1"/>
  <c r="B109" i="1"/>
  <c r="C109" i="1"/>
  <c r="D109" i="1"/>
  <c r="E109" i="1"/>
  <c r="F109" i="1"/>
  <c r="G109" i="1"/>
  <c r="H109" i="1"/>
  <c r="I109" i="1"/>
  <c r="J109" i="1"/>
  <c r="L109" i="1"/>
  <c r="M109" i="1"/>
  <c r="N109" i="1"/>
  <c r="B110" i="1"/>
  <c r="C110" i="1"/>
  <c r="D110" i="1"/>
  <c r="E110" i="1"/>
  <c r="F110" i="1"/>
  <c r="G110" i="1"/>
  <c r="H110" i="1"/>
  <c r="I110" i="1"/>
  <c r="J110" i="1"/>
  <c r="L110" i="1"/>
  <c r="M110" i="1"/>
  <c r="N110" i="1"/>
  <c r="B111" i="1"/>
  <c r="C111" i="1"/>
  <c r="D111" i="1"/>
  <c r="E111" i="1"/>
  <c r="F111" i="1"/>
  <c r="G111" i="1"/>
  <c r="H111" i="1"/>
  <c r="I111" i="1"/>
  <c r="J111" i="1"/>
  <c r="L111" i="1"/>
  <c r="M111" i="1"/>
  <c r="N111" i="1"/>
  <c r="B112" i="1"/>
  <c r="C112" i="1"/>
  <c r="D112" i="1"/>
  <c r="E112" i="1"/>
  <c r="F112" i="1"/>
  <c r="G112" i="1"/>
  <c r="H112" i="1"/>
  <c r="I112" i="1"/>
  <c r="J112" i="1"/>
  <c r="L112" i="1"/>
  <c r="M112" i="1"/>
  <c r="N112" i="1"/>
  <c r="B38" i="1"/>
  <c r="C38" i="1"/>
  <c r="D38" i="1"/>
  <c r="E38" i="1"/>
  <c r="F38" i="1"/>
  <c r="G38" i="1"/>
  <c r="H38" i="1"/>
  <c r="I38" i="1"/>
  <c r="J38" i="1"/>
  <c r="L38" i="1"/>
  <c r="M38" i="1"/>
  <c r="N38" i="1"/>
  <c r="B39" i="1"/>
  <c r="C39" i="1"/>
  <c r="D39" i="1"/>
  <c r="E39" i="1"/>
  <c r="F39" i="1"/>
  <c r="G39" i="1"/>
  <c r="H39" i="1"/>
  <c r="I39" i="1"/>
  <c r="J39" i="1"/>
  <c r="L39" i="1"/>
  <c r="M39" i="1"/>
  <c r="N39" i="1"/>
  <c r="B40" i="1"/>
  <c r="C40" i="1"/>
  <c r="D40" i="1"/>
  <c r="E40" i="1"/>
  <c r="F40" i="1"/>
  <c r="G40" i="1"/>
  <c r="H40" i="1"/>
  <c r="I40" i="1"/>
  <c r="J40" i="1"/>
  <c r="L40" i="1"/>
  <c r="M40" i="1"/>
  <c r="N40" i="1"/>
  <c r="B41" i="1"/>
  <c r="C41" i="1"/>
  <c r="D41" i="1"/>
  <c r="E41" i="1"/>
  <c r="F41" i="1"/>
  <c r="G41" i="1"/>
  <c r="H41" i="1"/>
  <c r="I41" i="1"/>
  <c r="J41" i="1"/>
  <c r="L41" i="1"/>
  <c r="M41" i="1"/>
  <c r="N41" i="1"/>
  <c r="B42" i="1"/>
  <c r="C42" i="1"/>
  <c r="D42" i="1"/>
  <c r="E42" i="1"/>
  <c r="F42" i="1"/>
  <c r="G42" i="1"/>
  <c r="H42" i="1"/>
  <c r="I42" i="1"/>
  <c r="J42" i="1"/>
  <c r="L42" i="1"/>
  <c r="M42" i="1"/>
  <c r="N42" i="1"/>
  <c r="B43" i="1"/>
  <c r="C43" i="1"/>
  <c r="D43" i="1"/>
  <c r="E43" i="1"/>
  <c r="F43" i="1"/>
  <c r="G43" i="1"/>
  <c r="H43" i="1"/>
  <c r="I43" i="1"/>
  <c r="J43" i="1"/>
  <c r="L43" i="1"/>
  <c r="M43" i="1"/>
  <c r="N43" i="1"/>
  <c r="B44" i="1"/>
  <c r="C44" i="1"/>
  <c r="D44" i="1"/>
  <c r="E44" i="1"/>
  <c r="F44" i="1"/>
  <c r="G44" i="1"/>
  <c r="H44" i="1"/>
  <c r="I44" i="1"/>
  <c r="J44" i="1"/>
  <c r="L44" i="1"/>
  <c r="M44" i="1"/>
  <c r="N44" i="1"/>
  <c r="B45" i="1"/>
  <c r="C45" i="1"/>
  <c r="D45" i="1"/>
  <c r="E45" i="1"/>
  <c r="F45" i="1"/>
  <c r="G45" i="1"/>
  <c r="H45" i="1"/>
  <c r="I45" i="1"/>
  <c r="J45" i="1"/>
  <c r="L45" i="1"/>
  <c r="M45" i="1"/>
  <c r="N45" i="1"/>
  <c r="B46" i="1"/>
  <c r="C46" i="1"/>
  <c r="D46" i="1"/>
  <c r="E46" i="1"/>
  <c r="F46" i="1"/>
  <c r="G46" i="1"/>
  <c r="H46" i="1"/>
  <c r="I46" i="1"/>
  <c r="J46" i="1"/>
  <c r="L46" i="1"/>
  <c r="M46" i="1"/>
  <c r="N46" i="1"/>
  <c r="B47" i="1"/>
  <c r="C47" i="1"/>
  <c r="D47" i="1"/>
  <c r="E47" i="1"/>
  <c r="F47" i="1"/>
  <c r="G47" i="1"/>
  <c r="H47" i="1"/>
  <c r="I47" i="1"/>
  <c r="J47" i="1"/>
  <c r="L47" i="1"/>
  <c r="M47" i="1"/>
  <c r="N47" i="1"/>
  <c r="B48" i="1"/>
  <c r="C48" i="1"/>
  <c r="D48" i="1"/>
  <c r="E48" i="1"/>
  <c r="F48" i="1"/>
  <c r="G48" i="1"/>
  <c r="H48" i="1"/>
  <c r="I48" i="1"/>
  <c r="J48" i="1"/>
  <c r="L48" i="1"/>
  <c r="M48" i="1"/>
  <c r="N48" i="1"/>
  <c r="B49" i="1"/>
  <c r="C49" i="1"/>
  <c r="D49" i="1"/>
  <c r="E49" i="1"/>
  <c r="F49" i="1"/>
  <c r="G49" i="1"/>
  <c r="H49" i="1"/>
  <c r="I49" i="1"/>
  <c r="J49" i="1"/>
  <c r="L49" i="1"/>
  <c r="M49" i="1"/>
  <c r="N49" i="1"/>
  <c r="B50" i="1"/>
  <c r="C50" i="1"/>
  <c r="D50" i="1"/>
  <c r="E50" i="1"/>
  <c r="F50" i="1"/>
  <c r="G50" i="1"/>
  <c r="H50" i="1"/>
  <c r="I50" i="1"/>
  <c r="J50" i="1"/>
  <c r="L50" i="1"/>
  <c r="M50" i="1"/>
  <c r="N50" i="1"/>
  <c r="B51" i="1"/>
  <c r="C51" i="1"/>
  <c r="D51" i="1"/>
  <c r="E51" i="1"/>
  <c r="F51" i="1"/>
  <c r="G51" i="1"/>
  <c r="H51" i="1"/>
  <c r="I51" i="1"/>
  <c r="J51" i="1"/>
  <c r="L51" i="1"/>
  <c r="M51" i="1"/>
  <c r="N51" i="1"/>
  <c r="B52" i="1"/>
  <c r="C52" i="1"/>
  <c r="D52" i="1"/>
  <c r="E52" i="1"/>
  <c r="F52" i="1"/>
  <c r="G52" i="1"/>
  <c r="H52" i="1"/>
  <c r="I52" i="1"/>
  <c r="J52" i="1"/>
  <c r="L52" i="1"/>
  <c r="M52" i="1"/>
  <c r="N52" i="1"/>
  <c r="B53" i="1"/>
  <c r="C53" i="1"/>
  <c r="D53" i="1"/>
  <c r="E53" i="1"/>
  <c r="F53" i="1"/>
  <c r="G53" i="1"/>
  <c r="H53" i="1"/>
  <c r="I53" i="1"/>
  <c r="J53" i="1"/>
  <c r="L53" i="1"/>
  <c r="M53" i="1"/>
  <c r="N53" i="1"/>
  <c r="B54" i="1"/>
  <c r="C54" i="1"/>
  <c r="D54" i="1"/>
  <c r="E54" i="1"/>
  <c r="F54" i="1"/>
  <c r="G54" i="1"/>
  <c r="H54" i="1"/>
  <c r="I54" i="1"/>
  <c r="J54" i="1"/>
  <c r="L54" i="1"/>
  <c r="M54" i="1"/>
  <c r="N54" i="1"/>
  <c r="B55" i="1"/>
  <c r="C55" i="1"/>
  <c r="D55" i="1"/>
  <c r="E55" i="1"/>
  <c r="F55" i="1"/>
  <c r="G55" i="1"/>
  <c r="H55" i="1"/>
  <c r="I55" i="1"/>
  <c r="J55" i="1"/>
  <c r="L55" i="1"/>
  <c r="M55" i="1"/>
  <c r="N55" i="1"/>
  <c r="B56" i="1"/>
  <c r="C56" i="1"/>
  <c r="D56" i="1"/>
  <c r="E56" i="1"/>
  <c r="F56" i="1"/>
  <c r="G56" i="1"/>
  <c r="H56" i="1"/>
  <c r="I56" i="1"/>
  <c r="J56" i="1"/>
  <c r="L56" i="1"/>
  <c r="M56" i="1"/>
  <c r="N56" i="1"/>
  <c r="B57" i="1"/>
  <c r="C57" i="1"/>
  <c r="D57" i="1"/>
  <c r="E57" i="1"/>
  <c r="F57" i="1"/>
  <c r="G57" i="1"/>
  <c r="H57" i="1"/>
  <c r="I57" i="1"/>
  <c r="J57" i="1"/>
  <c r="L57" i="1"/>
  <c r="M57" i="1"/>
  <c r="N57" i="1"/>
  <c r="B58" i="1"/>
  <c r="C58" i="1"/>
  <c r="D58" i="1"/>
  <c r="E58" i="1"/>
  <c r="F58" i="1"/>
  <c r="G58" i="1"/>
  <c r="H58" i="1"/>
  <c r="I58" i="1"/>
  <c r="J58" i="1"/>
  <c r="L58" i="1"/>
  <c r="M58" i="1"/>
  <c r="N58" i="1"/>
  <c r="B59" i="1"/>
  <c r="C59" i="1"/>
  <c r="D59" i="1"/>
  <c r="E59" i="1"/>
  <c r="F59" i="1"/>
  <c r="G59" i="1"/>
  <c r="H59" i="1"/>
  <c r="I59" i="1"/>
  <c r="J59" i="1"/>
  <c r="L59" i="1"/>
  <c r="M59" i="1"/>
  <c r="N59" i="1"/>
  <c r="B60" i="1"/>
  <c r="C60" i="1"/>
  <c r="D60" i="1"/>
  <c r="E60" i="1"/>
  <c r="F60" i="1"/>
  <c r="G60" i="1"/>
  <c r="H60" i="1"/>
  <c r="I60" i="1"/>
  <c r="J60" i="1"/>
  <c r="L60" i="1"/>
  <c r="M60" i="1"/>
  <c r="N60" i="1"/>
  <c r="B61" i="1"/>
  <c r="C61" i="1"/>
  <c r="D61" i="1"/>
  <c r="E61" i="1"/>
  <c r="F61" i="1"/>
  <c r="G61" i="1"/>
  <c r="H61" i="1"/>
  <c r="I61" i="1"/>
  <c r="J61" i="1"/>
  <c r="L61" i="1"/>
  <c r="M61" i="1"/>
  <c r="N61" i="1"/>
  <c r="B62" i="1"/>
  <c r="C62" i="1"/>
  <c r="D62" i="1"/>
  <c r="E62" i="1"/>
  <c r="F62" i="1"/>
  <c r="G62" i="1"/>
  <c r="H62" i="1"/>
  <c r="I62" i="1"/>
  <c r="J62" i="1"/>
  <c r="L62" i="1"/>
  <c r="M62" i="1"/>
  <c r="N62" i="1"/>
  <c r="B63" i="1"/>
  <c r="C63" i="1"/>
  <c r="D63" i="1"/>
  <c r="E63" i="1"/>
  <c r="F63" i="1"/>
  <c r="G63" i="1"/>
  <c r="H63" i="1"/>
  <c r="I63" i="1"/>
  <c r="J63" i="1"/>
  <c r="L63" i="1"/>
  <c r="M63" i="1"/>
  <c r="N63" i="1"/>
  <c r="B64" i="1"/>
  <c r="C64" i="1"/>
  <c r="D64" i="1"/>
  <c r="E64" i="1"/>
  <c r="F64" i="1"/>
  <c r="G64" i="1"/>
  <c r="H64" i="1"/>
  <c r="I64" i="1"/>
  <c r="J64" i="1"/>
  <c r="L64" i="1"/>
  <c r="M64" i="1"/>
  <c r="N64" i="1"/>
  <c r="B65" i="1"/>
  <c r="C65" i="1"/>
  <c r="D65" i="1"/>
  <c r="E65" i="1"/>
  <c r="F65" i="1"/>
  <c r="G65" i="1"/>
  <c r="H65" i="1"/>
  <c r="I65" i="1"/>
  <c r="J65" i="1"/>
  <c r="L65" i="1"/>
  <c r="M65" i="1"/>
  <c r="N65" i="1"/>
  <c r="B66" i="1"/>
  <c r="C66" i="1"/>
  <c r="D66" i="1"/>
  <c r="E66" i="1"/>
  <c r="F66" i="1"/>
  <c r="G66" i="1"/>
  <c r="H66" i="1"/>
  <c r="I66" i="1"/>
  <c r="J66" i="1"/>
  <c r="L66" i="1"/>
  <c r="M66" i="1"/>
  <c r="N66" i="1"/>
  <c r="B67" i="1"/>
  <c r="C67" i="1"/>
  <c r="D67" i="1"/>
  <c r="E67" i="1"/>
  <c r="F67" i="1"/>
  <c r="G67" i="1"/>
  <c r="H67" i="1"/>
  <c r="I67" i="1"/>
  <c r="J67" i="1"/>
  <c r="L67" i="1"/>
  <c r="M67" i="1"/>
  <c r="N67" i="1"/>
  <c r="B68" i="1"/>
  <c r="C68" i="1"/>
  <c r="D68" i="1"/>
  <c r="E68" i="1"/>
  <c r="F68" i="1"/>
  <c r="G68" i="1"/>
  <c r="H68" i="1"/>
  <c r="I68" i="1"/>
  <c r="J68" i="1"/>
  <c r="L68" i="1"/>
  <c r="M68" i="1"/>
  <c r="N68" i="1"/>
  <c r="B69" i="1"/>
  <c r="C69" i="1"/>
  <c r="D69" i="1"/>
  <c r="E69" i="1"/>
  <c r="F69" i="1"/>
  <c r="G69" i="1"/>
  <c r="H69" i="1"/>
  <c r="I69" i="1"/>
  <c r="J69" i="1"/>
  <c r="L69" i="1"/>
  <c r="M69" i="1"/>
  <c r="N69" i="1"/>
  <c r="B70" i="1"/>
  <c r="C70" i="1"/>
  <c r="D70" i="1"/>
  <c r="E70" i="1"/>
  <c r="F70" i="1"/>
  <c r="G70" i="1"/>
  <c r="H70" i="1"/>
  <c r="I70" i="1"/>
  <c r="J70" i="1"/>
  <c r="L70" i="1"/>
  <c r="M70" i="1"/>
  <c r="N70" i="1"/>
  <c r="B71" i="1"/>
  <c r="C71" i="1"/>
  <c r="D71" i="1"/>
  <c r="E71" i="1"/>
  <c r="F71" i="1"/>
  <c r="G71" i="1"/>
  <c r="H71" i="1"/>
  <c r="I71" i="1"/>
  <c r="J71" i="1"/>
  <c r="L71" i="1"/>
  <c r="M71" i="1"/>
  <c r="N71" i="1"/>
  <c r="B72" i="1"/>
  <c r="C72" i="1"/>
  <c r="D72" i="1"/>
  <c r="E72" i="1"/>
  <c r="F72" i="1"/>
  <c r="G72" i="1"/>
  <c r="H72" i="1"/>
  <c r="I72" i="1"/>
  <c r="J72" i="1"/>
  <c r="L72" i="1"/>
  <c r="M72" i="1"/>
  <c r="N72" i="1"/>
  <c r="B73" i="1"/>
  <c r="C73" i="1"/>
  <c r="D73" i="1"/>
  <c r="E73" i="1"/>
  <c r="F73" i="1"/>
  <c r="G73" i="1"/>
  <c r="H73" i="1"/>
  <c r="I73" i="1"/>
  <c r="J73" i="1"/>
  <c r="L73" i="1"/>
  <c r="M73" i="1"/>
  <c r="N73" i="1"/>
  <c r="B74" i="1"/>
  <c r="C74" i="1"/>
  <c r="D74" i="1"/>
  <c r="E74" i="1"/>
  <c r="F74" i="1"/>
  <c r="G74" i="1"/>
  <c r="H74" i="1"/>
  <c r="I74" i="1"/>
  <c r="J74" i="1"/>
  <c r="L74" i="1"/>
  <c r="M74" i="1"/>
  <c r="N74" i="1"/>
  <c r="B2" i="1"/>
  <c r="C2" i="1"/>
  <c r="D2" i="1"/>
  <c r="E2" i="1"/>
  <c r="F2" i="1"/>
  <c r="G2" i="1"/>
  <c r="H2" i="1"/>
  <c r="I2" i="1"/>
  <c r="J2" i="1"/>
  <c r="L2" i="1"/>
  <c r="M2" i="1"/>
  <c r="N2" i="1"/>
  <c r="B3" i="1"/>
  <c r="C3" i="1"/>
  <c r="D3" i="1"/>
  <c r="E3" i="1"/>
  <c r="F3" i="1"/>
  <c r="G3" i="1"/>
  <c r="H3" i="1"/>
  <c r="I3" i="1"/>
  <c r="J3" i="1"/>
  <c r="L3" i="1"/>
  <c r="M3" i="1"/>
  <c r="N3" i="1"/>
  <c r="B4" i="1"/>
  <c r="C4" i="1"/>
  <c r="D4" i="1"/>
  <c r="E4" i="1"/>
  <c r="F4" i="1"/>
  <c r="G4" i="1"/>
  <c r="H4" i="1"/>
  <c r="I4" i="1"/>
  <c r="J4" i="1"/>
  <c r="L4" i="1"/>
  <c r="M4" i="1"/>
  <c r="N4" i="1"/>
  <c r="B5" i="1"/>
  <c r="C5" i="1"/>
  <c r="D5" i="1"/>
  <c r="E5" i="1"/>
  <c r="F5" i="1"/>
  <c r="G5" i="1"/>
  <c r="H5" i="1"/>
  <c r="I5" i="1"/>
  <c r="J5" i="1"/>
  <c r="L5" i="1"/>
  <c r="M5" i="1"/>
  <c r="N5" i="1"/>
  <c r="B6" i="1"/>
  <c r="C6" i="1"/>
  <c r="D6" i="1"/>
  <c r="E6" i="1"/>
  <c r="F6" i="1"/>
  <c r="G6" i="1"/>
  <c r="H6" i="1"/>
  <c r="I6" i="1"/>
  <c r="J6" i="1"/>
  <c r="L6" i="1"/>
  <c r="M6" i="1"/>
  <c r="N6" i="1"/>
  <c r="B7" i="1"/>
  <c r="C7" i="1"/>
  <c r="D7" i="1"/>
  <c r="E7" i="1"/>
  <c r="F7" i="1"/>
  <c r="G7" i="1"/>
  <c r="H7" i="1"/>
  <c r="I7" i="1"/>
  <c r="J7" i="1"/>
  <c r="L7" i="1"/>
  <c r="M7" i="1"/>
  <c r="N7" i="1"/>
  <c r="B8" i="1"/>
  <c r="C8" i="1"/>
  <c r="D8" i="1"/>
  <c r="E8" i="1"/>
  <c r="F8" i="1"/>
  <c r="G8" i="1"/>
  <c r="H8" i="1"/>
  <c r="I8" i="1"/>
  <c r="J8" i="1"/>
  <c r="L8" i="1"/>
  <c r="M8" i="1"/>
  <c r="N8" i="1"/>
  <c r="B9" i="1"/>
  <c r="C9" i="1"/>
  <c r="D9" i="1"/>
  <c r="E9" i="1"/>
  <c r="F9" i="1"/>
  <c r="G9" i="1"/>
  <c r="H9" i="1"/>
  <c r="I9" i="1"/>
  <c r="J9" i="1"/>
  <c r="L9" i="1"/>
  <c r="M9" i="1"/>
  <c r="N9" i="1"/>
  <c r="B10" i="1"/>
  <c r="C10" i="1"/>
  <c r="D10" i="1"/>
  <c r="E10" i="1"/>
  <c r="F10" i="1"/>
  <c r="G10" i="1"/>
  <c r="H10" i="1"/>
  <c r="I10" i="1"/>
  <c r="J10" i="1"/>
  <c r="L10" i="1"/>
  <c r="M10" i="1"/>
  <c r="N10" i="1"/>
  <c r="B11" i="1"/>
  <c r="C11" i="1"/>
  <c r="D11" i="1"/>
  <c r="E11" i="1"/>
  <c r="F11" i="1"/>
  <c r="G11" i="1"/>
  <c r="H11" i="1"/>
  <c r="I11" i="1"/>
  <c r="J11" i="1"/>
  <c r="L11" i="1"/>
  <c r="M11" i="1"/>
  <c r="N11" i="1"/>
  <c r="B12" i="1"/>
  <c r="C12" i="1"/>
  <c r="D12" i="1"/>
  <c r="E12" i="1"/>
  <c r="F12" i="1"/>
  <c r="G12" i="1"/>
  <c r="H12" i="1"/>
  <c r="I12" i="1"/>
  <c r="J12" i="1"/>
  <c r="L12" i="1"/>
  <c r="M12" i="1"/>
  <c r="N12" i="1"/>
  <c r="B13" i="1"/>
  <c r="C13" i="1"/>
  <c r="D13" i="1"/>
  <c r="E13" i="1"/>
  <c r="F13" i="1"/>
  <c r="G13" i="1"/>
  <c r="H13" i="1"/>
  <c r="I13" i="1"/>
  <c r="J13" i="1"/>
  <c r="L13" i="1"/>
  <c r="M13" i="1"/>
  <c r="N13" i="1"/>
  <c r="B14" i="1"/>
  <c r="C14" i="1"/>
  <c r="D14" i="1"/>
  <c r="E14" i="1"/>
  <c r="F14" i="1"/>
  <c r="G14" i="1"/>
  <c r="H14" i="1"/>
  <c r="I14" i="1"/>
  <c r="J14" i="1"/>
  <c r="L14" i="1"/>
  <c r="M14" i="1"/>
  <c r="N14" i="1"/>
  <c r="B15" i="1"/>
  <c r="C15" i="1"/>
  <c r="D15" i="1"/>
  <c r="E15" i="1"/>
  <c r="F15" i="1"/>
  <c r="G15" i="1"/>
  <c r="H15" i="1"/>
  <c r="I15" i="1"/>
  <c r="J15" i="1"/>
  <c r="L15" i="1"/>
  <c r="M15" i="1"/>
  <c r="N15" i="1"/>
  <c r="B16" i="1"/>
  <c r="C16" i="1"/>
  <c r="D16" i="1"/>
  <c r="E16" i="1"/>
  <c r="F16" i="1"/>
  <c r="G16" i="1"/>
  <c r="H16" i="1"/>
  <c r="I16" i="1"/>
  <c r="J16" i="1"/>
  <c r="L16" i="1"/>
  <c r="M16" i="1"/>
  <c r="N16" i="1"/>
  <c r="B17" i="1"/>
  <c r="C17" i="1"/>
  <c r="D17" i="1"/>
  <c r="E17" i="1"/>
  <c r="F17" i="1"/>
  <c r="G17" i="1"/>
  <c r="H17" i="1"/>
  <c r="I17" i="1"/>
  <c r="J17" i="1"/>
  <c r="L17" i="1"/>
  <c r="M17" i="1"/>
  <c r="N17" i="1"/>
  <c r="B18" i="1"/>
  <c r="C18" i="1"/>
  <c r="D18" i="1"/>
  <c r="E18" i="1"/>
  <c r="F18" i="1"/>
  <c r="G18" i="1"/>
  <c r="H18" i="1"/>
  <c r="I18" i="1"/>
  <c r="J18" i="1"/>
  <c r="L18" i="1"/>
  <c r="M18" i="1"/>
  <c r="N18" i="1"/>
  <c r="B19" i="1"/>
  <c r="C19" i="1"/>
  <c r="D19" i="1"/>
  <c r="E19" i="1"/>
  <c r="F19" i="1"/>
  <c r="G19" i="1"/>
  <c r="H19" i="1"/>
  <c r="I19" i="1"/>
  <c r="J19" i="1"/>
  <c r="L19" i="1"/>
  <c r="M19" i="1"/>
  <c r="N19" i="1"/>
  <c r="B20" i="1"/>
  <c r="C20" i="1"/>
  <c r="D20" i="1"/>
  <c r="E20" i="1"/>
  <c r="F20" i="1"/>
  <c r="G20" i="1"/>
  <c r="H20" i="1"/>
  <c r="I20" i="1"/>
  <c r="J20" i="1"/>
  <c r="L20" i="1"/>
  <c r="M20" i="1"/>
  <c r="N20" i="1"/>
  <c r="B21" i="1"/>
  <c r="C21" i="1"/>
  <c r="D21" i="1"/>
  <c r="E21" i="1"/>
  <c r="F21" i="1"/>
  <c r="G21" i="1"/>
  <c r="H21" i="1"/>
  <c r="I21" i="1"/>
  <c r="J21" i="1"/>
  <c r="L21" i="1"/>
  <c r="M21" i="1"/>
  <c r="N21" i="1"/>
  <c r="B22" i="1"/>
  <c r="C22" i="1"/>
  <c r="D22" i="1"/>
  <c r="E22" i="1"/>
  <c r="F22" i="1"/>
  <c r="G22" i="1"/>
  <c r="H22" i="1"/>
  <c r="I22" i="1"/>
  <c r="J22" i="1"/>
  <c r="L22" i="1"/>
  <c r="M22" i="1"/>
  <c r="N22" i="1"/>
  <c r="B23" i="1"/>
  <c r="C23" i="1"/>
  <c r="D23" i="1"/>
  <c r="E23" i="1"/>
  <c r="F23" i="1"/>
  <c r="G23" i="1"/>
  <c r="H23" i="1"/>
  <c r="I23" i="1"/>
  <c r="J23" i="1"/>
  <c r="L23" i="1"/>
  <c r="M23" i="1"/>
  <c r="N23" i="1"/>
  <c r="B24" i="1"/>
  <c r="C24" i="1"/>
  <c r="D24" i="1"/>
  <c r="E24" i="1"/>
  <c r="F24" i="1"/>
  <c r="G24" i="1"/>
  <c r="H24" i="1"/>
  <c r="I24" i="1"/>
  <c r="J24" i="1"/>
  <c r="L24" i="1"/>
  <c r="M24" i="1"/>
  <c r="N24" i="1"/>
  <c r="B25" i="1"/>
  <c r="C25" i="1"/>
  <c r="D25" i="1"/>
  <c r="E25" i="1"/>
  <c r="F25" i="1"/>
  <c r="G25" i="1"/>
  <c r="H25" i="1"/>
  <c r="I25" i="1"/>
  <c r="J25" i="1"/>
  <c r="L25" i="1"/>
  <c r="M25" i="1"/>
  <c r="N25" i="1"/>
  <c r="B26" i="1"/>
  <c r="C26" i="1"/>
  <c r="D26" i="1"/>
  <c r="E26" i="1"/>
  <c r="F26" i="1"/>
  <c r="G26" i="1"/>
  <c r="H26" i="1"/>
  <c r="I26" i="1"/>
  <c r="J26" i="1"/>
  <c r="L26" i="1"/>
  <c r="M26" i="1"/>
  <c r="N26" i="1"/>
  <c r="B27" i="1"/>
  <c r="C27" i="1"/>
  <c r="D27" i="1"/>
  <c r="E27" i="1"/>
  <c r="F27" i="1"/>
  <c r="G27" i="1"/>
  <c r="H27" i="1"/>
  <c r="I27" i="1"/>
  <c r="J27" i="1"/>
  <c r="L27" i="1"/>
  <c r="M27" i="1"/>
  <c r="N27" i="1"/>
  <c r="B28" i="1"/>
  <c r="C28" i="1"/>
  <c r="D28" i="1"/>
  <c r="E28" i="1"/>
  <c r="F28" i="1"/>
  <c r="G28" i="1"/>
  <c r="H28" i="1"/>
  <c r="I28" i="1"/>
  <c r="J28" i="1"/>
  <c r="L28" i="1"/>
  <c r="M28" i="1"/>
  <c r="N28" i="1"/>
  <c r="B29" i="1"/>
  <c r="C29" i="1"/>
  <c r="D29" i="1"/>
  <c r="E29" i="1"/>
  <c r="F29" i="1"/>
  <c r="G29" i="1"/>
  <c r="H29" i="1"/>
  <c r="I29" i="1"/>
  <c r="J29" i="1"/>
  <c r="L29" i="1"/>
  <c r="M29" i="1"/>
  <c r="N29" i="1"/>
  <c r="B30" i="1"/>
  <c r="C30" i="1"/>
  <c r="D30" i="1"/>
  <c r="E30" i="1"/>
  <c r="F30" i="1"/>
  <c r="G30" i="1"/>
  <c r="H30" i="1"/>
  <c r="I30" i="1"/>
  <c r="J30" i="1"/>
  <c r="L30" i="1"/>
  <c r="M30" i="1"/>
  <c r="N30" i="1"/>
  <c r="B31" i="1"/>
  <c r="C31" i="1"/>
  <c r="D31" i="1"/>
  <c r="E31" i="1"/>
  <c r="F31" i="1"/>
  <c r="G31" i="1"/>
  <c r="H31" i="1"/>
  <c r="I31" i="1"/>
  <c r="J31" i="1"/>
  <c r="L31" i="1"/>
  <c r="M31" i="1"/>
  <c r="N31" i="1"/>
  <c r="B32" i="1"/>
  <c r="C32" i="1"/>
  <c r="D32" i="1"/>
  <c r="E32" i="1"/>
  <c r="F32" i="1"/>
  <c r="G32" i="1"/>
  <c r="H32" i="1"/>
  <c r="I32" i="1"/>
  <c r="J32" i="1"/>
  <c r="L32" i="1"/>
  <c r="M32" i="1"/>
  <c r="N32" i="1"/>
  <c r="B33" i="1"/>
  <c r="C33" i="1"/>
  <c r="D33" i="1"/>
  <c r="E33" i="1"/>
  <c r="F33" i="1"/>
  <c r="G33" i="1"/>
  <c r="H33" i="1"/>
  <c r="I33" i="1"/>
  <c r="J33" i="1"/>
  <c r="L33" i="1"/>
  <c r="M33" i="1"/>
  <c r="N33" i="1"/>
  <c r="B34" i="1"/>
  <c r="C34" i="1"/>
  <c r="D34" i="1"/>
  <c r="E34" i="1"/>
  <c r="F34" i="1"/>
  <c r="G34" i="1"/>
  <c r="H34" i="1"/>
  <c r="I34" i="1"/>
  <c r="J34" i="1"/>
  <c r="L34" i="1"/>
  <c r="M34" i="1"/>
  <c r="N34" i="1"/>
  <c r="B35" i="1"/>
  <c r="C35" i="1"/>
  <c r="D35" i="1"/>
  <c r="E35" i="1"/>
  <c r="F35" i="1"/>
  <c r="G35" i="1"/>
  <c r="H35" i="1"/>
  <c r="I35" i="1"/>
  <c r="J35" i="1"/>
  <c r="L35" i="1"/>
  <c r="M35" i="1"/>
  <c r="N35" i="1"/>
  <c r="B36" i="1"/>
  <c r="C36" i="1"/>
  <c r="D36" i="1"/>
  <c r="E36" i="1"/>
  <c r="F36" i="1"/>
  <c r="G36" i="1"/>
  <c r="H36" i="1"/>
  <c r="I36" i="1"/>
  <c r="J36" i="1"/>
  <c r="L36" i="1"/>
  <c r="M36" i="1"/>
  <c r="N36" i="1"/>
  <c r="B37" i="1"/>
  <c r="C37" i="1"/>
  <c r="D37" i="1"/>
  <c r="E37" i="1"/>
  <c r="F37" i="1"/>
  <c r="G37" i="1"/>
  <c r="H37" i="1"/>
  <c r="I37" i="1"/>
  <c r="J37" i="1"/>
  <c r="L37" i="1"/>
  <c r="M37" i="1"/>
  <c r="N37" i="1"/>
</calcChain>
</file>

<file path=xl/sharedStrings.xml><?xml version="1.0" encoding="utf-8"?>
<sst xmlns="http://schemas.openxmlformats.org/spreadsheetml/2006/main" count="19" uniqueCount="19">
  <si>
    <t>תאריך</t>
  </si>
  <si>
    <t>מס' תעודה/ חשבונית</t>
  </si>
  <si>
    <t>מק'ט</t>
  </si>
  <si>
    <t>תאור מוצר</t>
  </si>
  <si>
    <t>מספר לקוח</t>
  </si>
  <si>
    <t>שם לקוח</t>
  </si>
  <si>
    <t>לקוח מרכז</t>
  </si>
  <si>
    <t>שם לקוח מרכז</t>
  </si>
  <si>
    <t>מס. לקוח משלם</t>
  </si>
  <si>
    <t>שם לקוח משלם</t>
  </si>
  <si>
    <t>תאור האתר</t>
  </si>
  <si>
    <t>חוייבה</t>
  </si>
  <si>
    <t>פרמטר 6 למוצר</t>
  </si>
  <si>
    <t>הזמנה</t>
  </si>
  <si>
    <t>מספר הזמנת לקוח באתר</t>
  </si>
  <si>
    <t>מחיר ליחידה</t>
  </si>
  <si>
    <t>כמות</t>
  </si>
  <si>
    <t>סכום (שח)</t>
  </si>
  <si>
    <t>סכום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</si>
</sst>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D2D4-B2B7-41FB-AE1B-24B88B0A873B}">
  <dimension ref="A1:S267"/>
  <sheetViews>
    <sheetView rightToLeft="1" tabSelected="1" workbookViewId="0"/>
  </sheetViews>
  <sheetFormatPr defaultRowHeight="14.25" x14ac:dyDescent="0.2"/>
  <cols>
    <col min="7" max="7" width="8.5" bestFit="1" customWidth="1"/>
    <col min="8" max="8" width="32.75" bestFit="1" customWidth="1"/>
    <col min="9" max="9" width="12.3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43902</v>
      </c>
      <c r="B2" t="str">
        <f>"SH20014993"</f>
        <v>SH20014993</v>
      </c>
      <c r="C2" t="str">
        <f>"IM235905"</f>
        <v>IM235905</v>
      </c>
      <c r="D2" t="str">
        <f>"HIGH VOLUME TIPS(1000UL)- 235905"</f>
        <v>HIGH VOLUME TIPS(1000UL)- 235905</v>
      </c>
      <c r="E2" t="str">
        <f>"200737"</f>
        <v>200737</v>
      </c>
      <c r="F2" t="str">
        <f>"ד""ר חיים בן צבי - בי""ח בלינסון"</f>
        <v>ד"ר חיים בן צבי - בי"ח בלינסון</v>
      </c>
      <c r="G2" t="str">
        <f>"22100"</f>
        <v>22100</v>
      </c>
      <c r="H2" t="str">
        <f>"שרותי בריאות כללית-מנהל אספקה"</f>
        <v>שרותי בריאות כללית-מנהל אספקה</v>
      </c>
      <c r="I2" t="str">
        <f>"22100"</f>
        <v>22100</v>
      </c>
      <c r="J2" t="str">
        <f>"שרותי בריאות כללית-מנהל אספקה"</f>
        <v>שרותי בריאות כללית-מנהל אספקה</v>
      </c>
      <c r="L2" t="str">
        <f>"Y"</f>
        <v>Y</v>
      </c>
      <c r="M2" t="str">
        <f>"IMPORT"</f>
        <v>IMPORT</v>
      </c>
      <c r="N2" t="str">
        <f>"SO20013566"</f>
        <v>SO20013566</v>
      </c>
      <c r="P2">
        <v>594</v>
      </c>
      <c r="Q2">
        <v>2</v>
      </c>
      <c r="R2" s="2">
        <v>4167.5039999999999</v>
      </c>
      <c r="S2" s="2">
        <v>1145.233305853</v>
      </c>
    </row>
    <row r="3" spans="1:19" x14ac:dyDescent="0.2">
      <c r="A3" s="1">
        <v>43902</v>
      </c>
      <c r="B3" t="str">
        <f>"SH20014996"</f>
        <v>SH20014996</v>
      </c>
      <c r="C3" t="str">
        <f>"IM7443004U"</f>
        <v>IM7443004U</v>
      </c>
      <c r="D3" t="str">
        <f>"STARMAG 96*4 UNIVERSAL -744300.4.UC384"</f>
        <v>STARMAG 96*4 UNIVERSAL -744300.4.UC384</v>
      </c>
      <c r="E3" t="str">
        <f>"200737"</f>
        <v>200737</v>
      </c>
      <c r="F3" t="str">
        <f>"ד""ר חיים בן צבי - בי""ח בלינסון"</f>
        <v>ד"ר חיים בן צבי - בי"ח בלינסון</v>
      </c>
      <c r="G3" t="str">
        <f>"22100"</f>
        <v>22100</v>
      </c>
      <c r="H3" t="str">
        <f>"שרותי בריאות כללית-מנהל אספקה"</f>
        <v>שרותי בריאות כללית-מנהל אספקה</v>
      </c>
      <c r="I3" t="str">
        <f>"22100"</f>
        <v>22100</v>
      </c>
      <c r="J3" t="str">
        <f>"שרותי בריאות כללית-מנהל אספקה"</f>
        <v>שרותי בריאות כללית-מנהל אספקה</v>
      </c>
      <c r="L3" t="str">
        <f>"Y"</f>
        <v>Y</v>
      </c>
      <c r="M3" t="str">
        <f>"IMPORT"</f>
        <v>IMPORT</v>
      </c>
      <c r="N3" t="str">
        <f>"SO20013567"</f>
        <v>SO20013567</v>
      </c>
      <c r="P3" s="2">
        <v>1006.8</v>
      </c>
      <c r="Q3">
        <v>2</v>
      </c>
      <c r="R3" s="2">
        <v>7063.7088000000003</v>
      </c>
      <c r="S3" s="2">
        <v>1941.1126133549999</v>
      </c>
    </row>
    <row r="4" spans="1:19" x14ac:dyDescent="0.2">
      <c r="A4" s="1">
        <v>43902</v>
      </c>
      <c r="B4" t="str">
        <f>"SH20014997"</f>
        <v>SH20014997</v>
      </c>
      <c r="C4" t="str">
        <f>"IM235903"</f>
        <v>IM235903</v>
      </c>
      <c r="D4" t="str">
        <f>"STANDARD VOLUME TIPS(300UL)- 235903"</f>
        <v>STANDARD VOLUME TIPS(300UL)- 235903</v>
      </c>
      <c r="E4" t="str">
        <f>"200737"</f>
        <v>200737</v>
      </c>
      <c r="F4" t="str">
        <f>"ד""ר חיים בן צבי - בי""ח בלינסון"</f>
        <v>ד"ר חיים בן צבי - בי"ח בלינסון</v>
      </c>
      <c r="G4" t="str">
        <f>"22100"</f>
        <v>22100</v>
      </c>
      <c r="H4" t="str">
        <f>"שרותי בריאות כללית-מנהל אספקה"</f>
        <v>שרותי בריאות כללית-מנהל אספקה</v>
      </c>
      <c r="I4" t="str">
        <f>"22100"</f>
        <v>22100</v>
      </c>
      <c r="J4" t="str">
        <f>"שרותי בריאות כללית-מנהל אספקה"</f>
        <v>שרותי בריאות כללית-מנהל אספקה</v>
      </c>
      <c r="L4" t="str">
        <f>"N"</f>
        <v>N</v>
      </c>
      <c r="M4" t="str">
        <f>"IMPORT"</f>
        <v>IMPORT</v>
      </c>
      <c r="N4" t="str">
        <f>"SO20013569"</f>
        <v>SO20013569</v>
      </c>
      <c r="P4">
        <v>921.6</v>
      </c>
      <c r="Q4">
        <v>1</v>
      </c>
      <c r="R4" s="2">
        <v>3232.9728</v>
      </c>
      <c r="S4">
        <v>888.42341302600005</v>
      </c>
    </row>
    <row r="5" spans="1:19" x14ac:dyDescent="0.2">
      <c r="A5" s="1">
        <v>43902</v>
      </c>
      <c r="B5" t="str">
        <f>"SH20015018"</f>
        <v>SH20015018</v>
      </c>
      <c r="C5" t="str">
        <f>"IMRP10243X"</f>
        <v>IMRP10243X</v>
      </c>
      <c r="D5" t="str">
        <f>"Allplex 2019-nCoV 100T - RP10243X"</f>
        <v>Allplex 2019-nCoV 100T - RP10243X</v>
      </c>
      <c r="E5" t="str">
        <f>"200737"</f>
        <v>200737</v>
      </c>
      <c r="F5" t="str">
        <f>"ד""ר חיים בן צבי - בי""ח בלינסון"</f>
        <v>ד"ר חיים בן צבי - בי"ח בלינסון</v>
      </c>
      <c r="G5" t="str">
        <f>"22100"</f>
        <v>22100</v>
      </c>
      <c r="H5" t="str">
        <f>"שרותי בריאות כללית-מנהל אספקה"</f>
        <v>שרותי בריאות כללית-מנהל אספקה</v>
      </c>
      <c r="I5" t="str">
        <f>"22100"</f>
        <v>22100</v>
      </c>
      <c r="J5" t="str">
        <f>"שרותי בריאות כללית-מנהל אספקה"</f>
        <v>שרותי בריאות כללית-מנהל אספקה</v>
      </c>
      <c r="L5" t="str">
        <f>"Y"</f>
        <v>Y</v>
      </c>
      <c r="M5" t="str">
        <f>"IMPORT"</f>
        <v>IMPORT</v>
      </c>
      <c r="N5" t="str">
        <f>"SO20013237"</f>
        <v>SO20013237</v>
      </c>
      <c r="P5">
        <v>700</v>
      </c>
      <c r="Q5">
        <v>2</v>
      </c>
      <c r="R5" s="2">
        <v>4911.2</v>
      </c>
      <c r="S5" s="2">
        <v>1349.6015388840001</v>
      </c>
    </row>
    <row r="6" spans="1:19" x14ac:dyDescent="0.2">
      <c r="A6" s="1">
        <v>43902</v>
      </c>
      <c r="B6" t="str">
        <f>"SH20015025"</f>
        <v>SH20015025</v>
      </c>
      <c r="C6" t="str">
        <f>"IM235905"</f>
        <v>IM235905</v>
      </c>
      <c r="D6" t="str">
        <f>"HIGH VOLUME TIPS(1000UL)- 235905"</f>
        <v>HIGH VOLUME TIPS(1000UL)- 235905</v>
      </c>
      <c r="E6" t="str">
        <f>"201161"</f>
        <v>201161</v>
      </c>
      <c r="F6" t="str">
        <f>"ד""ר אורלי שגיא - סורוקה"</f>
        <v>ד"ר אורלי שגיא - סורוקה</v>
      </c>
      <c r="G6" t="str">
        <f>"22100"</f>
        <v>22100</v>
      </c>
      <c r="H6" t="str">
        <f>"שרותי בריאות כללית-מנהל אספקה"</f>
        <v>שרותי בריאות כללית-מנהל אספקה</v>
      </c>
      <c r="I6" t="str">
        <f>"22100"</f>
        <v>22100</v>
      </c>
      <c r="J6" t="str">
        <f>"שרותי בריאות כללית-מנהל אספקה"</f>
        <v>שרותי בריאות כללית-מנהל אספקה</v>
      </c>
      <c r="L6" t="str">
        <f>"N"</f>
        <v>N</v>
      </c>
      <c r="M6" t="str">
        <f>"IMPORT"</f>
        <v>IMPORT</v>
      </c>
      <c r="N6" t="str">
        <f>"SO20013217"</f>
        <v>SO20013217</v>
      </c>
      <c r="P6">
        <v>594</v>
      </c>
      <c r="Q6">
        <v>5</v>
      </c>
      <c r="R6" s="2">
        <v>10418.76</v>
      </c>
      <c r="S6" s="2">
        <v>2863.083264633</v>
      </c>
    </row>
    <row r="7" spans="1:19" x14ac:dyDescent="0.2">
      <c r="A7" s="1">
        <v>43902</v>
      </c>
      <c r="B7" t="str">
        <f>"SH20015025"</f>
        <v>SH20015025</v>
      </c>
      <c r="C7" t="str">
        <f>"IM7443004U"</f>
        <v>IM7443004U</v>
      </c>
      <c r="D7" t="str">
        <f>"STARMAG 96*4 UNIVERSAL -744300.4.UC384"</f>
        <v>STARMAG 96*4 UNIVERSAL -744300.4.UC384</v>
      </c>
      <c r="E7" t="str">
        <f>"201161"</f>
        <v>201161</v>
      </c>
      <c r="F7" t="str">
        <f>"ד""ר אורלי שגיא - סורוקה"</f>
        <v>ד"ר אורלי שגיא - סורוקה</v>
      </c>
      <c r="G7" t="str">
        <f>"22100"</f>
        <v>22100</v>
      </c>
      <c r="H7" t="str">
        <f>"שרותי בריאות כללית-מנהל אספקה"</f>
        <v>שרותי בריאות כללית-מנהל אספקה</v>
      </c>
      <c r="I7" t="str">
        <f>"22100"</f>
        <v>22100</v>
      </c>
      <c r="J7" t="str">
        <f>"שרותי בריאות כללית-מנהל אספקה"</f>
        <v>שרותי בריאות כללית-מנהל אספקה</v>
      </c>
      <c r="L7" t="str">
        <f>"N"</f>
        <v>N</v>
      </c>
      <c r="M7" t="str">
        <f>"IMPORT"</f>
        <v>IMPORT</v>
      </c>
      <c r="N7" t="str">
        <f>"SO20013217"</f>
        <v>SO20013217</v>
      </c>
      <c r="P7" s="2">
        <v>1006.8</v>
      </c>
      <c r="Q7">
        <v>4</v>
      </c>
      <c r="R7" s="2">
        <v>14127.417600000001</v>
      </c>
      <c r="S7" s="2">
        <v>3882.2252267109998</v>
      </c>
    </row>
    <row r="8" spans="1:19" x14ac:dyDescent="0.2">
      <c r="A8" s="1">
        <v>43902</v>
      </c>
      <c r="B8" t="str">
        <f>"SH20015025"</f>
        <v>SH20015025</v>
      </c>
      <c r="C8" t="str">
        <f>"IMSDP0096"</f>
        <v>IMSDP0096</v>
      </c>
      <c r="D8" t="str">
        <f>"NIMBUS-96 DEEP WELL MICRO PLATE SDP0096"</f>
        <v>NIMBUS-96 DEEP WELL MICRO PLATE SDP0096</v>
      </c>
      <c r="E8" t="str">
        <f>"201161"</f>
        <v>201161</v>
      </c>
      <c r="F8" t="str">
        <f>"ד""ר אורלי שגיא - סורוקה"</f>
        <v>ד"ר אורלי שגיא - סורוקה</v>
      </c>
      <c r="G8" t="str">
        <f>"22100"</f>
        <v>22100</v>
      </c>
      <c r="H8" t="str">
        <f>"שרותי בריאות כללית-מנהל אספקה"</f>
        <v>שרותי בריאות כללית-מנהל אספקה</v>
      </c>
      <c r="I8" t="str">
        <f>"22100"</f>
        <v>22100</v>
      </c>
      <c r="J8" t="str">
        <f>"שרותי בריאות כללית-מנהל אספקה"</f>
        <v>שרותי בריאות כללית-מנהל אספקה</v>
      </c>
      <c r="L8" t="str">
        <f>"N"</f>
        <v>N</v>
      </c>
      <c r="M8" t="str">
        <f>"IMPORT"</f>
        <v>IMPORT</v>
      </c>
      <c r="N8" t="str">
        <f>"SO20013217"</f>
        <v>SO20013217</v>
      </c>
      <c r="P8">
        <v>384</v>
      </c>
      <c r="Q8">
        <v>1</v>
      </c>
      <c r="R8" s="2">
        <v>1347.0719999999999</v>
      </c>
      <c r="S8">
        <v>370.17642209399997</v>
      </c>
    </row>
    <row r="9" spans="1:19" x14ac:dyDescent="0.2">
      <c r="A9" s="1">
        <v>43902</v>
      </c>
      <c r="B9" t="str">
        <f>"SH20015043"</f>
        <v>SH20015043</v>
      </c>
      <c r="C9" t="str">
        <f>"IMHSP9655"</f>
        <v>IMHSP9655</v>
      </c>
      <c r="D9" t="str">
        <f>"PLATE WELL 96(WHITE)50EA/BOX-HSP9655"</f>
        <v>PLATE WELL 96(WHITE)50EA/BOX-HSP9655</v>
      </c>
      <c r="E9" t="str">
        <f>"201161"</f>
        <v>201161</v>
      </c>
      <c r="F9" t="str">
        <f>"ד""ר אורלי שגיא - סורוקה"</f>
        <v>ד"ר אורלי שגיא - סורוקה</v>
      </c>
      <c r="G9" t="str">
        <f>"22100"</f>
        <v>22100</v>
      </c>
      <c r="H9" t="str">
        <f>"שרותי בריאות כללית-מנהל אספקה"</f>
        <v>שרותי בריאות כללית-מנהל אספקה</v>
      </c>
      <c r="I9" t="str">
        <f>"22100"</f>
        <v>22100</v>
      </c>
      <c r="J9" t="str">
        <f>"שרותי בריאות כללית-מנהל אספקה"</f>
        <v>שרותי בריאות כללית-מנהל אספקה</v>
      </c>
      <c r="L9" t="str">
        <f>"N"</f>
        <v>N</v>
      </c>
      <c r="M9" t="str">
        <f>"IMPORT"</f>
        <v>IMPORT</v>
      </c>
      <c r="N9" t="str">
        <f>"SO20013217"</f>
        <v>SO20013217</v>
      </c>
      <c r="P9">
        <v>357</v>
      </c>
      <c r="Q9">
        <v>1</v>
      </c>
      <c r="R9" s="2">
        <v>1252.356</v>
      </c>
      <c r="S9">
        <v>344.14839241499999</v>
      </c>
    </row>
    <row r="10" spans="1:19" x14ac:dyDescent="0.2">
      <c r="A10" s="1">
        <v>43902</v>
      </c>
      <c r="B10" t="str">
        <f>"SH20015043"</f>
        <v>SH20015043</v>
      </c>
      <c r="C10" t="str">
        <f>"IMTCS0803"</f>
        <v>IMTCS0803</v>
      </c>
      <c r="D10" t="str">
        <f>"OPTICAL FLAT CAPS FOR 0.2ML 120X8"</f>
        <v>OPTICAL FLAT CAPS FOR 0.2ML 120X8</v>
      </c>
      <c r="E10" t="str">
        <f>"201161"</f>
        <v>201161</v>
      </c>
      <c r="F10" t="str">
        <f>"ד""ר אורלי שגיא - סורוקה"</f>
        <v>ד"ר אורלי שגיא - סורוקה</v>
      </c>
      <c r="G10" t="str">
        <f>"22100"</f>
        <v>22100</v>
      </c>
      <c r="H10" t="str">
        <f>"שרותי בריאות כללית-מנהל אספקה"</f>
        <v>שרותי בריאות כללית-מנהל אספקה</v>
      </c>
      <c r="I10" t="str">
        <f>"22100"</f>
        <v>22100</v>
      </c>
      <c r="J10" t="str">
        <f>"שרותי בריאות כללית-מנהל אספקה"</f>
        <v>שרותי בריאות כללית-מנהל אספקה</v>
      </c>
      <c r="L10" t="str">
        <f>"N"</f>
        <v>N</v>
      </c>
      <c r="M10" t="str">
        <f>"IMPORT"</f>
        <v>IMPORT</v>
      </c>
      <c r="N10" t="str">
        <f>"SO20013217"</f>
        <v>SO20013217</v>
      </c>
      <c r="P10">
        <v>62</v>
      </c>
      <c r="Q10">
        <v>2</v>
      </c>
      <c r="R10">
        <v>434.99200000000002</v>
      </c>
      <c r="S10">
        <v>119.536136301</v>
      </c>
    </row>
    <row r="11" spans="1:19" x14ac:dyDescent="0.2">
      <c r="A11" s="1">
        <v>43902</v>
      </c>
      <c r="B11" t="str">
        <f>"SH20015222"</f>
        <v>SH20015222</v>
      </c>
      <c r="C11" t="str">
        <f>"IMRP10243X"</f>
        <v>IMRP10243X</v>
      </c>
      <c r="D11" t="str">
        <f>"Allplex 2019-nCoV 100T - RP10243X"</f>
        <v>Allplex 2019-nCoV 100T - RP10243X</v>
      </c>
      <c r="E11" t="str">
        <f>"201174"</f>
        <v>201174</v>
      </c>
      <c r="F11" t="str">
        <f>"ד""ר עמוס אדלר - בי""ח איכילוב"</f>
        <v>ד"ר עמוס אדלר - בי"ח איכילוב</v>
      </c>
      <c r="G11" t="str">
        <f>"21102"</f>
        <v>21102</v>
      </c>
      <c r="H11" t="str">
        <f>"מרכז רפואי איכילוב"</f>
        <v>מרכז רפואי איכילוב</v>
      </c>
      <c r="I11" t="str">
        <f>"21102"</f>
        <v>21102</v>
      </c>
      <c r="J11" t="str">
        <f>"מרכז רפואי איכילוב"</f>
        <v>מרכז רפואי איכילוב</v>
      </c>
      <c r="L11" t="str">
        <f>"Y"</f>
        <v>Y</v>
      </c>
      <c r="M11" t="str">
        <f>"IMPORT"</f>
        <v>IMPORT</v>
      </c>
      <c r="N11" t="str">
        <f>"SO20013873"</f>
        <v>SO20013873</v>
      </c>
      <c r="P11">
        <v>679</v>
      </c>
      <c r="Q11">
        <v>10</v>
      </c>
      <c r="R11" s="2">
        <v>23819.32</v>
      </c>
      <c r="S11" s="2">
        <v>6545.567463589</v>
      </c>
    </row>
    <row r="12" spans="1:19" x14ac:dyDescent="0.2">
      <c r="A12" s="1">
        <v>43902</v>
      </c>
      <c r="B12" t="str">
        <f>"SH20015318"</f>
        <v>SH20015318</v>
      </c>
      <c r="C12" t="str">
        <f>"IM235903"</f>
        <v>IM235903</v>
      </c>
      <c r="D12" t="str">
        <f>"STANDARD VOLUME TIPS(300UL)- 235903"</f>
        <v>STANDARD VOLUME TIPS(300UL)- 235903</v>
      </c>
      <c r="E12" t="str">
        <f>"200893"</f>
        <v>200893</v>
      </c>
      <c r="F12" t="str">
        <f>"ד""ר שרון עמית - בי""ח תה""ש"</f>
        <v>ד"ר שרון עמית - בי"ח תה"ש</v>
      </c>
      <c r="G12" t="str">
        <f>"21133"</f>
        <v>21133</v>
      </c>
      <c r="H12" t="str">
        <f>"מרכז רפואי שיבא- תל השומר רכש ריאגנטים"</f>
        <v>מרכז רפואי שיבא- תל השומר רכש ריאגנטים</v>
      </c>
      <c r="I12" t="str">
        <f>"21133"</f>
        <v>21133</v>
      </c>
      <c r="J12" t="str">
        <f>"מרכז רפואי שיבא- תל השומר רכש ריאגנטים"</f>
        <v>מרכז רפואי שיבא- תל השומר רכש ריאגנטים</v>
      </c>
      <c r="L12" t="str">
        <f>"N"</f>
        <v>N</v>
      </c>
      <c r="M12" t="str">
        <f>"IMPORT"</f>
        <v>IMPORT</v>
      </c>
      <c r="N12" t="str">
        <f>"SO20013859"</f>
        <v>SO20013859</v>
      </c>
      <c r="P12" s="2">
        <v>1100</v>
      </c>
      <c r="Q12">
        <v>1</v>
      </c>
      <c r="R12" s="2">
        <v>3858.8</v>
      </c>
      <c r="S12" s="2">
        <v>1060.4012091229999</v>
      </c>
    </row>
    <row r="13" spans="1:19" x14ac:dyDescent="0.2">
      <c r="A13" s="1">
        <v>43902</v>
      </c>
      <c r="B13" t="str">
        <f>"SH20015318"</f>
        <v>SH20015318</v>
      </c>
      <c r="C13" t="str">
        <f>"IM235905"</f>
        <v>IM235905</v>
      </c>
      <c r="D13" t="str">
        <f>"HIGH VOLUME TIPS(1000UL)- 235905"</f>
        <v>HIGH VOLUME TIPS(1000UL)- 235905</v>
      </c>
      <c r="E13" t="str">
        <f>"200893"</f>
        <v>200893</v>
      </c>
      <c r="F13" t="str">
        <f>"ד""ר שרון עמית - בי""ח תה""ש"</f>
        <v>ד"ר שרון עמית - בי"ח תה"ש</v>
      </c>
      <c r="G13" t="str">
        <f>"21133"</f>
        <v>21133</v>
      </c>
      <c r="H13" t="str">
        <f>"מרכז רפואי שיבא- תל השומר רכש ריאגנטים"</f>
        <v>מרכז רפואי שיבא- תל השומר רכש ריאגנטים</v>
      </c>
      <c r="I13" t="str">
        <f>"21133"</f>
        <v>21133</v>
      </c>
      <c r="J13" t="str">
        <f>"מרכז רפואי שיבא- תל השומר רכש ריאגנטים"</f>
        <v>מרכז רפואי שיבא- תל השומר רכש ריאגנטים</v>
      </c>
      <c r="L13" t="str">
        <f>"N"</f>
        <v>N</v>
      </c>
      <c r="M13" t="str">
        <f>"IMPORT"</f>
        <v>IMPORT</v>
      </c>
      <c r="N13" t="str">
        <f>"SO20013859"</f>
        <v>SO20013859</v>
      </c>
      <c r="P13">
        <v>700</v>
      </c>
      <c r="Q13">
        <v>3</v>
      </c>
      <c r="R13" s="2">
        <v>7366.8</v>
      </c>
      <c r="S13" s="2">
        <v>2024.4023083259999</v>
      </c>
    </row>
    <row r="14" spans="1:19" x14ac:dyDescent="0.2">
      <c r="A14" s="1">
        <v>43902</v>
      </c>
      <c r="B14" t="str">
        <f>"SH20015318"</f>
        <v>SH20015318</v>
      </c>
      <c r="C14" t="str">
        <f>"IM7443004U"</f>
        <v>IM7443004U</v>
      </c>
      <c r="D14" t="str">
        <f>"STARMAG 96*4 UNIVERSAL -744300.4.UC384"</f>
        <v>STARMAG 96*4 UNIVERSAL -744300.4.UC384</v>
      </c>
      <c r="E14" t="str">
        <f>"200893"</f>
        <v>200893</v>
      </c>
      <c r="F14" t="str">
        <f>"ד""ר שרון עמית - בי""ח תה""ש"</f>
        <v>ד"ר שרון עמית - בי"ח תה"ש</v>
      </c>
      <c r="G14" t="str">
        <f>"21133"</f>
        <v>21133</v>
      </c>
      <c r="H14" t="str">
        <f>"מרכז רפואי שיבא- תל השומר רכש ריאגנטים"</f>
        <v>מרכז רפואי שיבא- תל השומר רכש ריאגנטים</v>
      </c>
      <c r="I14" t="str">
        <f>"21133"</f>
        <v>21133</v>
      </c>
      <c r="J14" t="str">
        <f>"מרכז רפואי שיבא- תל השומר רכש ריאגנטים"</f>
        <v>מרכז רפואי שיבא- תל השומר רכש ריאגנטים</v>
      </c>
      <c r="L14" t="str">
        <f>"N"</f>
        <v>N</v>
      </c>
      <c r="M14" t="str">
        <f>"IMPORT"</f>
        <v>IMPORT</v>
      </c>
      <c r="N14" t="str">
        <f>"SO20013859"</f>
        <v>SO20013859</v>
      </c>
      <c r="P14" s="2">
        <v>1230</v>
      </c>
      <c r="Q14">
        <v>10</v>
      </c>
      <c r="R14" s="2">
        <v>36676.14</v>
      </c>
      <c r="S14" s="2">
        <v>10078.631492160001</v>
      </c>
    </row>
    <row r="15" spans="1:19" x14ac:dyDescent="0.2">
      <c r="A15" s="1">
        <v>43902</v>
      </c>
      <c r="B15" t="str">
        <f>"SH20015318"</f>
        <v>SH20015318</v>
      </c>
      <c r="C15" t="str">
        <f>"IMSDP0096"</f>
        <v>IMSDP0096</v>
      </c>
      <c r="D15" t="str">
        <f>"NIMBUS-96 DEEP WELL MICRO PLATE SDP0096"</f>
        <v>NIMBUS-96 DEEP WELL MICRO PLATE SDP0096</v>
      </c>
      <c r="E15" t="str">
        <f>"200893"</f>
        <v>200893</v>
      </c>
      <c r="F15" t="str">
        <f>"ד""ר שרון עמית - בי""ח תה""ש"</f>
        <v>ד"ר שרון עמית - בי"ח תה"ש</v>
      </c>
      <c r="G15" t="str">
        <f>"21133"</f>
        <v>21133</v>
      </c>
      <c r="H15" t="str">
        <f>"מרכז רפואי שיבא- תל השומר רכש ריאגנטים"</f>
        <v>מרכז רפואי שיבא- תל השומר רכש ריאגנטים</v>
      </c>
      <c r="I15" t="str">
        <f>"21133"</f>
        <v>21133</v>
      </c>
      <c r="J15" t="str">
        <f>"מרכז רפואי שיבא- תל השומר רכש ריאגנטים"</f>
        <v>מרכז רפואי שיבא- תל השומר רכש ריאגנטים</v>
      </c>
      <c r="L15" t="str">
        <f>"N"</f>
        <v>N</v>
      </c>
      <c r="M15" t="str">
        <f>"IMPORT"</f>
        <v>IMPORT</v>
      </c>
      <c r="N15" t="str">
        <f>"SO20013859"</f>
        <v>SO20013859</v>
      </c>
      <c r="P15">
        <v>460</v>
      </c>
      <c r="Q15">
        <v>1</v>
      </c>
      <c r="R15" s="2">
        <v>1613.68</v>
      </c>
      <c r="S15">
        <v>443.44050563299999</v>
      </c>
    </row>
    <row r="16" spans="1:19" x14ac:dyDescent="0.2">
      <c r="A16" s="1">
        <v>43902</v>
      </c>
      <c r="B16" t="str">
        <f>"SH20015355"</f>
        <v>SH20015355</v>
      </c>
      <c r="C16" t="str">
        <f>"IMHSP9655"</f>
        <v>IMHSP9655</v>
      </c>
      <c r="D16" t="str">
        <f>"PLATE WELL 96(WHITE)50EA/BOX-HSP9655"</f>
        <v>PLATE WELL 96(WHITE)50EA/BOX-HSP9655</v>
      </c>
      <c r="E16" t="str">
        <f>"200893"</f>
        <v>200893</v>
      </c>
      <c r="F16" t="str">
        <f>"ד""ר שרון עמית - בי""ח תה""ש"</f>
        <v>ד"ר שרון עמית - בי"ח תה"ש</v>
      </c>
      <c r="G16" t="str">
        <f>"21133"</f>
        <v>21133</v>
      </c>
      <c r="H16" t="str">
        <f>"מרכז רפואי שיבא- תל השומר רכש ריאגנטים"</f>
        <v>מרכז רפואי שיבא- תל השומר רכש ריאגנטים</v>
      </c>
      <c r="I16" t="str">
        <f>"21133"</f>
        <v>21133</v>
      </c>
      <c r="J16" t="str">
        <f>"מרכז רפואי שיבא- תל השומר רכש ריאגנטים"</f>
        <v>מרכז רפואי שיבא- תל השומר רכש ריאגנטים</v>
      </c>
      <c r="L16" t="str">
        <f>"N"</f>
        <v>N</v>
      </c>
      <c r="M16" t="str">
        <f>"IMPORT"</f>
        <v>IMPORT</v>
      </c>
      <c r="N16" t="str">
        <f>"SO20013859"</f>
        <v>SO20013859</v>
      </c>
      <c r="P16" s="2">
        <v>1264</v>
      </c>
      <c r="Q16">
        <v>3</v>
      </c>
      <c r="R16" s="2">
        <v>13302.335999999999</v>
      </c>
      <c r="S16" s="2">
        <v>3655.4921681780002</v>
      </c>
    </row>
    <row r="17" spans="1:19" x14ac:dyDescent="0.2">
      <c r="A17" s="1">
        <v>43902</v>
      </c>
      <c r="B17" t="str">
        <f>"SH20015355"</f>
        <v>SH20015355</v>
      </c>
      <c r="C17" t="str">
        <f>"IMRP10243X"</f>
        <v>IMRP10243X</v>
      </c>
      <c r="D17" t="str">
        <f>"Allplex 2019-nCoV 100T - RP10243X"</f>
        <v>Allplex 2019-nCoV 100T - RP10243X</v>
      </c>
      <c r="E17" t="str">
        <f>"200893"</f>
        <v>200893</v>
      </c>
      <c r="F17" t="str">
        <f>"ד""ר שרון עמית - בי""ח תה""ש"</f>
        <v>ד"ר שרון עמית - בי"ח תה"ש</v>
      </c>
      <c r="G17" t="str">
        <f>"21133"</f>
        <v>21133</v>
      </c>
      <c r="H17" t="str">
        <f>"מרכז רפואי שיבא- תל השומר רכש ריאגנטים"</f>
        <v>מרכז רפואי שיבא- תל השומר רכש ריאגנטים</v>
      </c>
      <c r="I17" t="str">
        <f>"21133"</f>
        <v>21133</v>
      </c>
      <c r="J17" t="str">
        <f>"מרכז רפואי שיבא- תל השומר רכש ריאגנטים"</f>
        <v>מרכז רפואי שיבא- תל השומר רכש ריאגנטים</v>
      </c>
      <c r="L17" t="str">
        <f>"N"</f>
        <v>N</v>
      </c>
      <c r="M17" t="str">
        <f>"IMPORT"</f>
        <v>IMPORT</v>
      </c>
      <c r="N17" t="str">
        <f>"SO20013859"</f>
        <v>SO20013859</v>
      </c>
      <c r="P17">
        <v>679</v>
      </c>
      <c r="Q17">
        <v>10</v>
      </c>
      <c r="R17" s="2">
        <v>23819.32</v>
      </c>
      <c r="S17" s="2">
        <v>6545.567463589</v>
      </c>
    </row>
    <row r="18" spans="1:19" x14ac:dyDescent="0.2">
      <c r="A18" s="1">
        <v>43902</v>
      </c>
      <c r="B18" t="str">
        <f>"SH20015355"</f>
        <v>SH20015355</v>
      </c>
      <c r="C18" t="str">
        <f>"IMTCS0803"</f>
        <v>IMTCS0803</v>
      </c>
      <c r="D18" t="str">
        <f>"OPTICAL FLAT CAPS FOR 0.2ML 120X8"</f>
        <v>OPTICAL FLAT CAPS FOR 0.2ML 120X8</v>
      </c>
      <c r="E18" t="str">
        <f>"200893"</f>
        <v>200893</v>
      </c>
      <c r="F18" t="str">
        <f>"ד""ר שרון עמית - בי""ח תה""ש"</f>
        <v>ד"ר שרון עמית - בי"ח תה"ש</v>
      </c>
      <c r="G18" t="str">
        <f>"21133"</f>
        <v>21133</v>
      </c>
      <c r="H18" t="str">
        <f>"מרכז רפואי שיבא- תל השומר רכש ריאגנטים"</f>
        <v>מרכז רפואי שיבא- תל השומר רכש ריאגנטים</v>
      </c>
      <c r="I18" t="str">
        <f>"21133"</f>
        <v>21133</v>
      </c>
      <c r="J18" t="str">
        <f>"מרכז רפואי שיבא- תל השומר רכש ריאגנטים"</f>
        <v>מרכז רפואי שיבא- תל השומר רכש ריאגנטים</v>
      </c>
      <c r="L18" t="str">
        <f>"N"</f>
        <v>N</v>
      </c>
      <c r="M18" t="str">
        <f>"IMPORT"</f>
        <v>IMPORT</v>
      </c>
      <c r="N18" t="str">
        <f>"SO20013859"</f>
        <v>SO20013859</v>
      </c>
      <c r="P18">
        <v>72</v>
      </c>
      <c r="Q18">
        <v>10</v>
      </c>
      <c r="R18" s="2">
        <v>2525.7600000000002</v>
      </c>
      <c r="S18">
        <v>694.08079142600002</v>
      </c>
    </row>
    <row r="19" spans="1:19" x14ac:dyDescent="0.2">
      <c r="A19" s="1">
        <v>43905</v>
      </c>
      <c r="B19" t="str">
        <f>"RT20000162"</f>
        <v>RT20000162</v>
      </c>
      <c r="C19" t="str">
        <f>"IMRP10243X"</f>
        <v>IMRP10243X</v>
      </c>
      <c r="D19" t="str">
        <f>"Allplex 2019-nCoV 100T - RP10243X"</f>
        <v>Allplex 2019-nCoV 100T - RP10243X</v>
      </c>
      <c r="E19" t="str">
        <f>"200893"</f>
        <v>200893</v>
      </c>
      <c r="F19" t="str">
        <f>"ד""ר שרון עמית - בי""ח תה""ש"</f>
        <v>ד"ר שרון עמית - בי"ח תה"ש</v>
      </c>
      <c r="G19" t="str">
        <f>"21133"</f>
        <v>21133</v>
      </c>
      <c r="H19" t="str">
        <f>"מרכז רפואי שיבא- תל השומר רכש ריאגנטים"</f>
        <v>מרכז רפואי שיבא- תל השומר רכש ריאגנטים</v>
      </c>
      <c r="I19" t="str">
        <f>"21133"</f>
        <v>21133</v>
      </c>
      <c r="J19" t="str">
        <f>"מרכז רפואי שיבא- תל השומר רכש ריאגנטים"</f>
        <v>מרכז רפואי שיבא- תל השומר רכש ריאגנטים</v>
      </c>
      <c r="L19" t="str">
        <f>"Y"</f>
        <v>Y</v>
      </c>
      <c r="M19" t="str">
        <f>"IMPORT"</f>
        <v>IMPORT</v>
      </c>
      <c r="N19" t="str">
        <f>"SO20013859"</f>
        <v>SO20013859</v>
      </c>
      <c r="P19">
        <v>700</v>
      </c>
      <c r="Q19">
        <v>-2</v>
      </c>
      <c r="R19" s="2">
        <v>-4911.2</v>
      </c>
      <c r="S19" s="2">
        <v>-1344.7973712999999</v>
      </c>
    </row>
    <row r="20" spans="1:19" x14ac:dyDescent="0.2">
      <c r="A20" s="1">
        <v>43905</v>
      </c>
      <c r="B20" t="str">
        <f>"RT20000164"</f>
        <v>RT20000164</v>
      </c>
      <c r="C20" t="str">
        <f>"IMRP10243X"</f>
        <v>IMRP10243X</v>
      </c>
      <c r="D20" t="str">
        <f>"Allplex 2019-nCoV 100T - RP10243X"</f>
        <v>Allplex 2019-nCoV 100T - RP10243X</v>
      </c>
      <c r="E20" t="str">
        <f>"200172"</f>
        <v>200172</v>
      </c>
      <c r="F20" t="str">
        <f>"פרופ' יונת שמר - בי""ח סורוקה"</f>
        <v>פרופ' יונת שמר - בי"ח סורוקה</v>
      </c>
      <c r="G20" t="str">
        <f>"22100"</f>
        <v>22100</v>
      </c>
      <c r="H20" t="str">
        <f>"שרותי בריאות כללית-מנהל אספקה"</f>
        <v>שרותי בריאות כללית-מנהל אספקה</v>
      </c>
      <c r="I20" t="str">
        <f>"27027"</f>
        <v>27027</v>
      </c>
      <c r="J20" t="str">
        <f>"שראל-פתרונות לוגיסטיים ומוצרים"</f>
        <v>שראל-פתרונות לוגיסטיים ומוצרים</v>
      </c>
      <c r="L20" t="str">
        <f>"N"</f>
        <v>N</v>
      </c>
      <c r="M20" t="str">
        <f>"IMPORT"</f>
        <v>IMPORT</v>
      </c>
      <c r="N20" t="str">
        <f>"SO20013234"</f>
        <v>SO20013234</v>
      </c>
      <c r="P20">
        <v>700</v>
      </c>
      <c r="Q20">
        <v>-2</v>
      </c>
      <c r="R20" s="2">
        <v>-4733.9880000000003</v>
      </c>
      <c r="S20" s="2">
        <v>-1296.2727272699999</v>
      </c>
    </row>
    <row r="21" spans="1:19" x14ac:dyDescent="0.2">
      <c r="A21" s="1">
        <v>43905</v>
      </c>
      <c r="B21" t="str">
        <f>"SH20015416"</f>
        <v>SH20015416</v>
      </c>
      <c r="C21" t="str">
        <f>"IM235903"</f>
        <v>IM235903</v>
      </c>
      <c r="D21" t="str">
        <f>"STANDARD VOLUME TIPS(300UL)- 235903"</f>
        <v>STANDARD VOLUME TIPS(300UL)- 235903</v>
      </c>
      <c r="E21" t="str">
        <f>"201284"</f>
        <v>201284</v>
      </c>
      <c r="F21" t="str">
        <f>"ד""ר מירב שטראוס - בי""ח העמק"</f>
        <v>ד"ר מירב שטראוס - בי"ח העמק</v>
      </c>
      <c r="G21" t="str">
        <f>"22100"</f>
        <v>22100</v>
      </c>
      <c r="H21" t="str">
        <f>"שרותי בריאות כללית-מנהל אספקה"</f>
        <v>שרותי בריאות כללית-מנהל אספקה</v>
      </c>
      <c r="I21" t="str">
        <f>"22100"</f>
        <v>22100</v>
      </c>
      <c r="J21" t="str">
        <f>"שרותי בריאות כללית-מנהל אספקה"</f>
        <v>שרותי בריאות כללית-מנהל אספקה</v>
      </c>
      <c r="L21" t="str">
        <f>"N"</f>
        <v>N</v>
      </c>
      <c r="M21" t="str">
        <f>"IMPORT"</f>
        <v>IMPORT</v>
      </c>
      <c r="N21" t="str">
        <f>"SO20013959"</f>
        <v>SO20013959</v>
      </c>
      <c r="P21">
        <v>921.6</v>
      </c>
      <c r="Q21">
        <v>1</v>
      </c>
      <c r="R21" s="2">
        <v>3365.6831999999999</v>
      </c>
      <c r="S21">
        <v>921.6</v>
      </c>
    </row>
    <row r="22" spans="1:19" x14ac:dyDescent="0.2">
      <c r="A22" s="1">
        <v>43905</v>
      </c>
      <c r="B22" t="str">
        <f>"SH20015416"</f>
        <v>SH20015416</v>
      </c>
      <c r="C22" t="str">
        <f>"IM235905"</f>
        <v>IM235905</v>
      </c>
      <c r="D22" t="str">
        <f>"HIGH VOLUME TIPS(1000UL)- 235905"</f>
        <v>HIGH VOLUME TIPS(1000UL)- 235905</v>
      </c>
      <c r="E22" t="str">
        <f>"201284"</f>
        <v>201284</v>
      </c>
      <c r="F22" t="str">
        <f>"ד""ר מירב שטראוס - בי""ח העמק"</f>
        <v>ד"ר מירב שטראוס - בי"ח העמק</v>
      </c>
      <c r="G22" t="str">
        <f>"22100"</f>
        <v>22100</v>
      </c>
      <c r="H22" t="str">
        <f>"שרותי בריאות כללית-מנהל אספקה"</f>
        <v>שרותי בריאות כללית-מנהל אספקה</v>
      </c>
      <c r="I22" t="str">
        <f>"22100"</f>
        <v>22100</v>
      </c>
      <c r="J22" t="str">
        <f>"שרותי בריאות כללית-מנהל אספקה"</f>
        <v>שרותי בריאות כללית-מנהל אספקה</v>
      </c>
      <c r="L22" t="str">
        <f>"N"</f>
        <v>N</v>
      </c>
      <c r="M22" t="str">
        <f>"IMPORT"</f>
        <v>IMPORT</v>
      </c>
      <c r="N22" t="str">
        <f>"SO20013959"</f>
        <v>SO20013959</v>
      </c>
      <c r="P22">
        <v>594</v>
      </c>
      <c r="Q22">
        <v>2</v>
      </c>
      <c r="R22" s="2">
        <v>4338.576</v>
      </c>
      <c r="S22" s="2">
        <v>1188</v>
      </c>
    </row>
    <row r="23" spans="1:19" x14ac:dyDescent="0.2">
      <c r="A23" s="1">
        <v>43905</v>
      </c>
      <c r="B23" t="str">
        <f>"SH20015416"</f>
        <v>SH20015416</v>
      </c>
      <c r="C23" t="str">
        <f>"IM7443004U"</f>
        <v>IM7443004U</v>
      </c>
      <c r="D23" t="str">
        <f>"STARMAG 96*4 UNIVERSAL -744300.4.UC384"</f>
        <v>STARMAG 96*4 UNIVERSAL -744300.4.UC384</v>
      </c>
      <c r="E23" t="str">
        <f>"201284"</f>
        <v>201284</v>
      </c>
      <c r="F23" t="str">
        <f>"ד""ר מירב שטראוס - בי""ח העמק"</f>
        <v>ד"ר מירב שטראוס - בי"ח העמק</v>
      </c>
      <c r="G23" t="str">
        <f>"22100"</f>
        <v>22100</v>
      </c>
      <c r="H23" t="str">
        <f>"שרותי בריאות כללית-מנהל אספקה"</f>
        <v>שרותי בריאות כללית-מנהל אספקה</v>
      </c>
      <c r="I23" t="str">
        <f>"22100"</f>
        <v>22100</v>
      </c>
      <c r="J23" t="str">
        <f>"שרותי בריאות כללית-מנהל אספקה"</f>
        <v>שרותי בריאות כללית-מנהל אספקה</v>
      </c>
      <c r="L23" t="str">
        <f>"N"</f>
        <v>N</v>
      </c>
      <c r="M23" t="str">
        <f>"IMPORT"</f>
        <v>IMPORT</v>
      </c>
      <c r="N23" t="str">
        <f>"SO20013959"</f>
        <v>SO20013959</v>
      </c>
      <c r="P23" s="2">
        <v>1006.8</v>
      </c>
      <c r="Q23">
        <v>2</v>
      </c>
      <c r="R23" s="2">
        <v>7353.6671999999999</v>
      </c>
      <c r="S23" s="2">
        <v>2013.6</v>
      </c>
    </row>
    <row r="24" spans="1:19" x14ac:dyDescent="0.2">
      <c r="A24" s="1">
        <v>43905</v>
      </c>
      <c r="B24" t="str">
        <f>"SH20015418"</f>
        <v>SH20015418</v>
      </c>
      <c r="C24" t="str">
        <f>"IMRP10243X"</f>
        <v>IMRP10243X</v>
      </c>
      <c r="D24" t="str">
        <f>"Allplex 2019-nCoV 100T - RP10243X"</f>
        <v>Allplex 2019-nCoV 100T - RP10243X</v>
      </c>
      <c r="E24" t="str">
        <f>"221213"</f>
        <v>221213</v>
      </c>
      <c r="F24" t="str">
        <f>"בי""ח אסותא אשדוד בע""מ - מעבדה"</f>
        <v>בי"ח אסותא אשדוד בע"מ - מעבדה</v>
      </c>
      <c r="G24" t="str">
        <f>"20448"</f>
        <v>20448</v>
      </c>
      <c r="H24" t="str">
        <f>"בי""ח אסותא אשדוד בע""מ"</f>
        <v>בי"ח אסותא אשדוד בע"מ</v>
      </c>
      <c r="I24" t="str">
        <f>"20448"</f>
        <v>20448</v>
      </c>
      <c r="J24" t="str">
        <f>"בי""ח אסותא אשדוד בע""מ"</f>
        <v>בי"ח אסותא אשדוד בע"מ</v>
      </c>
      <c r="L24" t="str">
        <f>"N"</f>
        <v>N</v>
      </c>
      <c r="M24" t="str">
        <f>"IMPORT"</f>
        <v>IMPORT</v>
      </c>
      <c r="N24" t="str">
        <f>"SO20013990"</f>
        <v>SO20013990</v>
      </c>
      <c r="P24">
        <v>700</v>
      </c>
      <c r="Q24">
        <v>1</v>
      </c>
      <c r="R24" s="2">
        <v>2479.7080000000001</v>
      </c>
      <c r="S24">
        <v>679</v>
      </c>
    </row>
    <row r="25" spans="1:19" x14ac:dyDescent="0.2">
      <c r="A25" s="1">
        <v>43905</v>
      </c>
      <c r="B25" t="str">
        <f>"SH20015420"</f>
        <v>SH20015420</v>
      </c>
      <c r="C25" t="str">
        <f>"IMRP10243X"</f>
        <v>IMRP10243X</v>
      </c>
      <c r="D25" t="str">
        <f>"Allplex 2019-nCoV 100T - RP10243X"</f>
        <v>Allplex 2019-nCoV 100T - RP10243X</v>
      </c>
      <c r="E25" t="str">
        <f>"200172"</f>
        <v>200172</v>
      </c>
      <c r="F25" t="str">
        <f>"פרופ' יונת שמר - בי""ח סורוקה"</f>
        <v>פרופ' יונת שמר - בי"ח סורוקה</v>
      </c>
      <c r="G25" t="str">
        <f>"22100"</f>
        <v>22100</v>
      </c>
      <c r="H25" t="str">
        <f>"שרותי בריאות כללית-מנהל אספקה"</f>
        <v>שרותי בריאות כללית-מנהל אספקה</v>
      </c>
      <c r="I25" t="str">
        <f>"27027"</f>
        <v>27027</v>
      </c>
      <c r="J25" t="str">
        <f>"שראל-פתרונות לוגיסטיים ומוצרים"</f>
        <v>שראל-פתרונות לוגיסטיים ומוצרים</v>
      </c>
      <c r="L25" t="str">
        <f>"Y"</f>
        <v>Y</v>
      </c>
      <c r="M25" t="str">
        <f>"IMPORT"</f>
        <v>IMPORT</v>
      </c>
      <c r="N25" t="str">
        <f>"SO20013961"</f>
        <v>SO20013961</v>
      </c>
      <c r="P25">
        <v>679</v>
      </c>
      <c r="Q25">
        <v>20</v>
      </c>
      <c r="R25" s="2">
        <v>49594.16</v>
      </c>
      <c r="S25" s="2">
        <v>13580</v>
      </c>
    </row>
    <row r="26" spans="1:19" x14ac:dyDescent="0.2">
      <c r="A26" s="1">
        <v>43905</v>
      </c>
      <c r="B26" t="str">
        <f>"SH20015423"</f>
        <v>SH20015423</v>
      </c>
      <c r="C26" t="str">
        <f>"IMRP10243X"</f>
        <v>IMRP10243X</v>
      </c>
      <c r="D26" t="str">
        <f>"Allplex 2019-nCoV 100T - RP10243X"</f>
        <v>Allplex 2019-nCoV 100T - RP10243X</v>
      </c>
      <c r="E26" t="str">
        <f>"200893"</f>
        <v>200893</v>
      </c>
      <c r="F26" t="str">
        <f>"ד""ר שרון עמית - בי""ח תה""ש"</f>
        <v>ד"ר שרון עמית - בי"ח תה"ש</v>
      </c>
      <c r="G26" t="str">
        <f>"21133"</f>
        <v>21133</v>
      </c>
      <c r="H26" t="str">
        <f>"מרכז רפואי שיבא- תל השומר רכש ריאגנטים"</f>
        <v>מרכז רפואי שיבא- תל השומר רכש ריאגנטים</v>
      </c>
      <c r="I26" t="str">
        <f>"21133"</f>
        <v>21133</v>
      </c>
      <c r="J26" t="str">
        <f>"מרכז רפואי שיבא- תל השומר רכש ריאגנטים"</f>
        <v>מרכז רפואי שיבא- תל השומר רכש ריאגנטים</v>
      </c>
      <c r="L26" t="str">
        <f>"Y"</f>
        <v>Y</v>
      </c>
      <c r="M26" t="str">
        <f>"IMPORT"</f>
        <v>IMPORT</v>
      </c>
      <c r="N26" t="str">
        <f>"SO20013962"</f>
        <v>SO20013962</v>
      </c>
      <c r="P26">
        <v>679</v>
      </c>
      <c r="Q26">
        <v>17</v>
      </c>
      <c r="R26" s="2">
        <v>42155.036</v>
      </c>
      <c r="S26" s="2">
        <v>11543</v>
      </c>
    </row>
    <row r="27" spans="1:19" x14ac:dyDescent="0.2">
      <c r="A27" s="1">
        <v>43905</v>
      </c>
      <c r="B27" t="str">
        <f>"SH20015429"</f>
        <v>SH20015429</v>
      </c>
      <c r="C27" t="str">
        <f>"IMRP10243X"</f>
        <v>IMRP10243X</v>
      </c>
      <c r="D27" t="str">
        <f>"Allplex 2019-nCoV 100T - RP10243X"</f>
        <v>Allplex 2019-nCoV 100T - RP10243X</v>
      </c>
      <c r="E27" t="str">
        <f>"200893"</f>
        <v>200893</v>
      </c>
      <c r="F27" t="str">
        <f>"ד""ר שרון עמית - בי""ח תה""ש"</f>
        <v>ד"ר שרון עמית - בי"ח תה"ש</v>
      </c>
      <c r="G27" t="str">
        <f>"21133"</f>
        <v>21133</v>
      </c>
      <c r="H27" t="str">
        <f>"מרכז רפואי שיבא- תל השומר רכש ריאגנטים"</f>
        <v>מרכז רפואי שיבא- תל השומר רכש ריאגנטים</v>
      </c>
      <c r="I27" t="str">
        <f>"21133"</f>
        <v>21133</v>
      </c>
      <c r="J27" t="str">
        <f>"מרכז רפואי שיבא- תל השומר רכש ריאגנטים"</f>
        <v>מרכז רפואי שיבא- תל השומר רכש ריאגנטים</v>
      </c>
      <c r="L27" t="str">
        <f>"Y"</f>
        <v>Y</v>
      </c>
      <c r="M27" t="str">
        <f>"IMPORT"</f>
        <v>IMPORT</v>
      </c>
      <c r="N27" t="str">
        <f>"SO20013989"</f>
        <v>SO20013989</v>
      </c>
      <c r="P27">
        <v>700</v>
      </c>
      <c r="Q27">
        <v>25</v>
      </c>
      <c r="R27" s="2">
        <v>61992.7</v>
      </c>
      <c r="S27" s="2">
        <v>16975</v>
      </c>
    </row>
    <row r="28" spans="1:19" x14ac:dyDescent="0.2">
      <c r="A28" s="1">
        <v>43905</v>
      </c>
      <c r="B28" t="str">
        <f>"SH20015430"</f>
        <v>SH20015430</v>
      </c>
      <c r="C28" t="str">
        <f>"IMRP10243X"</f>
        <v>IMRP10243X</v>
      </c>
      <c r="D28" t="str">
        <f>"Allplex 2019-nCoV 100T - RP10243X"</f>
        <v>Allplex 2019-nCoV 100T - RP10243X</v>
      </c>
      <c r="E28" t="str">
        <f>"200737"</f>
        <v>200737</v>
      </c>
      <c r="F28" t="str">
        <f>"ד""ר חיים בן צבי - בי""ח בלינסון"</f>
        <v>ד"ר חיים בן צבי - בי"ח בלינסון</v>
      </c>
      <c r="G28" t="str">
        <f>"22100"</f>
        <v>22100</v>
      </c>
      <c r="H28" t="str">
        <f>"שרותי בריאות כללית-מנהל אספקה"</f>
        <v>שרותי בריאות כללית-מנהל אספקה</v>
      </c>
      <c r="I28" t="str">
        <f>"22100"</f>
        <v>22100</v>
      </c>
      <c r="J28" t="str">
        <f>"שרותי בריאות כללית-מנהל אספקה"</f>
        <v>שרותי בריאות כללית-מנהל אספקה</v>
      </c>
      <c r="L28" t="str">
        <f>"Y"</f>
        <v>Y</v>
      </c>
      <c r="M28" t="str">
        <f>"IMPORT"</f>
        <v>IMPORT</v>
      </c>
      <c r="N28" t="str">
        <f>"SO20013999"</f>
        <v>SO20013999</v>
      </c>
      <c r="P28">
        <v>700</v>
      </c>
      <c r="Q28">
        <v>1</v>
      </c>
      <c r="R28" s="2">
        <v>2556.4</v>
      </c>
      <c r="S28">
        <v>700</v>
      </c>
    </row>
    <row r="29" spans="1:19" x14ac:dyDescent="0.2">
      <c r="A29" s="1">
        <v>43905</v>
      </c>
      <c r="B29" t="str">
        <f>"SH20015437"</f>
        <v>SH20015437</v>
      </c>
      <c r="C29" t="str">
        <f>"IMRP10243X"</f>
        <v>IMRP10243X</v>
      </c>
      <c r="D29" t="str">
        <f>"Allplex 2019-nCoV 100T - RP10243X"</f>
        <v>Allplex 2019-nCoV 100T - RP10243X</v>
      </c>
      <c r="E29" t="str">
        <f>"200869"</f>
        <v>200869</v>
      </c>
      <c r="F29" t="str">
        <f>"ד""ר פנינית שקד - משען בקטר' כרמל"</f>
        <v>ד"ר פנינית שקד - משען בקטר' כרמל</v>
      </c>
      <c r="G29" t="str">
        <f>"22100"</f>
        <v>22100</v>
      </c>
      <c r="H29" t="str">
        <f>"שרותי בריאות כללית-מנהל אספקה"</f>
        <v>שרותי בריאות כללית-מנהל אספקה</v>
      </c>
      <c r="I29" t="str">
        <f>"22100"</f>
        <v>22100</v>
      </c>
      <c r="J29" t="str">
        <f>"שרותי בריאות כללית-מנהל אספקה"</f>
        <v>שרותי בריאות כללית-מנהל אספקה</v>
      </c>
      <c r="L29" t="str">
        <f>"N"</f>
        <v>N</v>
      </c>
      <c r="M29" t="str">
        <f>"IMPORT"</f>
        <v>IMPORT</v>
      </c>
      <c r="N29" t="str">
        <f>"SO20014051"</f>
        <v>SO20014051</v>
      </c>
      <c r="P29">
        <v>700</v>
      </c>
      <c r="Q29">
        <v>2</v>
      </c>
      <c r="R29" s="2">
        <v>5112.8</v>
      </c>
      <c r="S29" s="2">
        <v>1400</v>
      </c>
    </row>
    <row r="30" spans="1:19" x14ac:dyDescent="0.2">
      <c r="A30" s="1">
        <v>43905</v>
      </c>
      <c r="B30" t="str">
        <f>"SH20015535"</f>
        <v>SH20015535</v>
      </c>
      <c r="C30" t="str">
        <f>"IMRP10243X"</f>
        <v>IMRP10243X</v>
      </c>
      <c r="D30" t="str">
        <f>"Allplex 2019-nCoV 100T - RP10243X"</f>
        <v>Allplex 2019-nCoV 100T - RP10243X</v>
      </c>
      <c r="E30" t="str">
        <f>"200846"</f>
        <v>200846</v>
      </c>
      <c r="F30" t="str">
        <f>"ד""ר אורנה שוורץ הררי - בי""ח וולפסון"</f>
        <v>ד"ר אורנה שוורץ הררי - בי"ח וולפסון</v>
      </c>
      <c r="G30" t="str">
        <f>"21110"</f>
        <v>21110</v>
      </c>
      <c r="H30" t="str">
        <f>"מרכז רפואי וולפסון בחולון"</f>
        <v>מרכז רפואי וולפסון בחולון</v>
      </c>
      <c r="I30" t="str">
        <f>"27027"</f>
        <v>27027</v>
      </c>
      <c r="J30" t="str">
        <f>"שראל-פתרונות לוגיסטיים ומוצרים"</f>
        <v>שראל-פתרונות לוגיסטיים ומוצרים</v>
      </c>
      <c r="L30" t="str">
        <f>"Y"</f>
        <v>Y</v>
      </c>
      <c r="M30" t="str">
        <f>"IMPORT"</f>
        <v>IMPORT</v>
      </c>
      <c r="N30" t="str">
        <f>"SO20014001"</f>
        <v>SO20014001</v>
      </c>
      <c r="P30">
        <v>679</v>
      </c>
      <c r="Q30">
        <v>1</v>
      </c>
      <c r="R30" s="2">
        <v>2479.7080000000001</v>
      </c>
      <c r="S30">
        <v>679</v>
      </c>
    </row>
    <row r="31" spans="1:19" x14ac:dyDescent="0.2">
      <c r="A31" s="1">
        <v>43905</v>
      </c>
      <c r="B31" t="str">
        <f>"SH20015558"</f>
        <v>SH20015558</v>
      </c>
      <c r="C31" t="str">
        <f>"IMRP10243X"</f>
        <v>IMRP10243X</v>
      </c>
      <c r="D31" t="str">
        <f>"Allplex 2019-nCoV 100T - RP10243X"</f>
        <v>Allplex 2019-nCoV 100T - RP10243X</v>
      </c>
      <c r="E31" t="str">
        <f>"200846"</f>
        <v>200846</v>
      </c>
      <c r="F31" t="str">
        <f>"ד""ר אורנה שוורץ הררי - בי""ח וולפסון"</f>
        <v>ד"ר אורנה שוורץ הררי - בי"ח וולפסון</v>
      </c>
      <c r="G31" t="str">
        <f>"21110"</f>
        <v>21110</v>
      </c>
      <c r="H31" t="str">
        <f>"מרכז רפואי וולפסון בחולון"</f>
        <v>מרכז רפואי וולפסון בחולון</v>
      </c>
      <c r="I31" t="str">
        <f>"27027"</f>
        <v>27027</v>
      </c>
      <c r="J31" t="str">
        <f>"שראל-פתרונות לוגיסטיים ומוצרים"</f>
        <v>שראל-פתרונות לוגיסטיים ומוצרים</v>
      </c>
      <c r="L31" t="str">
        <f>"Y"</f>
        <v>Y</v>
      </c>
      <c r="M31" t="str">
        <f>"IMPORT"</f>
        <v>IMPORT</v>
      </c>
      <c r="N31" t="str">
        <f>"SO20014141"</f>
        <v>SO20014141</v>
      </c>
      <c r="P31">
        <v>679</v>
      </c>
      <c r="Q31">
        <v>1</v>
      </c>
      <c r="R31" s="2">
        <v>2479.7080000000001</v>
      </c>
      <c r="S31">
        <v>679</v>
      </c>
    </row>
    <row r="32" spans="1:19" x14ac:dyDescent="0.2">
      <c r="A32" s="1">
        <v>43905</v>
      </c>
      <c r="B32" t="str">
        <f>"SH20015560"</f>
        <v>SH20015560</v>
      </c>
      <c r="C32" t="str">
        <f>"IMHSP9655"</f>
        <v>IMHSP9655</v>
      </c>
      <c r="D32" t="str">
        <f>"PLATE WELL 96(WHITE)50EA/BOX-HSP9655"</f>
        <v>PLATE WELL 96(WHITE)50EA/BOX-HSP9655</v>
      </c>
      <c r="E32" t="str">
        <f>"201619"</f>
        <v>201619</v>
      </c>
      <c r="F32" t="str">
        <f>"פרופ' דנה וולף-מחקר הדסה עין כרם"</f>
        <v>פרופ' דנה וולף-מחקר הדסה עין כרם</v>
      </c>
      <c r="G32" t="str">
        <f>"21108"</f>
        <v>21108</v>
      </c>
      <c r="H32" t="str">
        <f>"הסתדרות מדיצנית הדסה"</f>
        <v>הסתדרות מדיצנית הדסה</v>
      </c>
      <c r="I32" t="str">
        <f>"21108"</f>
        <v>21108</v>
      </c>
      <c r="J32" t="str">
        <f>"הסתדרות מדיצנית הדסה"</f>
        <v>הסתדרות מדיצנית הדסה</v>
      </c>
      <c r="L32" t="str">
        <f>"Y"</f>
        <v>Y</v>
      </c>
      <c r="M32" t="str">
        <f>"IMPORT"</f>
        <v>IMPORT</v>
      </c>
      <c r="N32" t="str">
        <f>"SO20014142"</f>
        <v>SO20014142</v>
      </c>
      <c r="P32">
        <v>357.01</v>
      </c>
      <c r="Q32">
        <v>1</v>
      </c>
      <c r="R32" s="2">
        <v>1303.80052</v>
      </c>
      <c r="S32">
        <v>357.01</v>
      </c>
    </row>
    <row r="33" spans="1:19" x14ac:dyDescent="0.2">
      <c r="A33" s="1">
        <v>43905</v>
      </c>
      <c r="B33" t="str">
        <f>"SH20015560"</f>
        <v>SH20015560</v>
      </c>
      <c r="C33" t="str">
        <f>"IMRP10243X"</f>
        <v>IMRP10243X</v>
      </c>
      <c r="D33" t="str">
        <f>"Allplex 2019-nCoV 100T - RP10243X"</f>
        <v>Allplex 2019-nCoV 100T - RP10243X</v>
      </c>
      <c r="E33" t="str">
        <f>"201619"</f>
        <v>201619</v>
      </c>
      <c r="F33" t="str">
        <f>"פרופ' דנה וולף-מחקר הדסה עין כרם"</f>
        <v>פרופ' דנה וולף-מחקר הדסה עין כרם</v>
      </c>
      <c r="G33" t="str">
        <f>"21108"</f>
        <v>21108</v>
      </c>
      <c r="H33" t="str">
        <f>"הסתדרות מדיצנית הדסה"</f>
        <v>הסתדרות מדיצנית הדסה</v>
      </c>
      <c r="I33" t="str">
        <f>"21108"</f>
        <v>21108</v>
      </c>
      <c r="J33" t="str">
        <f>"הסתדרות מדיצנית הדסה"</f>
        <v>הסתדרות מדיצנית הדסה</v>
      </c>
      <c r="L33" t="str">
        <f>"Y"</f>
        <v>Y</v>
      </c>
      <c r="M33" t="str">
        <f>"IMPORT"</f>
        <v>IMPORT</v>
      </c>
      <c r="N33" t="str">
        <f>"SO20014142"</f>
        <v>SO20014142</v>
      </c>
      <c r="P33">
        <v>679</v>
      </c>
      <c r="Q33">
        <v>20</v>
      </c>
      <c r="R33" s="2">
        <v>49594.16</v>
      </c>
      <c r="S33" s="2">
        <v>13580</v>
      </c>
    </row>
    <row r="34" spans="1:19" x14ac:dyDescent="0.2">
      <c r="A34" s="1">
        <v>43905</v>
      </c>
      <c r="B34" t="str">
        <f>"SH20015560"</f>
        <v>SH20015560</v>
      </c>
      <c r="C34" t="str">
        <f>"IMTCS0803"</f>
        <v>IMTCS0803</v>
      </c>
      <c r="D34" t="str">
        <f>"OPTICAL FLAT CAPS FOR 0.2ML 120X8"</f>
        <v>OPTICAL FLAT CAPS FOR 0.2ML 120X8</v>
      </c>
      <c r="E34" t="str">
        <f>"201619"</f>
        <v>201619</v>
      </c>
      <c r="F34" t="str">
        <f>"פרופ' דנה וולף-מחקר הדסה עין כרם"</f>
        <v>פרופ' דנה וולף-מחקר הדסה עין כרם</v>
      </c>
      <c r="G34" t="str">
        <f>"21108"</f>
        <v>21108</v>
      </c>
      <c r="H34" t="str">
        <f>"הסתדרות מדיצנית הדסה"</f>
        <v>הסתדרות מדיצנית הדסה</v>
      </c>
      <c r="I34" t="str">
        <f>"21108"</f>
        <v>21108</v>
      </c>
      <c r="J34" t="str">
        <f>"הסתדרות מדיצנית הדסה"</f>
        <v>הסתדרות מדיצנית הדסה</v>
      </c>
      <c r="L34" t="str">
        <f>"Y"</f>
        <v>Y</v>
      </c>
      <c r="M34" t="str">
        <f>"IMPORT"</f>
        <v>IMPORT</v>
      </c>
      <c r="N34" t="str">
        <f>"SO20014142"</f>
        <v>SO20014142</v>
      </c>
      <c r="P34">
        <v>96.03</v>
      </c>
      <c r="Q34">
        <v>2</v>
      </c>
      <c r="R34">
        <v>701.40311999999994</v>
      </c>
      <c r="S34">
        <v>192.06</v>
      </c>
    </row>
    <row r="35" spans="1:19" x14ac:dyDescent="0.2">
      <c r="A35" s="1">
        <v>43905</v>
      </c>
      <c r="B35" t="str">
        <f>"SH20015571"</f>
        <v>SH20015571</v>
      </c>
      <c r="C35" t="str">
        <f>"IM7443004U"</f>
        <v>IM7443004U</v>
      </c>
      <c r="D35" t="str">
        <f>"STARMAG 96*4 UNIVERSAL -744300.4.UC384"</f>
        <v>STARMAG 96*4 UNIVERSAL -744300.4.UC384</v>
      </c>
      <c r="E35" t="str">
        <f>"201284"</f>
        <v>201284</v>
      </c>
      <c r="F35" t="str">
        <f>"ד""ר מירב שטראוס - בי""ח העמק"</f>
        <v>ד"ר מירב שטראוס - בי"ח העמק</v>
      </c>
      <c r="G35" t="str">
        <f>"22100"</f>
        <v>22100</v>
      </c>
      <c r="H35" t="str">
        <f>"שרותי בריאות כללית-מנהל אספקה"</f>
        <v>שרותי בריאות כללית-מנהל אספקה</v>
      </c>
      <c r="I35" t="str">
        <f>"22100"</f>
        <v>22100</v>
      </c>
      <c r="J35" t="str">
        <f>"שרותי בריאות כללית-מנהל אספקה"</f>
        <v>שרותי בריאות כללית-מנהל אספקה</v>
      </c>
      <c r="L35" t="str">
        <f>"N"</f>
        <v>N</v>
      </c>
      <c r="M35" t="str">
        <f>"IMPORT"</f>
        <v>IMPORT</v>
      </c>
      <c r="N35" t="str">
        <f>"SO20014149"</f>
        <v>SO20014149</v>
      </c>
      <c r="P35" s="2">
        <v>1006.8</v>
      </c>
      <c r="Q35">
        <v>6</v>
      </c>
      <c r="R35" s="2">
        <v>22061.0016</v>
      </c>
      <c r="S35" s="2">
        <v>6040.8</v>
      </c>
    </row>
    <row r="36" spans="1:19" x14ac:dyDescent="0.2">
      <c r="A36" s="1">
        <v>43905</v>
      </c>
      <c r="B36" t="str">
        <f>"SH20015588"</f>
        <v>SH20015588</v>
      </c>
      <c r="C36" t="str">
        <f>"IMRP10243X"</f>
        <v>IMRP10243X</v>
      </c>
      <c r="D36" t="str">
        <f>"Allplex 2019-nCoV 100T - RP10243X"</f>
        <v>Allplex 2019-nCoV 100T - RP10243X</v>
      </c>
      <c r="E36" t="str">
        <f>"201330"</f>
        <v>201330</v>
      </c>
      <c r="F36" t="str">
        <f>"בי""ח פוריה - אבי פרץ"</f>
        <v>בי"ח פוריה - אבי פרץ</v>
      </c>
      <c r="G36" t="str">
        <f>"27027"</f>
        <v>27027</v>
      </c>
      <c r="H36" t="str">
        <f>"שראל-פתרונות לוגיסטיים ומוצרים"</f>
        <v>שראל-פתרונות לוגיסטיים ומוצרים</v>
      </c>
      <c r="I36" t="str">
        <f>"27027"</f>
        <v>27027</v>
      </c>
      <c r="J36" t="str">
        <f>"שראל-פתרונות לוגיסטיים ומוצרים"</f>
        <v>שראל-פתרונות לוגיסטיים ומוצרים</v>
      </c>
      <c r="L36" t="str">
        <f>"Y"</f>
        <v>Y</v>
      </c>
      <c r="M36" t="str">
        <f>"IMPORT"</f>
        <v>IMPORT</v>
      </c>
      <c r="N36" t="str">
        <f>"SO20014161"</f>
        <v>SO20014161</v>
      </c>
      <c r="P36">
        <v>700</v>
      </c>
      <c r="Q36">
        <v>1</v>
      </c>
      <c r="R36" s="2">
        <v>2479.7080000000001</v>
      </c>
      <c r="S36">
        <v>679</v>
      </c>
    </row>
    <row r="37" spans="1:19" x14ac:dyDescent="0.2">
      <c r="A37" s="1">
        <v>43905</v>
      </c>
      <c r="B37" t="str">
        <f>"SH20015591"</f>
        <v>SH20015591</v>
      </c>
      <c r="C37" t="str">
        <f>"IMRP10243X"</f>
        <v>IMRP10243X</v>
      </c>
      <c r="D37" t="str">
        <f>"Allplex 2019-nCoV 100T - RP10243X"</f>
        <v>Allplex 2019-nCoV 100T - RP10243X</v>
      </c>
      <c r="E37" t="str">
        <f>"201284"</f>
        <v>201284</v>
      </c>
      <c r="F37" t="str">
        <f>"ד""ר מירב שטראוס - בי""ח העמק"</f>
        <v>ד"ר מירב שטראוס - בי"ח העמק</v>
      </c>
      <c r="G37" t="str">
        <f>"22100"</f>
        <v>22100</v>
      </c>
      <c r="H37" t="str">
        <f>"שרותי בריאות כללית-מנהל אספקה"</f>
        <v>שרותי בריאות כללית-מנהל אספקה</v>
      </c>
      <c r="I37" t="str">
        <f>"22100"</f>
        <v>22100</v>
      </c>
      <c r="J37" t="str">
        <f>"שרותי בריאות כללית-מנהל אספקה"</f>
        <v>שרותי בריאות כללית-מנהל אספקה</v>
      </c>
      <c r="L37" t="str">
        <f>"N"</f>
        <v>N</v>
      </c>
      <c r="M37" t="str">
        <f>"IMPORT"</f>
        <v>IMPORT</v>
      </c>
      <c r="N37" t="str">
        <f>"SO20014160"</f>
        <v>SO20014160</v>
      </c>
      <c r="P37">
        <v>700</v>
      </c>
      <c r="Q37">
        <v>1</v>
      </c>
      <c r="R37" s="2">
        <v>2556.4</v>
      </c>
      <c r="S37">
        <v>700</v>
      </c>
    </row>
    <row r="38" spans="1:19" x14ac:dyDescent="0.2">
      <c r="A38" s="1">
        <v>43905</v>
      </c>
      <c r="B38" t="str">
        <f>"SH20015595"</f>
        <v>SH20015595</v>
      </c>
      <c r="C38" t="str">
        <f>"IM235903"</f>
        <v>IM235903</v>
      </c>
      <c r="D38" t="str">
        <f>"STANDARD VOLUME TIPS(300UL)- 235903"</f>
        <v>STANDARD VOLUME TIPS(300UL)- 235903</v>
      </c>
      <c r="E38" t="str">
        <f>"200172"</f>
        <v>200172</v>
      </c>
      <c r="F38" t="str">
        <f>"פרופ' יונת שמר - בי""ח סורוקה"</f>
        <v>פרופ' יונת שמר - בי"ח סורוקה</v>
      </c>
      <c r="G38" t="str">
        <f>"22100"</f>
        <v>22100</v>
      </c>
      <c r="H38" t="str">
        <f>"שרותי בריאות כללית-מנהל אספקה"</f>
        <v>שרותי בריאות כללית-מנהל אספקה</v>
      </c>
      <c r="I38" t="str">
        <f>"27027"</f>
        <v>27027</v>
      </c>
      <c r="J38" t="str">
        <f>"שראל-פתרונות לוגיסטיים ומוצרים"</f>
        <v>שראל-פתרונות לוגיסטיים ומוצרים</v>
      </c>
      <c r="L38" t="str">
        <f>"Y"</f>
        <v>Y</v>
      </c>
      <c r="M38" t="str">
        <f>"IMPORT"</f>
        <v>IMPORT</v>
      </c>
      <c r="N38" t="str">
        <f>"SO20014165"</f>
        <v>SO20014165</v>
      </c>
      <c r="P38" s="2">
        <v>1100.95</v>
      </c>
      <c r="Q38">
        <v>2</v>
      </c>
      <c r="R38" s="2">
        <v>8041.3388000000004</v>
      </c>
      <c r="S38" s="2">
        <v>2201.9</v>
      </c>
    </row>
    <row r="39" spans="1:19" x14ac:dyDescent="0.2">
      <c r="A39" s="1">
        <v>43905</v>
      </c>
      <c r="B39" t="str">
        <f>"SH20015595"</f>
        <v>SH20015595</v>
      </c>
      <c r="C39" t="str">
        <f>"IM235905"</f>
        <v>IM235905</v>
      </c>
      <c r="D39" t="str">
        <f>"HIGH VOLUME TIPS(1000UL)- 235905"</f>
        <v>HIGH VOLUME TIPS(1000UL)- 235905</v>
      </c>
      <c r="E39" t="str">
        <f>"200172"</f>
        <v>200172</v>
      </c>
      <c r="F39" t="str">
        <f>"פרופ' יונת שמר - בי""ח סורוקה"</f>
        <v>פרופ' יונת שמר - בי"ח סורוקה</v>
      </c>
      <c r="G39" t="str">
        <f>"22100"</f>
        <v>22100</v>
      </c>
      <c r="H39" t="str">
        <f>"שרותי בריאות כללית-מנהל אספקה"</f>
        <v>שרותי בריאות כללית-מנהל אספקה</v>
      </c>
      <c r="I39" t="str">
        <f>"27027"</f>
        <v>27027</v>
      </c>
      <c r="J39" t="str">
        <f>"שראל-פתרונות לוגיסטיים ומוצרים"</f>
        <v>שראל-פתרונות לוגיסטיים ומוצרים</v>
      </c>
      <c r="L39" t="str">
        <f>"Y"</f>
        <v>Y</v>
      </c>
      <c r="M39" t="str">
        <f>"IMPORT"</f>
        <v>IMPORT</v>
      </c>
      <c r="N39" t="str">
        <f>"SO20014165"</f>
        <v>SO20014165</v>
      </c>
      <c r="P39">
        <v>700.34</v>
      </c>
      <c r="Q39">
        <v>4</v>
      </c>
      <c r="R39" s="2">
        <v>10230.566720000001</v>
      </c>
      <c r="S39" s="2">
        <v>2801.36</v>
      </c>
    </row>
    <row r="40" spans="1:19" x14ac:dyDescent="0.2">
      <c r="A40" s="1">
        <v>43905</v>
      </c>
      <c r="B40" t="str">
        <f>"SH20015595"</f>
        <v>SH20015595</v>
      </c>
      <c r="C40" t="str">
        <f>"IM7443004U"</f>
        <v>IM7443004U</v>
      </c>
      <c r="D40" t="str">
        <f>"STARMAG 96*4 UNIVERSAL -744300.4.UC384"</f>
        <v>STARMAG 96*4 UNIVERSAL -744300.4.UC384</v>
      </c>
      <c r="E40" t="str">
        <f>"200172"</f>
        <v>200172</v>
      </c>
      <c r="F40" t="str">
        <f>"פרופ' יונת שמר - בי""ח סורוקה"</f>
        <v>פרופ' יונת שמר - בי"ח סורוקה</v>
      </c>
      <c r="G40" t="str">
        <f>"22100"</f>
        <v>22100</v>
      </c>
      <c r="H40" t="str">
        <f>"שרותי בריאות כללית-מנהל אספקה"</f>
        <v>שרותי בריאות כללית-מנהל אספקה</v>
      </c>
      <c r="I40" t="str">
        <f>"27027"</f>
        <v>27027</v>
      </c>
      <c r="J40" t="str">
        <f>"שראל-פתרונות לוגיסטיים ומוצרים"</f>
        <v>שראל-פתרונות לוגיסטיים ומוצרים</v>
      </c>
      <c r="L40" t="str">
        <f>"Y"</f>
        <v>Y</v>
      </c>
      <c r="M40" t="str">
        <f>"IMPORT"</f>
        <v>IMPORT</v>
      </c>
      <c r="N40" t="str">
        <f>"SO20014165"</f>
        <v>SO20014165</v>
      </c>
      <c r="P40" s="2">
        <v>1045.6600000000001</v>
      </c>
      <c r="Q40">
        <v>5</v>
      </c>
      <c r="R40" s="2">
        <v>19093.7516</v>
      </c>
      <c r="S40" s="2">
        <v>5228.3</v>
      </c>
    </row>
    <row r="41" spans="1:19" x14ac:dyDescent="0.2">
      <c r="A41" s="1">
        <v>43905</v>
      </c>
      <c r="B41" t="str">
        <f>"SH20015617"</f>
        <v>SH20015617</v>
      </c>
      <c r="C41" t="str">
        <f>"TTS238"</f>
        <v>TTS238</v>
      </c>
      <c r="D41" t="str">
        <f>"מבחנה PP תחתית עגולה 75*12מ""מ לא סטרילי-BN059-P"</f>
        <v>מבחנה PP תחתית עגולה 75*12מ"מ לא סטרילי-BN059-P</v>
      </c>
      <c r="E41" t="str">
        <f>"200893"</f>
        <v>200893</v>
      </c>
      <c r="F41" t="str">
        <f>"ד""ר שרון עמית - בי""ח תה""ש"</f>
        <v>ד"ר שרון עמית - בי"ח תה"ש</v>
      </c>
      <c r="G41" t="str">
        <f>"21133"</f>
        <v>21133</v>
      </c>
      <c r="H41" t="str">
        <f>"מרכז רפואי שיבא- תל השומר רכש ריאגנטים"</f>
        <v>מרכז רפואי שיבא- תל השומר רכש ריאגנטים</v>
      </c>
      <c r="I41" t="str">
        <f>"21133"</f>
        <v>21133</v>
      </c>
      <c r="J41" t="str">
        <f>"מרכז רפואי שיבא- תל השומר רכש ריאגנטים"</f>
        <v>מרכז רפואי שיבא- תל השומר רכש ריאגנטים</v>
      </c>
      <c r="L41" t="str">
        <f>"N"</f>
        <v>N</v>
      </c>
      <c r="M41" t="str">
        <f>"UI"</f>
        <v>UI</v>
      </c>
      <c r="N41" t="str">
        <f>"SO20013840"</f>
        <v>SO20013840</v>
      </c>
      <c r="P41">
        <v>0.04</v>
      </c>
      <c r="Q41" s="2">
        <v>5000</v>
      </c>
      <c r="R41">
        <v>730.4</v>
      </c>
      <c r="S41">
        <v>200</v>
      </c>
    </row>
    <row r="42" spans="1:19" x14ac:dyDescent="0.2">
      <c r="A42" s="1">
        <v>43905</v>
      </c>
      <c r="B42" t="str">
        <f>"SH20015620"</f>
        <v>SH20015620</v>
      </c>
      <c r="C42" t="str">
        <f>"IMRP10243X"</f>
        <v>IMRP10243X</v>
      </c>
      <c r="D42" t="str">
        <f>"Allplex 2019-nCoV 100T - RP10243X"</f>
        <v>Allplex 2019-nCoV 100T - RP10243X</v>
      </c>
      <c r="E42" t="str">
        <f>"201201"</f>
        <v>201201</v>
      </c>
      <c r="F42" t="str">
        <f>"כללית נשר בקטריולוגית - חיפה"</f>
        <v>כללית נשר בקטריולוגית - חיפה</v>
      </c>
      <c r="G42" t="str">
        <f>"22100"</f>
        <v>22100</v>
      </c>
      <c r="H42" t="str">
        <f>"שרותי בריאות כללית-מנהל אספקה"</f>
        <v>שרותי בריאות כללית-מנהל אספקה</v>
      </c>
      <c r="I42" t="str">
        <f>"22100"</f>
        <v>22100</v>
      </c>
      <c r="J42" t="str">
        <f>"שרותי בריאות כללית-מנהל אספקה"</f>
        <v>שרותי בריאות כללית-מנהל אספקה</v>
      </c>
      <c r="L42" t="str">
        <f>"N"</f>
        <v>N</v>
      </c>
      <c r="M42" t="str">
        <f>"IMPORT"</f>
        <v>IMPORT</v>
      </c>
      <c r="N42" t="str">
        <f>"SO20014193"</f>
        <v>SO20014193</v>
      </c>
      <c r="P42">
        <v>700</v>
      </c>
      <c r="Q42">
        <v>2</v>
      </c>
      <c r="R42" s="2">
        <v>5112.8</v>
      </c>
      <c r="S42" s="2">
        <v>1400</v>
      </c>
    </row>
    <row r="43" spans="1:19" x14ac:dyDescent="0.2">
      <c r="A43" s="1">
        <v>43905</v>
      </c>
      <c r="B43" t="str">
        <f>"SH20015621"</f>
        <v>SH20015621</v>
      </c>
      <c r="C43" t="str">
        <f>"IMRP10243X"</f>
        <v>IMRP10243X</v>
      </c>
      <c r="D43" t="str">
        <f>"Allplex 2019-nCoV 100T - RP10243X"</f>
        <v>Allplex 2019-nCoV 100T - RP10243X</v>
      </c>
      <c r="E43" t="str">
        <f>"201297"</f>
        <v>201297</v>
      </c>
      <c r="F43" t="str">
        <f>"ד""ר אורית טרייגרמן - מאוחדת"</f>
        <v>ד"ר אורית טרייגרמן - מאוחדת</v>
      </c>
      <c r="G43" t="str">
        <f>"22102"</f>
        <v>22102</v>
      </c>
      <c r="H43" t="str">
        <f>"קופ'ח מאוחדת"</f>
        <v>קופ'ח מאוחדת</v>
      </c>
      <c r="I43" t="str">
        <f>"22102"</f>
        <v>22102</v>
      </c>
      <c r="J43" t="str">
        <f>"קופ'ח מאוחדת"</f>
        <v>קופ'ח מאוחדת</v>
      </c>
      <c r="L43" t="str">
        <f>"Y"</f>
        <v>Y</v>
      </c>
      <c r="M43" t="str">
        <f>"IMPORT"</f>
        <v>IMPORT</v>
      </c>
      <c r="N43" t="str">
        <f>"SO20014186"</f>
        <v>SO20014186</v>
      </c>
      <c r="P43">
        <v>700</v>
      </c>
      <c r="Q43">
        <v>3</v>
      </c>
      <c r="R43" s="2">
        <v>6695.2115999999996</v>
      </c>
      <c r="S43" s="2">
        <v>1833.3</v>
      </c>
    </row>
    <row r="44" spans="1:19" x14ac:dyDescent="0.2">
      <c r="A44" s="1">
        <v>43905</v>
      </c>
      <c r="B44" t="str">
        <f>"SH20015624"</f>
        <v>SH20015624</v>
      </c>
      <c r="C44" t="str">
        <f>"IMRP10243X"</f>
        <v>IMRP10243X</v>
      </c>
      <c r="D44" t="str">
        <f>"Allplex 2019-nCoV 100T - RP10243X"</f>
        <v>Allplex 2019-nCoV 100T - RP10243X</v>
      </c>
      <c r="E44" t="str">
        <f>"200147"</f>
        <v>200147</v>
      </c>
      <c r="F44" t="str">
        <f>"מכבי מגה לאב -מעב מרכזית"</f>
        <v>מכבי מגה לאב -מעב מרכזית</v>
      </c>
      <c r="G44" t="str">
        <f>"22101"</f>
        <v>22101</v>
      </c>
      <c r="H44" t="str">
        <f>"מכבי -שרותי בריאות ריכוזי סניפ"</f>
        <v>מכבי -שרותי בריאות ריכוזי סניפ</v>
      </c>
      <c r="I44" t="str">
        <f>"22101"</f>
        <v>22101</v>
      </c>
      <c r="J44" t="str">
        <f>"מכבי -שרותי בריאות ריכוזי סניפ"</f>
        <v>מכבי -שרותי בריאות ריכוזי סניפ</v>
      </c>
      <c r="L44" t="str">
        <f>"Y"</f>
        <v>Y</v>
      </c>
      <c r="M44" t="str">
        <f>"IMPORT"</f>
        <v>IMPORT</v>
      </c>
      <c r="N44" t="str">
        <f>"SO20014185"</f>
        <v>SO20014185</v>
      </c>
      <c r="P44">
        <v>679</v>
      </c>
      <c r="Q44">
        <v>3</v>
      </c>
      <c r="R44" s="2">
        <v>7439.1239999999998</v>
      </c>
      <c r="S44" s="2">
        <v>2037</v>
      </c>
    </row>
    <row r="45" spans="1:19" x14ac:dyDescent="0.2">
      <c r="A45" s="1">
        <v>43905</v>
      </c>
      <c r="B45" t="str">
        <f>"SH20015625"</f>
        <v>SH20015625</v>
      </c>
      <c r="C45" t="str">
        <f>"IMRP10243X"</f>
        <v>IMRP10243X</v>
      </c>
      <c r="D45" t="str">
        <f>"Allplex 2019-nCoV 100T - RP10243X"</f>
        <v>Allplex 2019-nCoV 100T - RP10243X</v>
      </c>
      <c r="E45" t="str">
        <f>"200891"</f>
        <v>200891</v>
      </c>
      <c r="F45" t="str">
        <f>"המע' המרכזית לנגיפים - ד""ר אלה מנדלסון בי""ח שיבא"</f>
        <v>המע' המרכזית לנגיפים - ד"ר אלה מנדלסון בי"ח שיבא</v>
      </c>
      <c r="G45" t="str">
        <f>"27027"</f>
        <v>27027</v>
      </c>
      <c r="H45" t="str">
        <f>"שראל-פתרונות לוגיסטיים ומוצרים"</f>
        <v>שראל-פתרונות לוגיסטיים ומוצרים</v>
      </c>
      <c r="I45" t="str">
        <f>"27027"</f>
        <v>27027</v>
      </c>
      <c r="J45" t="str">
        <f>"שראל-פתרונות לוגיסטיים ומוצרים"</f>
        <v>שראל-פתרונות לוגיסטיים ומוצרים</v>
      </c>
      <c r="L45" t="str">
        <f>"N"</f>
        <v>N</v>
      </c>
      <c r="M45" t="str">
        <f>"IMPORT"</f>
        <v>IMPORT</v>
      </c>
      <c r="N45" t="str">
        <f>"SO20014201"</f>
        <v>SO20014201</v>
      </c>
      <c r="P45">
        <v>700</v>
      </c>
      <c r="Q45">
        <v>2</v>
      </c>
      <c r="R45" s="2">
        <v>4959.4160000000002</v>
      </c>
      <c r="S45" s="2">
        <v>1358</v>
      </c>
    </row>
    <row r="46" spans="1:19" x14ac:dyDescent="0.2">
      <c r="A46" s="1">
        <v>43905</v>
      </c>
      <c r="B46" t="str">
        <f>"SH20015633"</f>
        <v>SH20015633</v>
      </c>
      <c r="C46" t="str">
        <f>"IMRP10243X"</f>
        <v>IMRP10243X</v>
      </c>
      <c r="D46" t="str">
        <f>"Allplex 2019-nCoV 100T - RP10243X"</f>
        <v>Allplex 2019-nCoV 100T - RP10243X</v>
      </c>
      <c r="E46" t="str">
        <f>"201284"</f>
        <v>201284</v>
      </c>
      <c r="F46" t="str">
        <f>"ד""ר מירב שטראוס - בי""ח העמק"</f>
        <v>ד"ר מירב שטראוס - בי"ח העמק</v>
      </c>
      <c r="G46" t="str">
        <f>"22100"</f>
        <v>22100</v>
      </c>
      <c r="H46" t="str">
        <f>"שרותי בריאות כללית-מנהל אספקה"</f>
        <v>שרותי בריאות כללית-מנהל אספקה</v>
      </c>
      <c r="I46" t="str">
        <f>"22100"</f>
        <v>22100</v>
      </c>
      <c r="J46" t="str">
        <f>"שרותי בריאות כללית-מנהל אספקה"</f>
        <v>שרותי בריאות כללית-מנהל אספקה</v>
      </c>
      <c r="L46" t="str">
        <f>"N"</f>
        <v>N</v>
      </c>
      <c r="M46" t="str">
        <f>"IMPORT"</f>
        <v>IMPORT</v>
      </c>
      <c r="N46" t="str">
        <f>"SO20013240"</f>
        <v>SO20013240</v>
      </c>
      <c r="P46">
        <v>700</v>
      </c>
      <c r="Q46">
        <v>4</v>
      </c>
      <c r="R46" s="2">
        <v>10225.6</v>
      </c>
      <c r="S46" s="2">
        <v>2800</v>
      </c>
    </row>
    <row r="47" spans="1:19" x14ac:dyDescent="0.2">
      <c r="A47" s="1">
        <v>43905</v>
      </c>
      <c r="B47" t="str">
        <f>"SH20015635"</f>
        <v>SH20015635</v>
      </c>
      <c r="C47" t="str">
        <f>"IMRP10243X"</f>
        <v>IMRP10243X</v>
      </c>
      <c r="D47" t="str">
        <f>"Allplex 2019-nCoV 100T - RP10243X"</f>
        <v>Allplex 2019-nCoV 100T - RP10243X</v>
      </c>
      <c r="E47" t="str">
        <f>"29283"</f>
        <v>29283</v>
      </c>
      <c r="F47" t="str">
        <f>"ד""ר מורן שוורצוורט - רמב""ם"</f>
        <v>ד"ר מורן שוורצוורט - רמב"ם</v>
      </c>
      <c r="G47" t="str">
        <f>"21138"</f>
        <v>21138</v>
      </c>
      <c r="H47" t="str">
        <f>"תאגיד הבריאות - רמב'ם)ע'ר"</f>
        <v>תאגיד הבריאות - רמב'ם)ע'ר</v>
      </c>
      <c r="I47" t="str">
        <f>"27027"</f>
        <v>27027</v>
      </c>
      <c r="J47" t="str">
        <f>"שראל-פתרונות לוגיסטיים ומוצרים"</f>
        <v>שראל-פתרונות לוגיסטיים ומוצרים</v>
      </c>
      <c r="L47" t="str">
        <f>"Y"</f>
        <v>Y</v>
      </c>
      <c r="M47" t="str">
        <f>"IMPORT"</f>
        <v>IMPORT</v>
      </c>
      <c r="N47" t="str">
        <f>"SO20013239"</f>
        <v>SO20013239</v>
      </c>
      <c r="P47">
        <v>700</v>
      </c>
      <c r="Q47">
        <v>20</v>
      </c>
      <c r="R47" s="2">
        <v>49594.16</v>
      </c>
      <c r="S47" s="2">
        <v>13580</v>
      </c>
    </row>
    <row r="48" spans="1:19" x14ac:dyDescent="0.2">
      <c r="A48" s="1">
        <v>43905</v>
      </c>
      <c r="B48" t="str">
        <f>"SH20015722"</f>
        <v>SH20015722</v>
      </c>
      <c r="C48" t="str">
        <f>"IMHSP9655"</f>
        <v>IMHSP9655</v>
      </c>
      <c r="D48" t="str">
        <f>"PLATE WELL 96(WHITE)50EA/BOX-HSP9655"</f>
        <v>PLATE WELL 96(WHITE)50EA/BOX-HSP9655</v>
      </c>
      <c r="E48" t="str">
        <f>"201174"</f>
        <v>201174</v>
      </c>
      <c r="F48" t="str">
        <f>"ד""ר עמוס אדלר - בי""ח איכילוב"</f>
        <v>ד"ר עמוס אדלר - בי"ח איכילוב</v>
      </c>
      <c r="G48" t="str">
        <f>"21102"</f>
        <v>21102</v>
      </c>
      <c r="H48" t="str">
        <f>"מרכז רפואי איכילוב"</f>
        <v>מרכז רפואי איכילוב</v>
      </c>
      <c r="I48" t="str">
        <f>"21102"</f>
        <v>21102</v>
      </c>
      <c r="J48" t="str">
        <f>"מרכז רפואי איכילוב"</f>
        <v>מרכז רפואי איכילוב</v>
      </c>
      <c r="L48" t="str">
        <f>"N"</f>
        <v>N</v>
      </c>
      <c r="M48" t="str">
        <f>"IMPORT"</f>
        <v>IMPORT</v>
      </c>
      <c r="N48" t="str">
        <f>"SO20014184"</f>
        <v>SO20014184</v>
      </c>
      <c r="P48">
        <v>357</v>
      </c>
      <c r="Q48">
        <v>10</v>
      </c>
      <c r="R48" s="2">
        <v>13037.64</v>
      </c>
      <c r="S48" s="2">
        <v>3570</v>
      </c>
    </row>
    <row r="49" spans="1:19" x14ac:dyDescent="0.2">
      <c r="A49" s="1">
        <v>43905</v>
      </c>
      <c r="B49" t="str">
        <f>"SH20015726"</f>
        <v>SH20015726</v>
      </c>
      <c r="C49" t="str">
        <f>"TTS238"</f>
        <v>TTS238</v>
      </c>
      <c r="D49" t="str">
        <f>"מבחנה PP תחתית עגולה 75*12מ""מ לא סטרילי-BN059-P"</f>
        <v>מבחנה PP תחתית עגולה 75*12מ"מ לא סטרילי-BN059-P</v>
      </c>
      <c r="E49" t="str">
        <f>"200737"</f>
        <v>200737</v>
      </c>
      <c r="F49" t="str">
        <f>"ד""ר חיים בן צבי - בי""ח בלינסון"</f>
        <v>ד"ר חיים בן צבי - בי"ח בלינסון</v>
      </c>
      <c r="G49" t="str">
        <f>"22100"</f>
        <v>22100</v>
      </c>
      <c r="H49" t="str">
        <f>"שרותי בריאות כללית-מנהל אספקה"</f>
        <v>שרותי בריאות כללית-מנהל אספקה</v>
      </c>
      <c r="I49" t="str">
        <f>"22100"</f>
        <v>22100</v>
      </c>
      <c r="J49" t="str">
        <f>"שרותי בריאות כללית-מנהל אספקה"</f>
        <v>שרותי בריאות כללית-מנהל אספקה</v>
      </c>
      <c r="L49" t="str">
        <f>"N"</f>
        <v>N</v>
      </c>
      <c r="M49" t="str">
        <f>"UI"</f>
        <v>UI</v>
      </c>
      <c r="N49" t="str">
        <f>"SO20014198"</f>
        <v>SO20014198</v>
      </c>
      <c r="P49">
        <v>0.04</v>
      </c>
      <c r="Q49" s="2">
        <v>1000</v>
      </c>
      <c r="R49">
        <v>146.08000000000001</v>
      </c>
      <c r="S49">
        <v>40</v>
      </c>
    </row>
    <row r="50" spans="1:19" x14ac:dyDescent="0.2">
      <c r="A50" s="1">
        <v>43905</v>
      </c>
      <c r="B50" t="str">
        <f>"SH20015731"</f>
        <v>SH20015731</v>
      </c>
      <c r="C50" t="str">
        <f>"IMHSP9655"</f>
        <v>IMHSP9655</v>
      </c>
      <c r="D50" t="str">
        <f>"PLATE WELL 96(WHITE)50EA/BOX-HSP9655"</f>
        <v>PLATE WELL 96(WHITE)50EA/BOX-HSP9655</v>
      </c>
      <c r="E50" t="str">
        <f>"200172"</f>
        <v>200172</v>
      </c>
      <c r="F50" t="str">
        <f>"פרופ' יונת שמר - בי""ח סורוקה"</f>
        <v>פרופ' יונת שמר - בי"ח סורוקה</v>
      </c>
      <c r="G50" t="str">
        <f>"22100"</f>
        <v>22100</v>
      </c>
      <c r="H50" t="str">
        <f>"שרותי בריאות כללית-מנהל אספקה"</f>
        <v>שרותי בריאות כללית-מנהל אספקה</v>
      </c>
      <c r="I50" t="str">
        <f>"27027"</f>
        <v>27027</v>
      </c>
      <c r="J50" t="str">
        <f>"שראל-פתרונות לוגיסטיים ומוצרים"</f>
        <v>שראל-פתרונות לוגיסטיים ומוצרים</v>
      </c>
      <c r="L50" t="str">
        <f>"Y"</f>
        <v>Y</v>
      </c>
      <c r="M50" t="str">
        <f>"IMPORT"</f>
        <v>IMPORT</v>
      </c>
      <c r="N50" t="str">
        <f>"SO20014165"</f>
        <v>SO20014165</v>
      </c>
      <c r="P50">
        <v>357.01</v>
      </c>
      <c r="Q50">
        <v>1</v>
      </c>
      <c r="R50" s="2">
        <v>1303.80052</v>
      </c>
      <c r="S50">
        <v>357.01</v>
      </c>
    </row>
    <row r="51" spans="1:19" x14ac:dyDescent="0.2">
      <c r="A51" s="1">
        <v>43905</v>
      </c>
      <c r="B51" t="str">
        <f>"SH20015731"</f>
        <v>SH20015731</v>
      </c>
      <c r="C51" t="str">
        <f>"IMTCS0803"</f>
        <v>IMTCS0803</v>
      </c>
      <c r="D51" t="str">
        <f>"OPTICAL FLAT CAPS FOR 0.2ML 120X8"</f>
        <v>OPTICAL FLAT CAPS FOR 0.2ML 120X8</v>
      </c>
      <c r="E51" t="str">
        <f>"200172"</f>
        <v>200172</v>
      </c>
      <c r="F51" t="str">
        <f>"פרופ' יונת שמר - בי""ח סורוקה"</f>
        <v>פרופ' יונת שמר - בי"ח סורוקה</v>
      </c>
      <c r="G51" t="str">
        <f>"22100"</f>
        <v>22100</v>
      </c>
      <c r="H51" t="str">
        <f>"שרותי בריאות כללית-מנהל אספקה"</f>
        <v>שרותי בריאות כללית-מנהל אספקה</v>
      </c>
      <c r="I51" t="str">
        <f>"27027"</f>
        <v>27027</v>
      </c>
      <c r="J51" t="str">
        <f>"שראל-פתרונות לוגיסטיים ומוצרים"</f>
        <v>שראל-פתרונות לוגיסטיים ומוצרים</v>
      </c>
      <c r="L51" t="str">
        <f>"Y"</f>
        <v>Y</v>
      </c>
      <c r="M51" t="str">
        <f>"IMPORT"</f>
        <v>IMPORT</v>
      </c>
      <c r="N51" t="str">
        <f>"SO20014165"</f>
        <v>SO20014165</v>
      </c>
      <c r="P51">
        <v>96.03</v>
      </c>
      <c r="Q51">
        <v>3</v>
      </c>
      <c r="R51" s="2">
        <v>1052.1046799999999</v>
      </c>
      <c r="S51">
        <v>288.08999999999997</v>
      </c>
    </row>
    <row r="52" spans="1:19" x14ac:dyDescent="0.2">
      <c r="A52" s="1">
        <v>43906</v>
      </c>
      <c r="B52" t="str">
        <f>"SH20015742"</f>
        <v>SH20015742</v>
      </c>
      <c r="C52" t="str">
        <f>"IMRP10243X"</f>
        <v>IMRP10243X</v>
      </c>
      <c r="D52" t="str">
        <f>"Allplex 2019-nCoV 100T - RP10243X"</f>
        <v>Allplex 2019-nCoV 100T - RP10243X</v>
      </c>
      <c r="E52" t="str">
        <f>"201181"</f>
        <v>201181</v>
      </c>
      <c r="F52" t="str">
        <f>"לאומית מעבדה אור יהודה"</f>
        <v>לאומית מעבדה אור יהודה</v>
      </c>
      <c r="G52" t="str">
        <f>"22103"</f>
        <v>22103</v>
      </c>
      <c r="H52" t="str">
        <f>"קופ'ח לאומית אור יהודה)פ'ת לשע"</f>
        <v>קופ'ח לאומית אור יהודה)פ'ת לשע</v>
      </c>
      <c r="I52" t="str">
        <f>"22103"</f>
        <v>22103</v>
      </c>
      <c r="J52" t="str">
        <f>"קופ'ח לאומית אור יהודה)פ'ת לשע"</f>
        <v>קופ'ח לאומית אור יהודה)פ'ת לשע</v>
      </c>
      <c r="L52" t="str">
        <f>"Y"</f>
        <v>Y</v>
      </c>
      <c r="M52" t="str">
        <f>"IMPORT"</f>
        <v>IMPORT</v>
      </c>
      <c r="N52" t="str">
        <f>"SO20014293"</f>
        <v>SO20014293</v>
      </c>
      <c r="P52">
        <v>700</v>
      </c>
      <c r="Q52">
        <v>1</v>
      </c>
      <c r="R52" s="2">
        <v>2479.7080000000001</v>
      </c>
      <c r="S52">
        <v>665.15772532200003</v>
      </c>
    </row>
    <row r="53" spans="1:19" x14ac:dyDescent="0.2">
      <c r="A53" s="1">
        <v>43906</v>
      </c>
      <c r="B53" t="str">
        <f>"SH20015745"</f>
        <v>SH20015745</v>
      </c>
      <c r="C53" t="str">
        <f>"IMRP10243X"</f>
        <v>IMRP10243X</v>
      </c>
      <c r="D53" t="str">
        <f>"Allplex 2019-nCoV 100T - RP10243X"</f>
        <v>Allplex 2019-nCoV 100T - RP10243X</v>
      </c>
      <c r="E53" t="str">
        <f>"25335"</f>
        <v>25335</v>
      </c>
      <c r="F53" t="str">
        <f>"המעבדה המרכזית שרותי בריאות"</f>
        <v>המעבדה המרכזית שרותי בריאות</v>
      </c>
      <c r="G53" t="str">
        <f>"22100"</f>
        <v>22100</v>
      </c>
      <c r="H53" t="str">
        <f>"שרותי בריאות כללית-מנהל אספקה"</f>
        <v>שרותי בריאות כללית-מנהל אספקה</v>
      </c>
      <c r="I53" t="str">
        <f>"22100"</f>
        <v>22100</v>
      </c>
      <c r="J53" t="str">
        <f>"שרותי בריאות כללית-מנהל אספקה"</f>
        <v>שרותי בריאות כללית-מנהל אספקה</v>
      </c>
      <c r="L53" t="str">
        <f>"N"</f>
        <v>N</v>
      </c>
      <c r="M53" t="str">
        <f>"IMPORT"</f>
        <v>IMPORT</v>
      </c>
      <c r="N53" t="str">
        <f>"SO20014290"</f>
        <v>SO20014290</v>
      </c>
      <c r="P53">
        <v>700</v>
      </c>
      <c r="Q53">
        <v>2</v>
      </c>
      <c r="R53" s="2">
        <v>5112.8</v>
      </c>
      <c r="S53" s="2">
        <v>1371.4592274680001</v>
      </c>
    </row>
    <row r="54" spans="1:19" x14ac:dyDescent="0.2">
      <c r="A54" s="1">
        <v>43906</v>
      </c>
      <c r="B54" t="str">
        <f>"SH20015762"</f>
        <v>SH20015762</v>
      </c>
      <c r="C54" t="str">
        <f>"IM235903"</f>
        <v>IM235903</v>
      </c>
      <c r="D54" t="str">
        <f>"STANDARD VOLUME TIPS(300UL)- 235903"</f>
        <v>STANDARD VOLUME TIPS(300UL)- 235903</v>
      </c>
      <c r="E54" t="str">
        <f>"200175"</f>
        <v>200175</v>
      </c>
      <c r="F54" t="str">
        <f>"פרוזנין ירושלים קופ""ח כללית"</f>
        <v>פרוזנין ירושלים קופ"ח כללית</v>
      </c>
      <c r="G54" t="str">
        <f>"22100"</f>
        <v>22100</v>
      </c>
      <c r="H54" t="str">
        <f>"שרותי בריאות כללית-מנהל אספקה"</f>
        <v>שרותי בריאות כללית-מנהל אספקה</v>
      </c>
      <c r="I54" t="str">
        <f>"22100"</f>
        <v>22100</v>
      </c>
      <c r="J54" t="str">
        <f>"שרותי בריאות כללית-מנהל אספקה"</f>
        <v>שרותי בריאות כללית-מנהל אספקה</v>
      </c>
      <c r="L54" t="str">
        <f>"N"</f>
        <v>N</v>
      </c>
      <c r="M54" t="str">
        <f>"IMPORT"</f>
        <v>IMPORT</v>
      </c>
      <c r="N54" t="str">
        <f>"SO20014312"</f>
        <v>SO20014312</v>
      </c>
      <c r="P54">
        <v>921.6</v>
      </c>
      <c r="Q54">
        <v>1</v>
      </c>
      <c r="R54" s="2">
        <v>3365.6831999999999</v>
      </c>
      <c r="S54">
        <v>902.81201716700002</v>
      </c>
    </row>
    <row r="55" spans="1:19" x14ac:dyDescent="0.2">
      <c r="A55" s="1">
        <v>43906</v>
      </c>
      <c r="B55" t="str">
        <f>"SH20015762"</f>
        <v>SH20015762</v>
      </c>
      <c r="C55" t="str">
        <f>"IM235905"</f>
        <v>IM235905</v>
      </c>
      <c r="D55" t="str">
        <f>"HIGH VOLUME TIPS(1000UL)- 235905"</f>
        <v>HIGH VOLUME TIPS(1000UL)- 235905</v>
      </c>
      <c r="E55" t="str">
        <f>"200175"</f>
        <v>200175</v>
      </c>
      <c r="F55" t="str">
        <f>"פרוזנין ירושלים קופ""ח כללית"</f>
        <v>פרוזנין ירושלים קופ"ח כללית</v>
      </c>
      <c r="G55" t="str">
        <f>"22100"</f>
        <v>22100</v>
      </c>
      <c r="H55" t="str">
        <f>"שרותי בריאות כללית-מנהל אספקה"</f>
        <v>שרותי בריאות כללית-מנהל אספקה</v>
      </c>
      <c r="I55" t="str">
        <f>"22100"</f>
        <v>22100</v>
      </c>
      <c r="J55" t="str">
        <f>"שרותי בריאות כללית-מנהל אספקה"</f>
        <v>שרותי בריאות כללית-מנהל אספקה</v>
      </c>
      <c r="L55" t="str">
        <f>"N"</f>
        <v>N</v>
      </c>
      <c r="M55" t="str">
        <f>"IMPORT"</f>
        <v>IMPORT</v>
      </c>
      <c r="N55" t="str">
        <f>"SO20014312"</f>
        <v>SO20014312</v>
      </c>
      <c r="P55">
        <v>594</v>
      </c>
      <c r="Q55">
        <v>3</v>
      </c>
      <c r="R55" s="2">
        <v>6507.8639999999996</v>
      </c>
      <c r="S55" s="2">
        <v>1745.67167382</v>
      </c>
    </row>
    <row r="56" spans="1:19" x14ac:dyDescent="0.2">
      <c r="A56" s="1">
        <v>43906</v>
      </c>
      <c r="B56" t="str">
        <f>"SH20015764"</f>
        <v>SH20015764</v>
      </c>
      <c r="C56" t="str">
        <f>"IMRP10243X"</f>
        <v>IMRP10243X</v>
      </c>
      <c r="D56" t="str">
        <f>"Allplex 2019-nCoV 100T - RP10243X"</f>
        <v>Allplex 2019-nCoV 100T - RP10243X</v>
      </c>
      <c r="E56" t="str">
        <f>"200737"</f>
        <v>200737</v>
      </c>
      <c r="F56" t="str">
        <f>"ד""ר חיים בן צבי - בי""ח בלינסון"</f>
        <v>ד"ר חיים בן צבי - בי"ח בלינסון</v>
      </c>
      <c r="G56" t="str">
        <f>"22100"</f>
        <v>22100</v>
      </c>
      <c r="H56" t="str">
        <f>"שרותי בריאות כללית-מנהל אספקה"</f>
        <v>שרותי בריאות כללית-מנהל אספקה</v>
      </c>
      <c r="I56" t="str">
        <f>"22100"</f>
        <v>22100</v>
      </c>
      <c r="J56" t="str">
        <f>"שרותי בריאות כללית-מנהל אספקה"</f>
        <v>שרותי בריאות כללית-מנהל אספקה</v>
      </c>
      <c r="L56" t="str">
        <f>"Y"</f>
        <v>Y</v>
      </c>
      <c r="M56" t="str">
        <f>"IMPORT"</f>
        <v>IMPORT</v>
      </c>
      <c r="N56" t="str">
        <f>"SO20014361"</f>
        <v>SO20014361</v>
      </c>
      <c r="P56">
        <v>700</v>
      </c>
      <c r="Q56">
        <v>5</v>
      </c>
      <c r="R56" s="2">
        <v>12782</v>
      </c>
      <c r="S56" s="2">
        <v>3428.6480686700002</v>
      </c>
    </row>
    <row r="57" spans="1:19" x14ac:dyDescent="0.2">
      <c r="A57" s="1">
        <v>43906</v>
      </c>
      <c r="B57" t="str">
        <f>"SH20015776"</f>
        <v>SH20015776</v>
      </c>
      <c r="C57" t="str">
        <f>"IMTCS0803"</f>
        <v>IMTCS0803</v>
      </c>
      <c r="D57" t="str">
        <f>"OPTICAL FLAT CAPS FOR 0.2ML 120X8"</f>
        <v>OPTICAL FLAT CAPS FOR 0.2ML 120X8</v>
      </c>
      <c r="E57" t="str">
        <f>"200175"</f>
        <v>200175</v>
      </c>
      <c r="F57" t="str">
        <f>"פרוזנין ירושלים קופ""ח כללית"</f>
        <v>פרוזנין ירושלים קופ"ח כללית</v>
      </c>
      <c r="G57" t="str">
        <f>"22100"</f>
        <v>22100</v>
      </c>
      <c r="H57" t="str">
        <f>"שרותי בריאות כללית-מנהל אספקה"</f>
        <v>שרותי בריאות כללית-מנהל אספקה</v>
      </c>
      <c r="I57" t="str">
        <f>"22100"</f>
        <v>22100</v>
      </c>
      <c r="J57" t="str">
        <f>"שרותי בריאות כללית-מנהל אספקה"</f>
        <v>שרותי בריאות כללית-מנהל אספקה</v>
      </c>
      <c r="L57" t="str">
        <f>"N"</f>
        <v>N</v>
      </c>
      <c r="M57" t="str">
        <f>"IMPORT"</f>
        <v>IMPORT</v>
      </c>
      <c r="N57" t="str">
        <f>"SO20014312"</f>
        <v>SO20014312</v>
      </c>
      <c r="P57">
        <v>62</v>
      </c>
      <c r="Q57">
        <v>3</v>
      </c>
      <c r="R57">
        <v>679.27200000000005</v>
      </c>
      <c r="S57">
        <v>182.208154506</v>
      </c>
    </row>
    <row r="58" spans="1:19" x14ac:dyDescent="0.2">
      <c r="A58" s="1">
        <v>43906</v>
      </c>
      <c r="B58" t="str">
        <f>"SH20015784"</f>
        <v>SH20015784</v>
      </c>
      <c r="C58" t="str">
        <f>"IMRP10243X"</f>
        <v>IMRP10243X</v>
      </c>
      <c r="D58" t="str">
        <f>"Allplex 2019-nCoV 100T - RP10243X"</f>
        <v>Allplex 2019-nCoV 100T - RP10243X</v>
      </c>
      <c r="E58" t="str">
        <f>"27504"</f>
        <v>27504</v>
      </c>
      <c r="F58" t="str">
        <f>"ד""ר פייטן יוסף - בי""ח מאיר"</f>
        <v>ד"ר פייטן יוסף - בי"ח מאיר</v>
      </c>
      <c r="G58" t="str">
        <f>"22100"</f>
        <v>22100</v>
      </c>
      <c r="H58" t="str">
        <f>"שרותי בריאות כללית-מנהל אספקה"</f>
        <v>שרותי בריאות כללית-מנהל אספקה</v>
      </c>
      <c r="I58" t="str">
        <f>"22100"</f>
        <v>22100</v>
      </c>
      <c r="J58" t="str">
        <f>"שרותי בריאות כללית-מנהל אספקה"</f>
        <v>שרותי בריאות כללית-מנהל אספקה</v>
      </c>
      <c r="L58" t="str">
        <f>"N"</f>
        <v>N</v>
      </c>
      <c r="M58" t="str">
        <f>"IMPORT"</f>
        <v>IMPORT</v>
      </c>
      <c r="N58" t="str">
        <f>"SO20014376"</f>
        <v>SO20014376</v>
      </c>
      <c r="P58">
        <v>700</v>
      </c>
      <c r="Q58">
        <v>3</v>
      </c>
      <c r="R58" s="2">
        <v>7669.2</v>
      </c>
      <c r="S58" s="2">
        <v>2057.1888412019998</v>
      </c>
    </row>
    <row r="59" spans="1:19" x14ac:dyDescent="0.2">
      <c r="A59" s="1">
        <v>43906</v>
      </c>
      <c r="B59" t="str">
        <f>"SH20015805"</f>
        <v>SH20015805</v>
      </c>
      <c r="C59" t="str">
        <f>"IMHSP9655"</f>
        <v>IMHSP9655</v>
      </c>
      <c r="D59" t="str">
        <f>"PLATE WELL 96(WHITE)50EA/BOX-HSP9655"</f>
        <v>PLATE WELL 96(WHITE)50EA/BOX-HSP9655</v>
      </c>
      <c r="E59" t="str">
        <f>"201297"</f>
        <v>201297</v>
      </c>
      <c r="F59" t="str">
        <f>"ד""ר אורית טרייגרמן - מאוחדת"</f>
        <v>ד"ר אורית טרייגרמן - מאוחדת</v>
      </c>
      <c r="G59" t="str">
        <f>"22102"</f>
        <v>22102</v>
      </c>
      <c r="H59" t="str">
        <f>"קופ'ח מאוחדת"</f>
        <v>קופ'ח מאוחדת</v>
      </c>
      <c r="I59" t="str">
        <f>"22102"</f>
        <v>22102</v>
      </c>
      <c r="J59" t="str">
        <f>"קופ'ח מאוחדת"</f>
        <v>קופ'ח מאוחדת</v>
      </c>
      <c r="L59" t="str">
        <f>"N"</f>
        <v>N</v>
      </c>
      <c r="M59" t="str">
        <f>"IMPORT"</f>
        <v>IMPORT</v>
      </c>
      <c r="N59" t="str">
        <f>"SO20014412"</f>
        <v>SO20014412</v>
      </c>
      <c r="P59">
        <v>357</v>
      </c>
      <c r="Q59">
        <v>1</v>
      </c>
      <c r="R59" s="2">
        <v>1173.3876</v>
      </c>
      <c r="S59">
        <v>314.74989270399999</v>
      </c>
    </row>
    <row r="60" spans="1:19" x14ac:dyDescent="0.2">
      <c r="A60" s="1">
        <v>43906</v>
      </c>
      <c r="B60" t="str">
        <f>"SH20015805"</f>
        <v>SH20015805</v>
      </c>
      <c r="C60" t="str">
        <f>"IMTCS0803"</f>
        <v>IMTCS0803</v>
      </c>
      <c r="D60" t="str">
        <f>"OPTICAL FLAT CAPS FOR 0.2ML 120X8"</f>
        <v>OPTICAL FLAT CAPS FOR 0.2ML 120X8</v>
      </c>
      <c r="E60" t="str">
        <f>"201297"</f>
        <v>201297</v>
      </c>
      <c r="F60" t="str">
        <f>"ד""ר אורית טרייגרמן - מאוחדת"</f>
        <v>ד"ר אורית טרייגרמן - מאוחדת</v>
      </c>
      <c r="G60" t="str">
        <f>"22102"</f>
        <v>22102</v>
      </c>
      <c r="H60" t="str">
        <f>"קופ'ח מאוחדת"</f>
        <v>קופ'ח מאוחדת</v>
      </c>
      <c r="I60" t="str">
        <f>"22102"</f>
        <v>22102</v>
      </c>
      <c r="J60" t="str">
        <f>"קופ'ח מאוחדת"</f>
        <v>קופ'ח מאוחדת</v>
      </c>
      <c r="L60" t="str">
        <f>"N"</f>
        <v>N</v>
      </c>
      <c r="M60" t="str">
        <f>"IMPORT"</f>
        <v>IMPORT</v>
      </c>
      <c r="N60" t="str">
        <f>"SO20014412"</f>
        <v>SO20014412</v>
      </c>
      <c r="P60">
        <v>72</v>
      </c>
      <c r="Q60">
        <v>7</v>
      </c>
      <c r="R60" s="2">
        <v>1656.5472</v>
      </c>
      <c r="S60">
        <v>444.35278970000002</v>
      </c>
    </row>
    <row r="61" spans="1:19" x14ac:dyDescent="0.2">
      <c r="A61" s="1">
        <v>43906</v>
      </c>
      <c r="B61" t="str">
        <f>"SH20015824"</f>
        <v>SH20015824</v>
      </c>
      <c r="C61" t="str">
        <f>"IM235903"</f>
        <v>IM235903</v>
      </c>
      <c r="D61" t="str">
        <f>"STANDARD VOLUME TIPS(300UL)- 235903"</f>
        <v>STANDARD VOLUME TIPS(300UL)- 235903</v>
      </c>
      <c r="E61" t="str">
        <f>"27504"</f>
        <v>27504</v>
      </c>
      <c r="F61" t="str">
        <f>"ד""ר פייטן יוסף - בי""ח מאיר"</f>
        <v>ד"ר פייטן יוסף - בי"ח מאיר</v>
      </c>
      <c r="G61" t="str">
        <f>"22100"</f>
        <v>22100</v>
      </c>
      <c r="H61" t="str">
        <f>"שרותי בריאות כללית-מנהל אספקה"</f>
        <v>שרותי בריאות כללית-מנהל אספקה</v>
      </c>
      <c r="I61" t="str">
        <f>"22100"</f>
        <v>22100</v>
      </c>
      <c r="J61" t="str">
        <f>"שרותי בריאות כללית-מנהל אספקה"</f>
        <v>שרותי בריאות כללית-מנהל אספקה</v>
      </c>
      <c r="L61" t="str">
        <f>"N"</f>
        <v>N</v>
      </c>
      <c r="M61" t="str">
        <f>"IMPORT"</f>
        <v>IMPORT</v>
      </c>
      <c r="N61" t="str">
        <f>"SO20014483"</f>
        <v>SO20014483</v>
      </c>
      <c r="P61">
        <v>921.6</v>
      </c>
      <c r="Q61">
        <v>1</v>
      </c>
      <c r="R61" s="2">
        <v>3365.6831999999999</v>
      </c>
      <c r="S61">
        <v>902.81201716700002</v>
      </c>
    </row>
    <row r="62" spans="1:19" x14ac:dyDescent="0.2">
      <c r="A62" s="1">
        <v>43906</v>
      </c>
      <c r="B62" t="str">
        <f>"SH20015824"</f>
        <v>SH20015824</v>
      </c>
      <c r="C62" t="str">
        <f>"IM235905"</f>
        <v>IM235905</v>
      </c>
      <c r="D62" t="str">
        <f>"HIGH VOLUME TIPS(1000UL)- 235905"</f>
        <v>HIGH VOLUME TIPS(1000UL)- 235905</v>
      </c>
      <c r="E62" t="str">
        <f>"27504"</f>
        <v>27504</v>
      </c>
      <c r="F62" t="str">
        <f>"ד""ר פייטן יוסף - בי""ח מאיר"</f>
        <v>ד"ר פייטן יוסף - בי"ח מאיר</v>
      </c>
      <c r="G62" t="str">
        <f>"22100"</f>
        <v>22100</v>
      </c>
      <c r="H62" t="str">
        <f>"שרותי בריאות כללית-מנהל אספקה"</f>
        <v>שרותי בריאות כללית-מנהל אספקה</v>
      </c>
      <c r="I62" t="str">
        <f>"22100"</f>
        <v>22100</v>
      </c>
      <c r="J62" t="str">
        <f>"שרותי בריאות כללית-מנהל אספקה"</f>
        <v>שרותי בריאות כללית-מנהל אספקה</v>
      </c>
      <c r="L62" t="str">
        <f>"N"</f>
        <v>N</v>
      </c>
      <c r="M62" t="str">
        <f>"IMPORT"</f>
        <v>IMPORT</v>
      </c>
      <c r="N62" t="str">
        <f>"SO20014483"</f>
        <v>SO20014483</v>
      </c>
      <c r="P62">
        <v>594</v>
      </c>
      <c r="Q62">
        <v>1</v>
      </c>
      <c r="R62" s="2">
        <v>2169.288</v>
      </c>
      <c r="S62">
        <v>581.89055794000001</v>
      </c>
    </row>
    <row r="63" spans="1:19" x14ac:dyDescent="0.2">
      <c r="A63" s="1">
        <v>43906</v>
      </c>
      <c r="B63" t="str">
        <f>"SH20015841"</f>
        <v>SH20015841</v>
      </c>
      <c r="C63" t="str">
        <f>"IMTCS0803"</f>
        <v>IMTCS0803</v>
      </c>
      <c r="D63" t="str">
        <f>"OPTICAL FLAT CAPS FOR 0.2ML 120X8"</f>
        <v>OPTICAL FLAT CAPS FOR 0.2ML 120X8</v>
      </c>
      <c r="E63" t="str">
        <f>"27504"</f>
        <v>27504</v>
      </c>
      <c r="F63" t="str">
        <f>"ד""ר פייטן יוסף - בי""ח מאיר"</f>
        <v>ד"ר פייטן יוסף - בי"ח מאיר</v>
      </c>
      <c r="G63" t="str">
        <f>"22100"</f>
        <v>22100</v>
      </c>
      <c r="H63" t="str">
        <f>"שרותי בריאות כללית-מנהל אספקה"</f>
        <v>שרותי בריאות כללית-מנהל אספקה</v>
      </c>
      <c r="I63" t="str">
        <f>"22100"</f>
        <v>22100</v>
      </c>
      <c r="J63" t="str">
        <f>"שרותי בריאות כללית-מנהל אספקה"</f>
        <v>שרותי בריאות כללית-מנהל אספקה</v>
      </c>
      <c r="L63" t="str">
        <f>"N"</f>
        <v>N</v>
      </c>
      <c r="M63" t="str">
        <f>"IMPORT"</f>
        <v>IMPORT</v>
      </c>
      <c r="N63" t="str">
        <f>"SO20014483"</f>
        <v>SO20014483</v>
      </c>
      <c r="P63">
        <v>62</v>
      </c>
      <c r="Q63">
        <v>4</v>
      </c>
      <c r="R63">
        <v>905.69600000000003</v>
      </c>
      <c r="S63">
        <v>242.944206009</v>
      </c>
    </row>
    <row r="64" spans="1:19" x14ac:dyDescent="0.2">
      <c r="A64" s="1">
        <v>43906</v>
      </c>
      <c r="B64" t="str">
        <f>"SH20015856"</f>
        <v>SH20015856</v>
      </c>
      <c r="C64" t="str">
        <f>"TTS238"</f>
        <v>TTS238</v>
      </c>
      <c r="D64" t="str">
        <f>"מבחנה PP תחתית עגולה 75*12מ""מ לא סטרילי-BN059-P"</f>
        <v>מבחנה PP תחתית עגולה 75*12מ"מ לא סטרילי-BN059-P</v>
      </c>
      <c r="E64" t="str">
        <f>"25335"</f>
        <v>25335</v>
      </c>
      <c r="F64" t="str">
        <f>"המעבדה המרכזית שרותי בריאות"</f>
        <v>המעבדה המרכזית שרותי בריאות</v>
      </c>
      <c r="G64" t="str">
        <f>"22100"</f>
        <v>22100</v>
      </c>
      <c r="H64" t="str">
        <f>"שרותי בריאות כללית-מנהל אספקה"</f>
        <v>שרותי בריאות כללית-מנהל אספקה</v>
      </c>
      <c r="I64" t="str">
        <f>"22100"</f>
        <v>22100</v>
      </c>
      <c r="J64" t="str">
        <f>"שרותי בריאות כללית-מנהל אספקה"</f>
        <v>שרותי בריאות כללית-מנהל אספקה</v>
      </c>
      <c r="L64" t="str">
        <f>"Y"</f>
        <v>Y</v>
      </c>
      <c r="M64" t="str">
        <f>"UI"</f>
        <v>UI</v>
      </c>
      <c r="N64" t="str">
        <f>"SO20014498"</f>
        <v>SO20014498</v>
      </c>
      <c r="P64">
        <v>0.04</v>
      </c>
      <c r="Q64" s="2">
        <v>1000</v>
      </c>
      <c r="R64">
        <v>146.08000000000001</v>
      </c>
      <c r="S64">
        <v>39.184549355999998</v>
      </c>
    </row>
    <row r="65" spans="1:19" x14ac:dyDescent="0.2">
      <c r="A65" s="1">
        <v>43906</v>
      </c>
      <c r="B65" t="str">
        <f>"SH20015859"</f>
        <v>SH20015859</v>
      </c>
      <c r="C65" t="str">
        <f>"IMTCS0803"</f>
        <v>IMTCS0803</v>
      </c>
      <c r="D65" t="str">
        <f>"OPTICAL FLAT CAPS FOR 0.2ML 120X8"</f>
        <v>OPTICAL FLAT CAPS FOR 0.2ML 120X8</v>
      </c>
      <c r="E65" t="str">
        <f>"201144"</f>
        <v>201144</v>
      </c>
      <c r="F65" t="str">
        <f>"ד""ר ציפורה לזרוביץ - אסף הרופא"</f>
        <v>ד"ר ציפורה לזרוביץ - אסף הרופא</v>
      </c>
      <c r="G65" t="str">
        <f>"27027"</f>
        <v>27027</v>
      </c>
      <c r="H65" t="str">
        <f>"שראל-פתרונות לוגיסטיים ומוצרים"</f>
        <v>שראל-פתרונות לוגיסטיים ומוצרים</v>
      </c>
      <c r="I65" t="str">
        <f>"27027"</f>
        <v>27027</v>
      </c>
      <c r="J65" t="str">
        <f>"שראל-פתרונות לוגיסטיים ומוצרים"</f>
        <v>שראל-פתרונות לוגיסטיים ומוצרים</v>
      </c>
      <c r="L65" t="str">
        <f>"N"</f>
        <v>N</v>
      </c>
      <c r="M65" t="str">
        <f>"IMPORT"</f>
        <v>IMPORT</v>
      </c>
      <c r="N65" t="str">
        <f>"SO20014413"</f>
        <v>SO20014413</v>
      </c>
      <c r="P65">
        <v>219</v>
      </c>
      <c r="Q65">
        <v>3</v>
      </c>
      <c r="R65">
        <v>657</v>
      </c>
      <c r="S65">
        <v>176.23390557900001</v>
      </c>
    </row>
    <row r="66" spans="1:19" x14ac:dyDescent="0.2">
      <c r="A66" s="1">
        <v>43906</v>
      </c>
      <c r="B66" t="str">
        <f>"SH20015869"</f>
        <v>SH20015869</v>
      </c>
      <c r="C66" t="str">
        <f>"IMRP10243X"</f>
        <v>IMRP10243X</v>
      </c>
      <c r="D66" t="str">
        <f>"Allplex 2019-nCoV 100T - RP10243X"</f>
        <v>Allplex 2019-nCoV 100T - RP10243X</v>
      </c>
      <c r="E66" t="str">
        <f>"200737"</f>
        <v>200737</v>
      </c>
      <c r="F66" t="str">
        <f>"ד""ר חיים בן צבי - בי""ח בלינסון"</f>
        <v>ד"ר חיים בן צבי - בי"ח בלינסון</v>
      </c>
      <c r="G66" t="str">
        <f>"22100"</f>
        <v>22100</v>
      </c>
      <c r="H66" t="str">
        <f>"שרותי בריאות כללית-מנהל אספקה"</f>
        <v>שרותי בריאות כללית-מנהל אספקה</v>
      </c>
      <c r="I66" t="str">
        <f>"22100"</f>
        <v>22100</v>
      </c>
      <c r="J66" t="str">
        <f>"שרותי בריאות כללית-מנהל אספקה"</f>
        <v>שרותי בריאות כללית-מנהל אספקה</v>
      </c>
      <c r="L66" t="str">
        <f>"Y"</f>
        <v>Y</v>
      </c>
      <c r="M66" t="str">
        <f>"IMPORT"</f>
        <v>IMPORT</v>
      </c>
      <c r="N66" t="str">
        <f>"SO20014510"</f>
        <v>SO20014510</v>
      </c>
      <c r="P66">
        <v>700</v>
      </c>
      <c r="Q66">
        <v>5</v>
      </c>
      <c r="R66" s="2">
        <v>12782</v>
      </c>
      <c r="S66" s="2">
        <v>3428.6480686700002</v>
      </c>
    </row>
    <row r="67" spans="1:19" x14ac:dyDescent="0.2">
      <c r="A67" s="1">
        <v>43906</v>
      </c>
      <c r="B67" t="str">
        <f>"SH20015871"</f>
        <v>SH20015871</v>
      </c>
      <c r="C67" t="str">
        <f>"IMRP10243X"</f>
        <v>IMRP10243X</v>
      </c>
      <c r="D67" t="str">
        <f>"Allplex 2019-nCoV 100T - RP10243X"</f>
        <v>Allplex 2019-nCoV 100T - RP10243X</v>
      </c>
      <c r="E67" t="str">
        <f>"201144"</f>
        <v>201144</v>
      </c>
      <c r="F67" t="str">
        <f>"ד""ר ציפורה לזרוביץ - אסף הרופא"</f>
        <v>ד"ר ציפורה לזרוביץ - אסף הרופא</v>
      </c>
      <c r="G67" t="str">
        <f>"27027"</f>
        <v>27027</v>
      </c>
      <c r="H67" t="str">
        <f>"שראל-פתרונות לוגיסטיים ומוצרים"</f>
        <v>שראל-פתרונות לוגיסטיים ומוצרים</v>
      </c>
      <c r="I67" t="str">
        <f>"27027"</f>
        <v>27027</v>
      </c>
      <c r="J67" t="str">
        <f>"שראל-פתרונות לוגיסטיים ומוצרים"</f>
        <v>שראל-פתרונות לוגיסטיים ומוצרים</v>
      </c>
      <c r="L67" t="str">
        <f>"Y"</f>
        <v>Y</v>
      </c>
      <c r="M67" t="str">
        <f>"IMPORT"</f>
        <v>IMPORT</v>
      </c>
      <c r="N67" t="str">
        <f>"SO20014509"</f>
        <v>SO20014509</v>
      </c>
      <c r="P67">
        <v>700</v>
      </c>
      <c r="Q67">
        <v>1</v>
      </c>
      <c r="R67" s="2">
        <v>2479.7080000000001</v>
      </c>
      <c r="S67">
        <v>665.15772532200003</v>
      </c>
    </row>
    <row r="68" spans="1:19" x14ac:dyDescent="0.2">
      <c r="A68" s="1">
        <v>43906</v>
      </c>
      <c r="B68" t="str">
        <f>"SH20015886"</f>
        <v>SH20015886</v>
      </c>
      <c r="C68" t="str">
        <f>"IMRP10243X"</f>
        <v>IMRP10243X</v>
      </c>
      <c r="D68" t="str">
        <f>"Allplex 2019-nCoV 100T - RP10243X"</f>
        <v>Allplex 2019-nCoV 100T - RP10243X</v>
      </c>
      <c r="E68" t="str">
        <f>"25335"</f>
        <v>25335</v>
      </c>
      <c r="F68" t="str">
        <f>"המעבדה המרכזית שרותי בריאות"</f>
        <v>המעבדה המרכזית שרותי בריאות</v>
      </c>
      <c r="G68" t="str">
        <f>"22100"</f>
        <v>22100</v>
      </c>
      <c r="H68" t="str">
        <f>"שרותי בריאות כללית-מנהל אספקה"</f>
        <v>שרותי בריאות כללית-מנהל אספקה</v>
      </c>
      <c r="I68" t="str">
        <f>"22100"</f>
        <v>22100</v>
      </c>
      <c r="J68" t="str">
        <f>"שרותי בריאות כללית-מנהל אספקה"</f>
        <v>שרותי בריאות כללית-מנהל אספקה</v>
      </c>
      <c r="L68" t="str">
        <f>"N"</f>
        <v>N</v>
      </c>
      <c r="M68" t="str">
        <f>"IMPORT"</f>
        <v>IMPORT</v>
      </c>
      <c r="N68" t="str">
        <f>"SO20014512"</f>
        <v>SO20014512</v>
      </c>
      <c r="P68">
        <v>700</v>
      </c>
      <c r="Q68">
        <v>13</v>
      </c>
      <c r="R68" s="2">
        <v>33233.199999999997</v>
      </c>
      <c r="S68" s="2">
        <v>8914.4849785410006</v>
      </c>
    </row>
    <row r="69" spans="1:19" x14ac:dyDescent="0.2">
      <c r="A69" s="1">
        <v>43907</v>
      </c>
      <c r="B69" t="str">
        <f>"SH20015895"</f>
        <v>SH20015895</v>
      </c>
      <c r="C69" t="str">
        <f>"IM235905"</f>
        <v>IM235905</v>
      </c>
      <c r="D69" t="str">
        <f>"HIGH VOLUME TIPS(1000UL)- 235905"</f>
        <v>HIGH VOLUME TIPS(1000UL)- 235905</v>
      </c>
      <c r="E69" t="str">
        <f>"201201"</f>
        <v>201201</v>
      </c>
      <c r="F69" t="str">
        <f>"כללית נשר בקטריולוגית - חיפה"</f>
        <v>כללית נשר בקטריולוגית - חיפה</v>
      </c>
      <c r="G69" t="str">
        <f>"22100"</f>
        <v>22100</v>
      </c>
      <c r="H69" t="str">
        <f>"שרותי בריאות כללית-מנהל אספקה"</f>
        <v>שרותי בריאות כללית-מנהל אספקה</v>
      </c>
      <c r="I69" t="str">
        <f>"22100"</f>
        <v>22100</v>
      </c>
      <c r="J69" t="str">
        <f>"שרותי בריאות כללית-מנהל אספקה"</f>
        <v>שרותי בריאות כללית-מנהל אספקה</v>
      </c>
      <c r="L69" t="str">
        <f>"N"</f>
        <v>N</v>
      </c>
      <c r="M69" t="str">
        <f>"IMPORT"</f>
        <v>IMPORT</v>
      </c>
      <c r="N69" t="str">
        <f>"SO20013745"</f>
        <v>SO20013745</v>
      </c>
      <c r="P69">
        <v>594</v>
      </c>
      <c r="Q69">
        <v>1</v>
      </c>
      <c r="R69" s="2">
        <v>2214.4319999999998</v>
      </c>
      <c r="S69">
        <v>573.38995339200005</v>
      </c>
    </row>
    <row r="70" spans="1:19" x14ac:dyDescent="0.2">
      <c r="A70" s="1">
        <v>43907</v>
      </c>
      <c r="B70" t="str">
        <f>"SH20015895"</f>
        <v>SH20015895</v>
      </c>
      <c r="C70" t="str">
        <f>"IMSDP0096"</f>
        <v>IMSDP0096</v>
      </c>
      <c r="D70" t="str">
        <f>"NIMBUS-96 DEEP WELL MICRO PLATE SDP0096"</f>
        <v>NIMBUS-96 DEEP WELL MICRO PLATE SDP0096</v>
      </c>
      <c r="E70" t="str">
        <f>"201201"</f>
        <v>201201</v>
      </c>
      <c r="F70" t="str">
        <f>"כללית נשר בקטריולוגית - חיפה"</f>
        <v>כללית נשר בקטריולוגית - חיפה</v>
      </c>
      <c r="G70" t="str">
        <f>"22100"</f>
        <v>22100</v>
      </c>
      <c r="H70" t="str">
        <f>"שרותי בריאות כללית-מנהל אספקה"</f>
        <v>שרותי בריאות כללית-מנהל אספקה</v>
      </c>
      <c r="I70" t="str">
        <f>"22100"</f>
        <v>22100</v>
      </c>
      <c r="J70" t="str">
        <f>"שרותי בריאות כללית-מנהל אספקה"</f>
        <v>שרותי בריאות כללית-מנהל אספקה</v>
      </c>
      <c r="L70" t="str">
        <f>"N"</f>
        <v>N</v>
      </c>
      <c r="M70" t="str">
        <f>"IMPORT"</f>
        <v>IMPORT</v>
      </c>
      <c r="N70" t="str">
        <f>"SO20013745"</f>
        <v>SO20013745</v>
      </c>
      <c r="P70">
        <v>384</v>
      </c>
      <c r="Q70">
        <v>1</v>
      </c>
      <c r="R70" s="2">
        <v>1431.5519999999999</v>
      </c>
      <c r="S70">
        <v>370.67633350599999</v>
      </c>
    </row>
    <row r="71" spans="1:19" x14ac:dyDescent="0.2">
      <c r="A71" s="1">
        <v>43907</v>
      </c>
      <c r="B71" t="str">
        <f>"SH20015897"</f>
        <v>SH20015897</v>
      </c>
      <c r="C71" t="str">
        <f>"IM235903"</f>
        <v>IM235903</v>
      </c>
      <c r="D71" t="str">
        <f>"STANDARD VOLUME TIPS(300UL)- 235903"</f>
        <v>STANDARD VOLUME TIPS(300UL)- 235903</v>
      </c>
      <c r="E71" t="str">
        <f>"201181"</f>
        <v>201181</v>
      </c>
      <c r="F71" t="str">
        <f>"לאומית מעבדה אור יהודה"</f>
        <v>לאומית מעבדה אור יהודה</v>
      </c>
      <c r="G71" t="str">
        <f>"22103"</f>
        <v>22103</v>
      </c>
      <c r="H71" t="str">
        <f>"קופ'ח לאומית אור יהודה)פ'ת לשע"</f>
        <v>קופ'ח לאומית אור יהודה)פ'ת לשע</v>
      </c>
      <c r="I71" t="str">
        <f>"22103"</f>
        <v>22103</v>
      </c>
      <c r="J71" t="str">
        <f>"קופ'ח לאומית אור יהודה)פ'ת לשע"</f>
        <v>קופ'ח לאומית אור יהודה)פ'ת לשע</v>
      </c>
      <c r="L71" t="str">
        <f>"Y"</f>
        <v>Y</v>
      </c>
      <c r="M71" t="str">
        <f>"IMPORT"</f>
        <v>IMPORT</v>
      </c>
      <c r="N71" t="str">
        <f>"SO20014553"</f>
        <v>SO20014553</v>
      </c>
      <c r="P71" s="2">
        <v>1045.6600000000001</v>
      </c>
      <c r="Q71">
        <v>1</v>
      </c>
      <c r="R71" s="2">
        <v>4038.3389200000001</v>
      </c>
      <c r="S71" s="2">
        <v>1045.6600000000001</v>
      </c>
    </row>
    <row r="72" spans="1:19" x14ac:dyDescent="0.2">
      <c r="A72" s="1">
        <v>43907</v>
      </c>
      <c r="B72" t="str">
        <f>"SH20015897"</f>
        <v>SH20015897</v>
      </c>
      <c r="C72" t="str">
        <f>"IM235905"</f>
        <v>IM235905</v>
      </c>
      <c r="D72" t="str">
        <f>"HIGH VOLUME TIPS(1000UL)- 235905"</f>
        <v>HIGH VOLUME TIPS(1000UL)- 235905</v>
      </c>
      <c r="E72" t="str">
        <f>"201181"</f>
        <v>201181</v>
      </c>
      <c r="F72" t="str">
        <f>"לאומית מעבדה אור יהודה"</f>
        <v>לאומית מעבדה אור יהודה</v>
      </c>
      <c r="G72" t="str">
        <f>"22103"</f>
        <v>22103</v>
      </c>
      <c r="H72" t="str">
        <f>"קופ'ח לאומית אור יהודה)פ'ת לשע"</f>
        <v>קופ'ח לאומית אור יהודה)פ'ת לשע</v>
      </c>
      <c r="I72" t="str">
        <f>"22103"</f>
        <v>22103</v>
      </c>
      <c r="J72" t="str">
        <f>"קופ'ח לאומית אור יהודה)פ'ת לשע"</f>
        <v>קופ'ח לאומית אור יהודה)פ'ת לשע</v>
      </c>
      <c r="L72" t="str">
        <f>"Y"</f>
        <v>Y</v>
      </c>
      <c r="M72" t="str">
        <f>"IMPORT"</f>
        <v>IMPORT</v>
      </c>
      <c r="N72" t="str">
        <f>"SO20014553"</f>
        <v>SO20014553</v>
      </c>
      <c r="P72">
        <v>700.34</v>
      </c>
      <c r="Q72">
        <v>2</v>
      </c>
      <c r="R72" s="2">
        <v>5409.42616</v>
      </c>
      <c r="S72" s="2">
        <v>1400.68</v>
      </c>
    </row>
    <row r="73" spans="1:19" x14ac:dyDescent="0.2">
      <c r="A73" s="1">
        <v>43907</v>
      </c>
      <c r="B73" t="str">
        <f>"SH20015897"</f>
        <v>SH20015897</v>
      </c>
      <c r="C73" t="str">
        <f>"IM7443004U"</f>
        <v>IM7443004U</v>
      </c>
      <c r="D73" t="str">
        <f>"STARMAG 96*4 UNIVERSAL -744300.4.UC384"</f>
        <v>STARMAG 96*4 UNIVERSAL -744300.4.UC384</v>
      </c>
      <c r="E73" t="str">
        <f>"201181"</f>
        <v>201181</v>
      </c>
      <c r="F73" t="str">
        <f>"לאומית מעבדה אור יהודה"</f>
        <v>לאומית מעבדה אור יהודה</v>
      </c>
      <c r="G73" t="str">
        <f>"22103"</f>
        <v>22103</v>
      </c>
      <c r="H73" t="str">
        <f>"קופ'ח לאומית אור יהודה)פ'ת לשע"</f>
        <v>קופ'ח לאומית אור יהודה)פ'ת לשע</v>
      </c>
      <c r="I73" t="str">
        <f>"22103"</f>
        <v>22103</v>
      </c>
      <c r="J73" t="str">
        <f>"קופ'ח לאומית אור יהודה)פ'ת לשע"</f>
        <v>קופ'ח לאומית אור יהודה)פ'ת לשע</v>
      </c>
      <c r="L73" t="str">
        <f>"Y"</f>
        <v>Y</v>
      </c>
      <c r="M73" t="str">
        <f>"IMPORT"</f>
        <v>IMPORT</v>
      </c>
      <c r="N73" t="str">
        <f>"SO20014553"</f>
        <v>SO20014553</v>
      </c>
      <c r="P73" s="2">
        <v>1100.95</v>
      </c>
      <c r="Q73">
        <v>2</v>
      </c>
      <c r="R73" s="2">
        <v>8503.7378000000008</v>
      </c>
      <c r="S73" s="2">
        <v>2201.9</v>
      </c>
    </row>
    <row r="74" spans="1:19" x14ac:dyDescent="0.2">
      <c r="A74" s="1">
        <v>43907</v>
      </c>
      <c r="B74" t="str">
        <f>"SH20015899"</f>
        <v>SH20015899</v>
      </c>
      <c r="C74" t="str">
        <f>"IMTCS0803"</f>
        <v>IMTCS0803</v>
      </c>
      <c r="D74" t="str">
        <f>"OPTICAL FLAT CAPS FOR 0.2ML 120X8"</f>
        <v>OPTICAL FLAT CAPS FOR 0.2ML 120X8</v>
      </c>
      <c r="E74" t="str">
        <f>"200893"</f>
        <v>200893</v>
      </c>
      <c r="F74" t="str">
        <f>"ד""ר שרון עמית - בי""ח תה""ש"</f>
        <v>ד"ר שרון עמית - בי"ח תה"ש</v>
      </c>
      <c r="G74" t="str">
        <f>"21133"</f>
        <v>21133</v>
      </c>
      <c r="H74" t="str">
        <f>"מרכז רפואי שיבא- תל השומר רכש ריאגנטים"</f>
        <v>מרכז רפואי שיבא- תל השומר רכש ריאגנטים</v>
      </c>
      <c r="I74" t="str">
        <f>"21133"</f>
        <v>21133</v>
      </c>
      <c r="J74" t="str">
        <f>"מרכז רפואי שיבא- תל השומר רכש ריאגנטים"</f>
        <v>מרכז רפואי שיבא- תל השומר רכש ריאגנטים</v>
      </c>
      <c r="L74" t="str">
        <f>"N"</f>
        <v>N</v>
      </c>
      <c r="M74" t="str">
        <f>"IMPORT"</f>
        <v>IMPORT</v>
      </c>
      <c r="N74" t="str">
        <f>"SO20014552"</f>
        <v>SO20014552</v>
      </c>
      <c r="P74">
        <v>72</v>
      </c>
      <c r="Q74">
        <v>10</v>
      </c>
      <c r="R74" s="2">
        <v>2684.16</v>
      </c>
      <c r="S74">
        <v>695.01812532400004</v>
      </c>
    </row>
    <row r="75" spans="1:19" x14ac:dyDescent="0.2">
      <c r="A75" s="1">
        <v>43907</v>
      </c>
      <c r="B75" t="str">
        <f>"SH20015902"</f>
        <v>SH20015902</v>
      </c>
      <c r="C75" t="str">
        <f>"IMHSP9655"</f>
        <v>IMHSP9655</v>
      </c>
      <c r="D75" t="str">
        <f>"PLATE WELL 96(WHITE)50EA/BOX-HSP9655"</f>
        <v>PLATE WELL 96(WHITE)50EA/BOX-HSP9655</v>
      </c>
      <c r="E75" t="str">
        <f>"201181"</f>
        <v>201181</v>
      </c>
      <c r="F75" t="str">
        <f>"לאומית מעבדה אור יהודה"</f>
        <v>לאומית מעבדה אור יהודה</v>
      </c>
      <c r="G75" t="str">
        <f>"22103"</f>
        <v>22103</v>
      </c>
      <c r="H75" t="str">
        <f>"קופ'ח לאומית אור יהודה)פ'ת לשע"</f>
        <v>קופ'ח לאומית אור יהודה)פ'ת לשע</v>
      </c>
      <c r="I75" t="str">
        <f>"22103"</f>
        <v>22103</v>
      </c>
      <c r="J75" t="str">
        <f>"קופ'ח לאומית אור יהודה)פ'ת לשע"</f>
        <v>קופ'ח לאומית אור יהודה)פ'ת לשע</v>
      </c>
      <c r="L75" t="str">
        <f>"Y"</f>
        <v>Y</v>
      </c>
      <c r="M75" t="str">
        <f>"IMPORT"</f>
        <v>IMPORT</v>
      </c>
      <c r="N75" t="str">
        <f>"SO20014553"</f>
        <v>SO20014553</v>
      </c>
      <c r="P75">
        <v>357.01</v>
      </c>
      <c r="Q75">
        <v>1</v>
      </c>
      <c r="R75" s="2">
        <v>1378.77262</v>
      </c>
      <c r="S75">
        <v>357.01</v>
      </c>
    </row>
    <row r="76" spans="1:19" x14ac:dyDescent="0.2">
      <c r="A76" s="1">
        <v>43907</v>
      </c>
      <c r="B76" t="str">
        <f>"SH20015902"</f>
        <v>SH20015902</v>
      </c>
      <c r="C76" t="str">
        <f>"IMTCS0803"</f>
        <v>IMTCS0803</v>
      </c>
      <c r="D76" t="str">
        <f>"OPTICAL FLAT CAPS FOR 0.2ML 120X8"</f>
        <v>OPTICAL FLAT CAPS FOR 0.2ML 120X8</v>
      </c>
      <c r="E76" t="str">
        <f>"201181"</f>
        <v>201181</v>
      </c>
      <c r="F76" t="str">
        <f>"לאומית מעבדה אור יהודה"</f>
        <v>לאומית מעבדה אור יהודה</v>
      </c>
      <c r="G76" t="str">
        <f>"22103"</f>
        <v>22103</v>
      </c>
      <c r="H76" t="str">
        <f>"קופ'ח לאומית אור יהודה)פ'ת לשע"</f>
        <v>קופ'ח לאומית אור יהודה)פ'ת לשע</v>
      </c>
      <c r="I76" t="str">
        <f>"22103"</f>
        <v>22103</v>
      </c>
      <c r="J76" t="str">
        <f>"קופ'ח לאומית אור יהודה)פ'ת לשע"</f>
        <v>קופ'ח לאומית אור יהודה)פ'ת לשע</v>
      </c>
      <c r="L76" t="str">
        <f>"Y"</f>
        <v>Y</v>
      </c>
      <c r="M76" t="str">
        <f>"IMPORT"</f>
        <v>IMPORT</v>
      </c>
      <c r="N76" t="str">
        <f>"SO20014553"</f>
        <v>SO20014553</v>
      </c>
      <c r="P76">
        <v>96.03</v>
      </c>
      <c r="Q76">
        <v>2</v>
      </c>
      <c r="R76">
        <v>715.99968000000001</v>
      </c>
      <c r="S76">
        <v>185.39608493</v>
      </c>
    </row>
    <row r="77" spans="1:19" x14ac:dyDescent="0.2">
      <c r="A77" s="1">
        <v>43907</v>
      </c>
      <c r="B77" t="str">
        <f>"SH20015908"</f>
        <v>SH20015908</v>
      </c>
      <c r="C77" t="str">
        <f>"IM235903"</f>
        <v>IM235903</v>
      </c>
      <c r="D77" t="str">
        <f>"STANDARD VOLUME TIPS(300UL)- 235903"</f>
        <v>STANDARD VOLUME TIPS(300UL)- 235903</v>
      </c>
      <c r="E77" t="str">
        <f>"200893"</f>
        <v>200893</v>
      </c>
      <c r="F77" t="str">
        <f>"ד""ר שרון עמית - בי""ח תה""ש"</f>
        <v>ד"ר שרון עמית - בי"ח תה"ש</v>
      </c>
      <c r="G77" t="str">
        <f>"21133"</f>
        <v>21133</v>
      </c>
      <c r="H77" t="str">
        <f>"מרכז רפואי שיבא- תל השומר רכש ריאגנטים"</f>
        <v>מרכז רפואי שיבא- תל השומר רכש ריאגנטים</v>
      </c>
      <c r="I77" t="str">
        <f>"21133"</f>
        <v>21133</v>
      </c>
      <c r="J77" t="str">
        <f>"מרכז רפואי שיבא- תל השומר רכש ריאגנטים"</f>
        <v>מרכז רפואי שיבא- תל השומר רכש ריאגנטים</v>
      </c>
      <c r="L77" t="str">
        <f>"N"</f>
        <v>N</v>
      </c>
      <c r="M77" t="str">
        <f>"IMPORT"</f>
        <v>IMPORT</v>
      </c>
      <c r="N77" t="str">
        <f>"SO20014552"</f>
        <v>SO20014552</v>
      </c>
      <c r="P77" s="2">
        <v>1100</v>
      </c>
      <c r="Q77">
        <v>3</v>
      </c>
      <c r="R77" s="2">
        <v>12302.4</v>
      </c>
      <c r="S77" s="2">
        <v>3185.4997410669998</v>
      </c>
    </row>
    <row r="78" spans="1:19" x14ac:dyDescent="0.2">
      <c r="A78" s="1">
        <v>43907</v>
      </c>
      <c r="B78" t="str">
        <f>"SH20015908"</f>
        <v>SH20015908</v>
      </c>
      <c r="C78" t="str">
        <f>"IM235905"</f>
        <v>IM235905</v>
      </c>
      <c r="D78" t="str">
        <f>"HIGH VOLUME TIPS(1000UL)- 235905"</f>
        <v>HIGH VOLUME TIPS(1000UL)- 235905</v>
      </c>
      <c r="E78" t="str">
        <f>"200893"</f>
        <v>200893</v>
      </c>
      <c r="F78" t="str">
        <f>"ד""ר שרון עמית - בי""ח תה""ש"</f>
        <v>ד"ר שרון עמית - בי"ח תה"ש</v>
      </c>
      <c r="G78" t="str">
        <f>"21133"</f>
        <v>21133</v>
      </c>
      <c r="H78" t="str">
        <f>"מרכז רפואי שיבא- תל השומר רכש ריאגנטים"</f>
        <v>מרכז רפואי שיבא- תל השומר רכש ריאגנטים</v>
      </c>
      <c r="I78" t="str">
        <f>"21133"</f>
        <v>21133</v>
      </c>
      <c r="J78" t="str">
        <f>"מרכז רפואי שיבא- תל השומר רכש ריאגנטים"</f>
        <v>מרכז רפואי שיבא- תל השומר רכש ריאגנטים</v>
      </c>
      <c r="L78" t="str">
        <f>"N"</f>
        <v>N</v>
      </c>
      <c r="M78" t="str">
        <f>"IMPORT"</f>
        <v>IMPORT</v>
      </c>
      <c r="N78" t="str">
        <f>"SO20014552"</f>
        <v>SO20014552</v>
      </c>
      <c r="P78">
        <v>700</v>
      </c>
      <c r="Q78">
        <v>7</v>
      </c>
      <c r="R78" s="2">
        <v>18267.2</v>
      </c>
      <c r="S78" s="2">
        <v>4729.984464008</v>
      </c>
    </row>
    <row r="79" spans="1:19" x14ac:dyDescent="0.2">
      <c r="A79" s="1">
        <v>43907</v>
      </c>
      <c r="B79" t="str">
        <f>"SH20015908"</f>
        <v>SH20015908</v>
      </c>
      <c r="C79" t="str">
        <f>"IM7443004U"</f>
        <v>IM7443004U</v>
      </c>
      <c r="D79" t="str">
        <f>"STARMAG 96*4 UNIVERSAL -744300.4.UC384"</f>
        <v>STARMAG 96*4 UNIVERSAL -744300.4.UC384</v>
      </c>
      <c r="E79" t="str">
        <f>"200893"</f>
        <v>200893</v>
      </c>
      <c r="F79" t="str">
        <f>"ד""ר שרון עמית - בי""ח תה""ש"</f>
        <v>ד"ר שרון עמית - בי"ח תה"ש</v>
      </c>
      <c r="G79" t="str">
        <f>"21133"</f>
        <v>21133</v>
      </c>
      <c r="H79" t="str">
        <f>"מרכז רפואי שיבא- תל השומר רכש ריאגנטים"</f>
        <v>מרכז רפואי שיבא- תל השומר רכש ריאגנטים</v>
      </c>
      <c r="I79" t="str">
        <f>"21133"</f>
        <v>21133</v>
      </c>
      <c r="J79" t="str">
        <f>"מרכז רפואי שיבא- תל השומר רכש ריאגנטים"</f>
        <v>מרכז רפואי שיבא- תל השומר רכש ריאגנטים</v>
      </c>
      <c r="L79" t="str">
        <f>"N"</f>
        <v>N</v>
      </c>
      <c r="M79" t="str">
        <f>"IMPORT"</f>
        <v>IMPORT</v>
      </c>
      <c r="N79" t="str">
        <f>"SO20014552"</f>
        <v>SO20014552</v>
      </c>
      <c r="P79" s="2">
        <v>1230</v>
      </c>
      <c r="Q79">
        <v>15</v>
      </c>
      <c r="R79" s="2">
        <v>58464.36</v>
      </c>
      <c r="S79" s="2">
        <v>15138.363542200001</v>
      </c>
    </row>
    <row r="80" spans="1:19" x14ac:dyDescent="0.2">
      <c r="A80" s="1">
        <v>43907</v>
      </c>
      <c r="B80" t="str">
        <f>"SH20015908"</f>
        <v>SH20015908</v>
      </c>
      <c r="C80" t="str">
        <f>"IMSDP0096"</f>
        <v>IMSDP0096</v>
      </c>
      <c r="D80" t="str">
        <f>"NIMBUS-96 DEEP WELL MICRO PLATE SDP0096"</f>
        <v>NIMBUS-96 DEEP WELL MICRO PLATE SDP0096</v>
      </c>
      <c r="E80" t="str">
        <f>"200893"</f>
        <v>200893</v>
      </c>
      <c r="F80" t="str">
        <f>"ד""ר שרון עמית - בי""ח תה""ש"</f>
        <v>ד"ר שרון עמית - בי"ח תה"ש</v>
      </c>
      <c r="G80" t="str">
        <f>"21133"</f>
        <v>21133</v>
      </c>
      <c r="H80" t="str">
        <f>"מרכז רפואי שיבא- תל השומר רכש ריאגנטים"</f>
        <v>מרכז רפואי שיבא- תל השומר רכש ריאגנטים</v>
      </c>
      <c r="I80" t="str">
        <f>"21133"</f>
        <v>21133</v>
      </c>
      <c r="J80" t="str">
        <f>"מרכז רפואי שיבא- תל השומר רכש ריאגנטים"</f>
        <v>מרכז רפואי שיבא- תל השומר רכש ריאגנטים</v>
      </c>
      <c r="L80" t="str">
        <f>"N"</f>
        <v>N</v>
      </c>
      <c r="M80" t="str">
        <f>"IMPORT"</f>
        <v>IMPORT</v>
      </c>
      <c r="N80" t="str">
        <f>"SO20014552"</f>
        <v>SO20014552</v>
      </c>
      <c r="P80">
        <v>460</v>
      </c>
      <c r="Q80">
        <v>1</v>
      </c>
      <c r="R80" s="2">
        <v>1714.88</v>
      </c>
      <c r="S80">
        <v>444.03935784599997</v>
      </c>
    </row>
    <row r="81" spans="1:19" x14ac:dyDescent="0.2">
      <c r="A81" s="1">
        <v>43907</v>
      </c>
      <c r="B81" t="str">
        <f>"SH20015909"</f>
        <v>SH20015909</v>
      </c>
      <c r="C81" t="str">
        <f>"IMTCS0803"</f>
        <v>IMTCS0803</v>
      </c>
      <c r="D81" t="str">
        <f>"OPTICAL FLAT CAPS FOR 0.2ML 120X8"</f>
        <v>OPTICAL FLAT CAPS FOR 0.2ML 120X8</v>
      </c>
      <c r="E81" t="str">
        <f>"201201"</f>
        <v>201201</v>
      </c>
      <c r="F81" t="str">
        <f>"כללית נשר בקטריולוגית - חיפה"</f>
        <v>כללית נשר בקטריולוגית - חיפה</v>
      </c>
      <c r="G81" t="str">
        <f>"22100"</f>
        <v>22100</v>
      </c>
      <c r="H81" t="str">
        <f>"שרותי בריאות כללית-מנהל אספקה"</f>
        <v>שרותי בריאות כללית-מנהל אספקה</v>
      </c>
      <c r="I81" t="str">
        <f>"22100"</f>
        <v>22100</v>
      </c>
      <c r="J81" t="str">
        <f>"שרותי בריאות כללית-מנהל אספקה"</f>
        <v>שרותי בריאות כללית-מנהל אספקה</v>
      </c>
      <c r="L81" t="str">
        <f>"N"</f>
        <v>N</v>
      </c>
      <c r="M81" t="str">
        <f>"IMPORT"</f>
        <v>IMPORT</v>
      </c>
      <c r="N81" t="str">
        <f>"SO20013745"</f>
        <v>SO20013745</v>
      </c>
      <c r="P81">
        <v>62</v>
      </c>
      <c r="Q81">
        <v>1</v>
      </c>
      <c r="R81">
        <v>231.136</v>
      </c>
      <c r="S81">
        <v>59.848783013999999</v>
      </c>
    </row>
    <row r="82" spans="1:19" x14ac:dyDescent="0.2">
      <c r="A82" s="1">
        <v>43907</v>
      </c>
      <c r="B82" t="str">
        <f>"SH20015914"</f>
        <v>SH20015914</v>
      </c>
      <c r="C82" t="str">
        <f>"IMRP10243X"</f>
        <v>IMRP10243X</v>
      </c>
      <c r="D82" t="str">
        <f>"Allplex 2019-nCoV 100T - RP10243X"</f>
        <v>Allplex 2019-nCoV 100T - RP10243X</v>
      </c>
      <c r="E82" t="str">
        <f>"200851"</f>
        <v>200851</v>
      </c>
      <c r="F82" t="str">
        <f>"ד""ר סרוגו יצחק - בי""ח בני ציון"</f>
        <v>ד"ר סרוגו יצחק - בי"ח בני ציון</v>
      </c>
      <c r="G82" t="str">
        <f>"27027"</f>
        <v>27027</v>
      </c>
      <c r="H82" t="str">
        <f>"שראל-פתרונות לוגיסטיים ומוצרים"</f>
        <v>שראל-פתרונות לוגיסטיים ומוצרים</v>
      </c>
      <c r="I82" t="str">
        <f>"27027"</f>
        <v>27027</v>
      </c>
      <c r="J82" t="str">
        <f>"שראל-פתרונות לוגיסטיים ומוצרים"</f>
        <v>שראל-פתרונות לוגיסטיים ומוצרים</v>
      </c>
      <c r="L82" t="str">
        <f>"Y"</f>
        <v>Y</v>
      </c>
      <c r="M82" t="str">
        <f>"IMPORT"</f>
        <v>IMPORT</v>
      </c>
      <c r="N82" t="str">
        <f>"SO20014570"</f>
        <v>SO20014570</v>
      </c>
      <c r="P82">
        <v>679</v>
      </c>
      <c r="Q82">
        <v>1</v>
      </c>
      <c r="R82" s="2">
        <v>2531.3119999999999</v>
      </c>
      <c r="S82">
        <v>655.44070429800001</v>
      </c>
    </row>
    <row r="83" spans="1:19" x14ac:dyDescent="0.2">
      <c r="A83" s="1">
        <v>43907</v>
      </c>
      <c r="B83" t="str">
        <f>"SH20015915"</f>
        <v>SH20015915</v>
      </c>
      <c r="C83" t="str">
        <f>"IMRP10243X"</f>
        <v>IMRP10243X</v>
      </c>
      <c r="D83" t="str">
        <f>"Allplex 2019-nCoV 100T - RP10243X"</f>
        <v>Allplex 2019-nCoV 100T - RP10243X</v>
      </c>
      <c r="E83" t="str">
        <f>"20194"</f>
        <v>20194</v>
      </c>
      <c r="F83" t="str">
        <f>"ד""ר שרית פרימן - דרך שראל"</f>
        <v>ד"ר שרית פרימן - דרך שראל</v>
      </c>
      <c r="G83" t="str">
        <f>"27027"</f>
        <v>27027</v>
      </c>
      <c r="H83" t="str">
        <f>"שראל-פתרונות לוגיסטיים ומוצרים"</f>
        <v>שראל-פתרונות לוגיסטיים ומוצרים</v>
      </c>
      <c r="I83" t="str">
        <f>"27027"</f>
        <v>27027</v>
      </c>
      <c r="J83" t="str">
        <f>"שראל-פתרונות לוגיסטיים ומוצרים"</f>
        <v>שראל-פתרונות לוגיסטיים ומוצרים</v>
      </c>
      <c r="L83" t="str">
        <f>"Y"</f>
        <v>Y</v>
      </c>
      <c r="M83" t="str">
        <f>"IMPORT"</f>
        <v>IMPORT</v>
      </c>
      <c r="N83" t="str">
        <f>"SO20014569"</f>
        <v>SO20014569</v>
      </c>
      <c r="P83">
        <v>700</v>
      </c>
      <c r="Q83">
        <v>1</v>
      </c>
      <c r="R83" s="2">
        <v>2531.3119999999999</v>
      </c>
      <c r="S83">
        <v>655.44070429800001</v>
      </c>
    </row>
    <row r="84" spans="1:19" x14ac:dyDescent="0.2">
      <c r="A84" s="1">
        <v>43907</v>
      </c>
      <c r="B84" t="str">
        <f>"SH20015918"</f>
        <v>SH20015918</v>
      </c>
      <c r="C84" t="str">
        <f>"IMRP10243X"</f>
        <v>IMRP10243X</v>
      </c>
      <c r="D84" t="str">
        <f>"Allplex 2019-nCoV 100T - RP10243X"</f>
        <v>Allplex 2019-nCoV 100T - RP10243X</v>
      </c>
      <c r="E84" t="str">
        <f>"200163"</f>
        <v>200163</v>
      </c>
      <c r="F84" t="str">
        <f>"ד""ר ריטה ברנשטיין - בי""ח קפלן"</f>
        <v>ד"ר ריטה ברנשטיין - בי"ח קפלן</v>
      </c>
      <c r="G84" t="str">
        <f>"22100"</f>
        <v>22100</v>
      </c>
      <c r="H84" t="str">
        <f>"שרותי בריאות כללית-מנהל אספקה"</f>
        <v>שרותי בריאות כללית-מנהל אספקה</v>
      </c>
      <c r="I84" t="str">
        <f>"22100"</f>
        <v>22100</v>
      </c>
      <c r="J84" t="str">
        <f>"שרותי בריאות כללית-מנהל אספקה"</f>
        <v>שרותי בריאות כללית-מנהל אספקה</v>
      </c>
      <c r="L84" t="str">
        <f>"Y"</f>
        <v>Y</v>
      </c>
      <c r="M84" t="str">
        <f>"IMPORT"</f>
        <v>IMPORT</v>
      </c>
      <c r="N84" t="str">
        <f>"SO20014575"</f>
        <v>SO20014575</v>
      </c>
      <c r="P84">
        <v>700</v>
      </c>
      <c r="Q84">
        <v>2</v>
      </c>
      <c r="R84" s="2">
        <v>5219.2</v>
      </c>
      <c r="S84" s="2">
        <v>1351.4241325739999</v>
      </c>
    </row>
    <row r="85" spans="1:19" x14ac:dyDescent="0.2">
      <c r="A85" s="1">
        <v>43907</v>
      </c>
      <c r="B85" t="str">
        <f>"SH20015925"</f>
        <v>SH20015925</v>
      </c>
      <c r="C85" t="str">
        <f>"IMTCS0803"</f>
        <v>IMTCS0803</v>
      </c>
      <c r="D85" t="str">
        <f>"OPTICAL FLAT CAPS FOR 0.2ML 120X8"</f>
        <v>OPTICAL FLAT CAPS FOR 0.2ML 120X8</v>
      </c>
      <c r="E85" t="str">
        <f>"200851"</f>
        <v>200851</v>
      </c>
      <c r="F85" t="str">
        <f>"ד""ר סרוגו יצחק - בי""ח בני ציון"</f>
        <v>ד"ר סרוגו יצחק - בי"ח בני ציון</v>
      </c>
      <c r="G85" t="str">
        <f>"27027"</f>
        <v>27027</v>
      </c>
      <c r="H85" t="str">
        <f>"שראל-פתרונות לוגיסטיים ומוצרים"</f>
        <v>שראל-פתרונות לוגיסטיים ומוצרים</v>
      </c>
      <c r="I85" t="str">
        <f>"27027"</f>
        <v>27027</v>
      </c>
      <c r="J85" t="str">
        <f>"שראל-פתרונות לוגיסטיים ומוצרים"</f>
        <v>שראל-פתרונות לוגיסטיים ומוצרים</v>
      </c>
      <c r="K85" t="str">
        <f>"מחסן ציוד רפואי"</f>
        <v>מחסן ציוד רפואי</v>
      </c>
      <c r="L85" t="str">
        <f>"Y"</f>
        <v>Y</v>
      </c>
      <c r="M85" t="str">
        <f>"IMPORT"</f>
        <v>IMPORT</v>
      </c>
      <c r="N85" t="str">
        <f>"SO20013774"</f>
        <v>SO20013774</v>
      </c>
      <c r="P85">
        <v>142</v>
      </c>
      <c r="Q85">
        <v>1</v>
      </c>
      <c r="R85">
        <v>529.37599999999998</v>
      </c>
      <c r="S85">
        <v>137.07301916099999</v>
      </c>
    </row>
    <row r="86" spans="1:19" x14ac:dyDescent="0.2">
      <c r="A86" s="1">
        <v>43907</v>
      </c>
      <c r="B86" t="str">
        <f>"SH20015932"</f>
        <v>SH20015932</v>
      </c>
      <c r="C86" t="str">
        <f>"IMRP10243X"</f>
        <v>IMRP10243X</v>
      </c>
      <c r="D86" t="str">
        <f>"Allplex 2019-nCoV 100T - RP10243X"</f>
        <v>Allplex 2019-nCoV 100T - RP10243X</v>
      </c>
      <c r="E86" t="str">
        <f>"20185"</f>
        <v>20185</v>
      </c>
      <c r="F86" t="str">
        <f>"ד""ר הילה בן עמרם - בי""ח זיו צפת"</f>
        <v>ד"ר הילה בן עמרם - בי"ח זיו צפת</v>
      </c>
      <c r="G86" t="str">
        <f>"21139"</f>
        <v>21139</v>
      </c>
      <c r="H86" t="str">
        <f>"קרן מחקרים בי""ח זיו-תאגיד הבריאות"</f>
        <v>קרן מחקרים בי"ח זיו-תאגיד הבריאות</v>
      </c>
      <c r="I86" t="str">
        <f>"21129"</f>
        <v>21129</v>
      </c>
      <c r="J86" t="str">
        <f>"בי'ח זיו - צפת"</f>
        <v>בי'ח זיו - צפת</v>
      </c>
      <c r="L86" t="str">
        <f>"N"</f>
        <v>N</v>
      </c>
      <c r="M86" t="str">
        <f>"IMPORT"</f>
        <v>IMPORT</v>
      </c>
      <c r="N86" t="str">
        <f>"SO20014631"</f>
        <v>SO20014631</v>
      </c>
      <c r="P86">
        <v>679</v>
      </c>
      <c r="Q86">
        <v>1</v>
      </c>
      <c r="R86" s="2">
        <v>2531.3119999999999</v>
      </c>
      <c r="S86">
        <v>655.44070429800001</v>
      </c>
    </row>
    <row r="87" spans="1:19" x14ac:dyDescent="0.2">
      <c r="A87" s="1">
        <v>43907</v>
      </c>
      <c r="B87" t="str">
        <f>"SH20015933"</f>
        <v>SH20015933</v>
      </c>
      <c r="C87" t="str">
        <f>"IMRP10243X"</f>
        <v>IMRP10243X</v>
      </c>
      <c r="D87" t="str">
        <f>"Allplex 2019-nCoV 100T - RP10243X"</f>
        <v>Allplex 2019-nCoV 100T - RP10243X</v>
      </c>
      <c r="E87" t="str">
        <f>"201330"</f>
        <v>201330</v>
      </c>
      <c r="F87" t="str">
        <f>"בי""ח פוריה - אבי פרץ"</f>
        <v>בי"ח פוריה - אבי פרץ</v>
      </c>
      <c r="G87" t="str">
        <f>"27027"</f>
        <v>27027</v>
      </c>
      <c r="H87" t="str">
        <f>"שראל-פתרונות לוגיסטיים ומוצרים"</f>
        <v>שראל-פתרונות לוגיסטיים ומוצרים</v>
      </c>
      <c r="I87" t="str">
        <f>"27027"</f>
        <v>27027</v>
      </c>
      <c r="J87" t="str">
        <f>"שראל-פתרונות לוגיסטיים ומוצרים"</f>
        <v>שראל-פתרונות לוגיסטיים ומוצרים</v>
      </c>
      <c r="L87" t="str">
        <f>"Y"</f>
        <v>Y</v>
      </c>
      <c r="M87" t="str">
        <f>"IMPORT"</f>
        <v>IMPORT</v>
      </c>
      <c r="N87" t="str">
        <f>"SO20014628"</f>
        <v>SO20014628</v>
      </c>
      <c r="P87">
        <v>679</v>
      </c>
      <c r="Q87">
        <v>4</v>
      </c>
      <c r="R87" s="2">
        <v>10125.248</v>
      </c>
      <c r="S87" s="2">
        <v>2621.762817193</v>
      </c>
    </row>
    <row r="88" spans="1:19" x14ac:dyDescent="0.2">
      <c r="A88" s="1">
        <v>43907</v>
      </c>
      <c r="B88" t="str">
        <f>"SH20015954"</f>
        <v>SH20015954</v>
      </c>
      <c r="C88" t="str">
        <f>"IMRP10243X"</f>
        <v>IMRP10243X</v>
      </c>
      <c r="D88" t="str">
        <f>"Allplex 2019-nCoV 100T - RP10243X"</f>
        <v>Allplex 2019-nCoV 100T - RP10243X</v>
      </c>
      <c r="E88" t="str">
        <f>"200869"</f>
        <v>200869</v>
      </c>
      <c r="F88" t="str">
        <f>"ד""ר פנינית שקד - משען בקטר' כרמל"</f>
        <v>ד"ר פנינית שקד - משען בקטר' כרמל</v>
      </c>
      <c r="G88" t="str">
        <f>"22100"</f>
        <v>22100</v>
      </c>
      <c r="H88" t="str">
        <f>"שרותי בריאות כללית-מנהל אספקה"</f>
        <v>שרותי בריאות כללית-מנהל אספקה</v>
      </c>
      <c r="I88" t="str">
        <f>"22100"</f>
        <v>22100</v>
      </c>
      <c r="J88" t="str">
        <f>"שרותי בריאות כללית-מנהל אספקה"</f>
        <v>שרותי בריאות כללית-מנהל אספקה</v>
      </c>
      <c r="L88" t="str">
        <f>"N"</f>
        <v>N</v>
      </c>
      <c r="M88" t="str">
        <f>"IMPORT"</f>
        <v>IMPORT</v>
      </c>
      <c r="N88" t="str">
        <f>"SO20014690"</f>
        <v>SO20014690</v>
      </c>
      <c r="P88">
        <v>700</v>
      </c>
      <c r="Q88">
        <v>1</v>
      </c>
      <c r="R88" s="2">
        <v>2609.6</v>
      </c>
      <c r="S88">
        <v>675.71206628699997</v>
      </c>
    </row>
    <row r="89" spans="1:19" x14ac:dyDescent="0.2">
      <c r="A89" s="1">
        <v>43907</v>
      </c>
      <c r="B89" t="str">
        <f>"SH20015955"</f>
        <v>SH20015955</v>
      </c>
      <c r="C89" t="str">
        <f>"IMRP10243X"</f>
        <v>IMRP10243X</v>
      </c>
      <c r="D89" t="str">
        <f>"Allplex 2019-nCoV 100T - RP10243X"</f>
        <v>Allplex 2019-nCoV 100T - RP10243X</v>
      </c>
      <c r="E89" t="str">
        <f>"201201"</f>
        <v>201201</v>
      </c>
      <c r="F89" t="str">
        <f>"כללית נשר בקטריולוגית - חיפה"</f>
        <v>כללית נשר בקטריולוגית - חיפה</v>
      </c>
      <c r="G89" t="str">
        <f>"22100"</f>
        <v>22100</v>
      </c>
      <c r="H89" t="str">
        <f>"שרותי בריאות כללית-מנהל אספקה"</f>
        <v>שרותי בריאות כללית-מנהל אספקה</v>
      </c>
      <c r="I89" t="str">
        <f>"22100"</f>
        <v>22100</v>
      </c>
      <c r="J89" t="str">
        <f>"שרותי בריאות כללית-מנהל אספקה"</f>
        <v>שרותי בריאות כללית-מנהל אספקה</v>
      </c>
      <c r="L89" t="str">
        <f>"N"</f>
        <v>N</v>
      </c>
      <c r="M89" t="str">
        <f>"IMPORT"</f>
        <v>IMPORT</v>
      </c>
      <c r="N89" t="str">
        <f>"SO20014670"</f>
        <v>SO20014670</v>
      </c>
      <c r="P89">
        <v>700</v>
      </c>
      <c r="Q89">
        <v>3</v>
      </c>
      <c r="R89" s="2">
        <v>7828.8</v>
      </c>
      <c r="S89" s="2">
        <v>2027.1361988609999</v>
      </c>
    </row>
    <row r="90" spans="1:19" x14ac:dyDescent="0.2">
      <c r="A90" s="1">
        <v>43907</v>
      </c>
      <c r="B90" t="str">
        <f>"SH20015982"</f>
        <v>SH20015982</v>
      </c>
      <c r="C90" t="str">
        <f>"IM235903"</f>
        <v>IM235903</v>
      </c>
      <c r="D90" t="str">
        <f>"STANDARD VOLUME TIPS(300UL)- 235903"</f>
        <v>STANDARD VOLUME TIPS(300UL)- 235903</v>
      </c>
      <c r="E90" t="str">
        <f>"27027"</f>
        <v>27027</v>
      </c>
      <c r="F90" t="str">
        <f>"שראל-פתרונות לוגיסטיים ומוצרים"</f>
        <v>שראל-פתרונות לוגיסטיים ומוצרים</v>
      </c>
      <c r="K90" t="str">
        <f>"מכבי מגה לאב -מעב מרכזית"</f>
        <v>מכבי מגה לאב -מעב מרכזית</v>
      </c>
      <c r="L90" t="str">
        <f>"Y"</f>
        <v>Y</v>
      </c>
      <c r="M90" t="str">
        <f>"IMPORT"</f>
        <v>IMPORT</v>
      </c>
      <c r="N90" t="str">
        <f>"SO20014744"</f>
        <v>SO20014744</v>
      </c>
      <c r="P90" s="2">
        <v>1100.95</v>
      </c>
      <c r="Q90">
        <v>2</v>
      </c>
      <c r="R90" s="2">
        <v>8208.6831999999995</v>
      </c>
      <c r="S90" s="2">
        <v>2125.5005696530002</v>
      </c>
    </row>
    <row r="91" spans="1:19" x14ac:dyDescent="0.2">
      <c r="A91" s="1">
        <v>43907</v>
      </c>
      <c r="B91" t="str">
        <f>"SH20015982"</f>
        <v>SH20015982</v>
      </c>
      <c r="C91" t="str">
        <f>"IM235905"</f>
        <v>IM235905</v>
      </c>
      <c r="D91" t="str">
        <f>"HIGH VOLUME TIPS(1000UL)- 235905"</f>
        <v>HIGH VOLUME TIPS(1000UL)- 235905</v>
      </c>
      <c r="E91" t="str">
        <f>"27027"</f>
        <v>27027</v>
      </c>
      <c r="F91" t="str">
        <f>"שראל-פתרונות לוגיסטיים ומוצרים"</f>
        <v>שראל-פתרונות לוגיסטיים ומוצרים</v>
      </c>
      <c r="K91" t="str">
        <f>"מכבי מגה לאב -מעב מרכזית"</f>
        <v>מכבי מגה לאב -מעב מרכזית</v>
      </c>
      <c r="L91" t="str">
        <f>"Y"</f>
        <v>Y</v>
      </c>
      <c r="M91" t="str">
        <f>"IMPORT"</f>
        <v>IMPORT</v>
      </c>
      <c r="N91" t="str">
        <f>"SO20014744"</f>
        <v>SO20014744</v>
      </c>
      <c r="P91">
        <v>700.34</v>
      </c>
      <c r="Q91">
        <v>4</v>
      </c>
      <c r="R91" s="2">
        <v>10443.470079999999</v>
      </c>
      <c r="S91" s="2">
        <v>2704.1610771619999</v>
      </c>
    </row>
    <row r="92" spans="1:19" x14ac:dyDescent="0.2">
      <c r="A92" s="1">
        <v>43907</v>
      </c>
      <c r="B92" t="str">
        <f>"SH20015982"</f>
        <v>SH20015982</v>
      </c>
      <c r="C92" t="str">
        <f>"IM7443004U"</f>
        <v>IM7443004U</v>
      </c>
      <c r="D92" t="str">
        <f>"STARMAG 96*4 UNIVERSAL -744300.4.UC384"</f>
        <v>STARMAG 96*4 UNIVERSAL -744300.4.UC384</v>
      </c>
      <c r="E92" t="str">
        <f>"27027"</f>
        <v>27027</v>
      </c>
      <c r="F92" t="str">
        <f>"שראל-פתרונות לוגיסטיים ומוצרים"</f>
        <v>שראל-פתרונות לוגיסטיים ומוצרים</v>
      </c>
      <c r="K92" t="str">
        <f>"מכבי מגה לאב -מעב מרכזית"</f>
        <v>מכבי מגה לאב -מעב מרכזית</v>
      </c>
      <c r="L92" t="str">
        <f>"Y"</f>
        <v>Y</v>
      </c>
      <c r="M92" t="str">
        <f>"IMPORT"</f>
        <v>IMPORT</v>
      </c>
      <c r="N92" t="str">
        <f>"SO20014744"</f>
        <v>SO20014744</v>
      </c>
      <c r="P92" s="2">
        <v>1045.6600000000001</v>
      </c>
      <c r="Q92">
        <v>5</v>
      </c>
      <c r="R92" s="2">
        <v>19491.1024</v>
      </c>
      <c r="S92" s="2">
        <v>5046.8934230969999</v>
      </c>
    </row>
    <row r="93" spans="1:19" x14ac:dyDescent="0.2">
      <c r="A93" s="1">
        <v>43907</v>
      </c>
      <c r="B93" t="str">
        <f>"SH20016036"</f>
        <v>SH20016036</v>
      </c>
      <c r="C93" t="str">
        <f>"IMRP10243X"</f>
        <v>IMRP10243X</v>
      </c>
      <c r="D93" t="str">
        <f>"Allplex 2019-nCoV 100T - RP10243X"</f>
        <v>Allplex 2019-nCoV 100T - RP10243X</v>
      </c>
      <c r="E93" t="str">
        <f>"27027"</f>
        <v>27027</v>
      </c>
      <c r="F93" t="str">
        <f>"שראל-פתרונות לוגיסטיים ומוצרים"</f>
        <v>שראל-פתרונות לוגיסטיים ומוצרים</v>
      </c>
      <c r="K93" t="str">
        <f>"בי""ח אסותא אשדוד בע""מ - מעבדה"</f>
        <v>בי"ח אסותא אשדוד בע"מ - מעבדה</v>
      </c>
      <c r="L93" t="str">
        <f>"Y"</f>
        <v>Y</v>
      </c>
      <c r="M93" t="str">
        <f>"IMPORT"</f>
        <v>IMPORT</v>
      </c>
      <c r="N93" t="str">
        <f>"SO20014754"</f>
        <v>SO20014754</v>
      </c>
      <c r="P93">
        <v>679</v>
      </c>
      <c r="Q93">
        <v>4</v>
      </c>
      <c r="R93" s="2">
        <v>10125.248</v>
      </c>
      <c r="S93" s="2">
        <v>2621.762817193</v>
      </c>
    </row>
    <row r="94" spans="1:19" x14ac:dyDescent="0.2">
      <c r="A94" s="1">
        <v>43907</v>
      </c>
      <c r="B94" t="str">
        <f>"SH20016060"</f>
        <v>SH20016060</v>
      </c>
      <c r="C94" t="str">
        <f>"IMRP10243X"</f>
        <v>IMRP10243X</v>
      </c>
      <c r="D94" t="str">
        <f>"Allplex 2019-nCoV 100T - RP10243X"</f>
        <v>Allplex 2019-nCoV 100T - RP10243X</v>
      </c>
      <c r="E94" t="str">
        <f>"27027"</f>
        <v>27027</v>
      </c>
      <c r="F94" t="str">
        <f>"שראל-פתרונות לוגיסטיים ומוצרים"</f>
        <v>שראל-פתרונות לוגיסטיים ומוצרים</v>
      </c>
      <c r="K94" t="str">
        <f>"מכבי מגה לאב -מעב מרכזית"</f>
        <v>מכבי מגה לאב -מעב מרכזית</v>
      </c>
      <c r="L94" t="str">
        <f>"Y"</f>
        <v>Y</v>
      </c>
      <c r="M94" t="str">
        <f>"IMPORT"</f>
        <v>IMPORT</v>
      </c>
      <c r="N94" t="str">
        <f>"SO20014746"</f>
        <v>SO20014746</v>
      </c>
      <c r="P94">
        <v>679</v>
      </c>
      <c r="Q94">
        <v>3</v>
      </c>
      <c r="R94" s="2">
        <v>7593.9359999999997</v>
      </c>
      <c r="S94" s="2">
        <v>1966.3221128949999</v>
      </c>
    </row>
    <row r="95" spans="1:19" x14ac:dyDescent="0.2">
      <c r="A95" s="1">
        <v>43907</v>
      </c>
      <c r="B95" t="str">
        <f>"SH20016085"</f>
        <v>SH20016085</v>
      </c>
      <c r="C95" t="str">
        <f>"IMRP10243X"</f>
        <v>IMRP10243X</v>
      </c>
      <c r="D95" t="str">
        <f>"Allplex 2019-nCoV 100T - RP10243X"</f>
        <v>Allplex 2019-nCoV 100T - RP10243X</v>
      </c>
      <c r="E95" t="str">
        <f>"27027"</f>
        <v>27027</v>
      </c>
      <c r="F95" t="str">
        <f>"שראל-פתרונות לוגיסטיים ומוצרים"</f>
        <v>שראל-פתרונות לוגיסטיים ומוצרים</v>
      </c>
      <c r="K95" t="str">
        <f>"לאומית מעבדה אור יהודה"</f>
        <v>לאומית מעבדה אור יהודה</v>
      </c>
      <c r="L95" t="str">
        <f>"Y"</f>
        <v>Y</v>
      </c>
      <c r="M95" t="str">
        <f>"IMPORT"</f>
        <v>IMPORT</v>
      </c>
      <c r="N95" t="str">
        <f>"SO20014762"</f>
        <v>SO20014762</v>
      </c>
      <c r="P95">
        <v>679</v>
      </c>
      <c r="Q95">
        <v>4</v>
      </c>
      <c r="R95" s="2">
        <v>10125.248</v>
      </c>
      <c r="S95" s="2">
        <v>2621.762817193</v>
      </c>
    </row>
    <row r="96" spans="1:19" x14ac:dyDescent="0.2">
      <c r="A96" s="1">
        <v>43907</v>
      </c>
      <c r="B96" t="str">
        <f>"SH20016086"</f>
        <v>SH20016086</v>
      </c>
      <c r="C96" t="str">
        <f>"IMHSP9655"</f>
        <v>IMHSP9655</v>
      </c>
      <c r="D96" t="str">
        <f>"PLATE WELL 96(WHITE)50EA/BOX-HSP9655"</f>
        <v>PLATE WELL 96(WHITE)50EA/BOX-HSP9655</v>
      </c>
      <c r="E96" t="str">
        <f>"27027"</f>
        <v>27027</v>
      </c>
      <c r="F96" t="str">
        <f>"שראל-פתרונות לוגיסטיים ומוצרים"</f>
        <v>שראל-פתרונות לוגיסטיים ומוצרים</v>
      </c>
      <c r="K96" t="str">
        <f>"מכבי מגה לאב -מעב מרכזית"</f>
        <v>מכבי מגה לאב -מעב מרכזית</v>
      </c>
      <c r="L96" t="str">
        <f>"Y"</f>
        <v>Y</v>
      </c>
      <c r="M96" t="str">
        <f>"IMPORT"</f>
        <v>IMPORT</v>
      </c>
      <c r="N96" t="str">
        <f>"SO20014744"</f>
        <v>SO20014744</v>
      </c>
      <c r="P96">
        <v>357.01</v>
      </c>
      <c r="Q96">
        <v>1</v>
      </c>
      <c r="R96" s="2">
        <v>1330.93328</v>
      </c>
      <c r="S96">
        <v>344.622806836</v>
      </c>
    </row>
    <row r="97" spans="1:19" x14ac:dyDescent="0.2">
      <c r="A97" s="1">
        <v>43907</v>
      </c>
      <c r="B97" t="str">
        <f>"SH20016086"</f>
        <v>SH20016086</v>
      </c>
      <c r="C97" t="str">
        <f>"IMTCS0803"</f>
        <v>IMTCS0803</v>
      </c>
      <c r="D97" t="str">
        <f>"OPTICAL FLAT CAPS FOR 0.2ML 120X8"</f>
        <v>OPTICAL FLAT CAPS FOR 0.2ML 120X8</v>
      </c>
      <c r="E97" t="str">
        <f>"27027"</f>
        <v>27027</v>
      </c>
      <c r="F97" t="str">
        <f>"שראל-פתרונות לוגיסטיים ומוצרים"</f>
        <v>שראל-פתרונות לוגיסטיים ומוצרים</v>
      </c>
      <c r="K97" t="str">
        <f>"מכבי מגה לאב -מעב מרכזית"</f>
        <v>מכבי מגה לאב -מעב מרכזית</v>
      </c>
      <c r="L97" t="str">
        <f>"Y"</f>
        <v>Y</v>
      </c>
      <c r="M97" t="str">
        <f>"IMPORT"</f>
        <v>IMPORT</v>
      </c>
      <c r="N97" t="str">
        <f>"SO20014744"</f>
        <v>SO20014744</v>
      </c>
      <c r="P97">
        <v>96.03</v>
      </c>
      <c r="Q97">
        <v>3</v>
      </c>
      <c r="R97" s="2">
        <v>1073.9995200000001</v>
      </c>
      <c r="S97">
        <v>278.09412739499999</v>
      </c>
    </row>
    <row r="98" spans="1:19" x14ac:dyDescent="0.2">
      <c r="A98" s="1">
        <v>43907</v>
      </c>
      <c r="B98" t="str">
        <f>"SH20016089"</f>
        <v>SH20016089</v>
      </c>
      <c r="C98" t="str">
        <f>"IMRP10243X"</f>
        <v>IMRP10243X</v>
      </c>
      <c r="D98" t="str">
        <f>"Allplex 2019-nCoV 100T - RP10243X"</f>
        <v>Allplex 2019-nCoV 100T - RP10243X</v>
      </c>
      <c r="E98" t="str">
        <f>"200869"</f>
        <v>200869</v>
      </c>
      <c r="F98" t="str">
        <f>"ד""ר פנינית שקד - משען בקטר' כרמל"</f>
        <v>ד"ר פנינית שקד - משען בקטר' כרמל</v>
      </c>
      <c r="G98" t="str">
        <f>"22100"</f>
        <v>22100</v>
      </c>
      <c r="H98" t="str">
        <f>"שרותי בריאות כללית-מנהל אספקה"</f>
        <v>שרותי בריאות כללית-מנהל אספקה</v>
      </c>
      <c r="I98" t="str">
        <f>"22100"</f>
        <v>22100</v>
      </c>
      <c r="J98" t="str">
        <f>"שרותי בריאות כללית-מנהל אספקה"</f>
        <v>שרותי בריאות כללית-מנהל אספקה</v>
      </c>
      <c r="L98" t="str">
        <f>"Y"</f>
        <v>Y</v>
      </c>
      <c r="M98" t="str">
        <f>"IMPORT"</f>
        <v>IMPORT</v>
      </c>
      <c r="N98" t="str">
        <f>"SO20014348"</f>
        <v>SO20014348</v>
      </c>
      <c r="P98">
        <v>700</v>
      </c>
      <c r="Q98">
        <v>3</v>
      </c>
      <c r="R98" s="2">
        <v>7828.8</v>
      </c>
      <c r="S98" s="2">
        <v>2027.1361988609999</v>
      </c>
    </row>
    <row r="99" spans="1:19" x14ac:dyDescent="0.2">
      <c r="A99" s="1">
        <v>43907</v>
      </c>
      <c r="B99" t="str">
        <f>"SH20016089"</f>
        <v>SH20016089</v>
      </c>
      <c r="C99" t="str">
        <f>"IMTCS0803"</f>
        <v>IMTCS0803</v>
      </c>
      <c r="D99" t="str">
        <f>"OPTICAL FLAT CAPS FOR 0.2ML 120X8"</f>
        <v>OPTICAL FLAT CAPS FOR 0.2ML 120X8</v>
      </c>
      <c r="E99" t="str">
        <f>"200869"</f>
        <v>200869</v>
      </c>
      <c r="F99" t="str">
        <f>"ד""ר פנינית שקד - משען בקטר' כרמל"</f>
        <v>ד"ר פנינית שקד - משען בקטר' כרמל</v>
      </c>
      <c r="G99" t="str">
        <f>"22100"</f>
        <v>22100</v>
      </c>
      <c r="H99" t="str">
        <f>"שרותי בריאות כללית-מנהל אספקה"</f>
        <v>שרותי בריאות כללית-מנהל אספקה</v>
      </c>
      <c r="I99" t="str">
        <f>"22100"</f>
        <v>22100</v>
      </c>
      <c r="J99" t="str">
        <f>"שרותי בריאות כללית-מנהל אספקה"</f>
        <v>שרותי בריאות כללית-מנהל אספקה</v>
      </c>
      <c r="L99" t="str">
        <f>"Y"</f>
        <v>Y</v>
      </c>
      <c r="M99" t="str">
        <f>"IMPORT"</f>
        <v>IMPORT</v>
      </c>
      <c r="N99" t="str">
        <f>"SO20014348"</f>
        <v>SO20014348</v>
      </c>
      <c r="P99">
        <v>62</v>
      </c>
      <c r="Q99">
        <v>5</v>
      </c>
      <c r="R99" s="2">
        <v>1155.68</v>
      </c>
      <c r="S99">
        <v>299.24391507000001</v>
      </c>
    </row>
    <row r="100" spans="1:19" x14ac:dyDescent="0.2">
      <c r="A100" s="1">
        <v>43907</v>
      </c>
      <c r="B100" t="str">
        <f>"SH20016100"</f>
        <v>SH20016100</v>
      </c>
      <c r="C100" t="str">
        <f>"TTS238"</f>
        <v>TTS238</v>
      </c>
      <c r="D100" t="str">
        <f>"מבחנה PP תחתית עגולה 75*12מ""מ לא סטרילי-BN059-P"</f>
        <v>מבחנה PP תחתית עגולה 75*12מ"מ לא סטרילי-BN059-P</v>
      </c>
      <c r="E100" t="str">
        <f>"25335"</f>
        <v>25335</v>
      </c>
      <c r="F100" t="str">
        <f>"המעבדה המרכזית שרותי בריאות"</f>
        <v>המעבדה המרכזית שרותי בריאות</v>
      </c>
      <c r="G100" t="str">
        <f>"22100"</f>
        <v>22100</v>
      </c>
      <c r="H100" t="str">
        <f>"שרותי בריאות כללית-מנהל אספקה"</f>
        <v>שרותי בריאות כללית-מנהל אספקה</v>
      </c>
      <c r="I100" t="str">
        <f>"22100"</f>
        <v>22100</v>
      </c>
      <c r="J100" t="str">
        <f>"שרותי בריאות כללית-מנהל אספקה"</f>
        <v>שרותי בריאות כללית-מנהל אספקה</v>
      </c>
      <c r="L100" t="str">
        <f>"N"</f>
        <v>N</v>
      </c>
      <c r="M100" t="str">
        <f>"UI"</f>
        <v>UI</v>
      </c>
      <c r="N100" t="str">
        <f>"SO20014829"</f>
        <v>SO20014829</v>
      </c>
      <c r="P100">
        <v>0.04</v>
      </c>
      <c r="Q100" s="2">
        <v>8000</v>
      </c>
      <c r="R100" s="2">
        <v>1235.8399999999999</v>
      </c>
      <c r="S100">
        <v>320</v>
      </c>
    </row>
    <row r="101" spans="1:19" x14ac:dyDescent="0.2">
      <c r="A101" s="1">
        <v>43908</v>
      </c>
      <c r="B101" t="str">
        <f>"SH20016104"</f>
        <v>SH20016104</v>
      </c>
      <c r="C101" t="str">
        <f>"IMRP10243X"</f>
        <v>IMRP10243X</v>
      </c>
      <c r="D101" t="str">
        <f>"Allplex 2019-nCoV 100T - RP10243X"</f>
        <v>Allplex 2019-nCoV 100T - RP10243X</v>
      </c>
      <c r="E101" t="str">
        <f>"201174"</f>
        <v>201174</v>
      </c>
      <c r="F101" t="str">
        <f>"ד""ר עמוס אדלר - בי""ח איכילוב"</f>
        <v>ד"ר עמוס אדלר - בי"ח איכילוב</v>
      </c>
      <c r="G101" t="str">
        <f>"21102"</f>
        <v>21102</v>
      </c>
      <c r="H101" t="str">
        <f>"מרכז רפואי איכילוב"</f>
        <v>מרכז רפואי איכילוב</v>
      </c>
      <c r="I101" t="str">
        <f>"21102"</f>
        <v>21102</v>
      </c>
      <c r="J101" t="str">
        <f>"מרכז רפואי איכילוב"</f>
        <v>מרכז רפואי איכילוב</v>
      </c>
      <c r="L101" t="str">
        <f>"Y"</f>
        <v>Y</v>
      </c>
      <c r="M101" t="str">
        <f>"IMPORT"</f>
        <v>IMPORT</v>
      </c>
      <c r="N101" t="str">
        <f>"SO20014838"</f>
        <v>SO20014838</v>
      </c>
      <c r="P101">
        <v>679</v>
      </c>
      <c r="Q101">
        <v>10</v>
      </c>
      <c r="R101" s="2">
        <v>26222.98</v>
      </c>
      <c r="S101" s="2">
        <v>6852.0982492809999</v>
      </c>
    </row>
    <row r="102" spans="1:19" x14ac:dyDescent="0.2">
      <c r="A102" s="1">
        <v>43908</v>
      </c>
      <c r="B102" t="str">
        <f>"SH20016105"</f>
        <v>SH20016105</v>
      </c>
      <c r="C102" t="str">
        <f>"TTS238"</f>
        <v>TTS238</v>
      </c>
      <c r="D102" t="str">
        <f>"מבחנה PP תחתית עגולה 75*12מ""מ לא סטרילי-BN059-P"</f>
        <v>מבחנה PP תחתית עגולה 75*12מ"מ לא סטרילי-BN059-P</v>
      </c>
      <c r="E102" t="str">
        <f>"25335"</f>
        <v>25335</v>
      </c>
      <c r="F102" t="str">
        <f>"המעבדה המרכזית שרותי בריאות"</f>
        <v>המעבדה המרכזית שרותי בריאות</v>
      </c>
      <c r="G102" t="str">
        <f>"22100"</f>
        <v>22100</v>
      </c>
      <c r="H102" t="str">
        <f>"שרותי בריאות כללית-מנהל אספקה"</f>
        <v>שרותי בריאות כללית-מנהל אספקה</v>
      </c>
      <c r="I102" t="str">
        <f>"22100"</f>
        <v>22100</v>
      </c>
      <c r="J102" t="str">
        <f>"שרותי בריאות כללית-מנהל אספקה"</f>
        <v>שרותי בריאות כללית-מנהל אספקה</v>
      </c>
      <c r="L102" t="str">
        <f>"N"</f>
        <v>N</v>
      </c>
      <c r="M102" t="str">
        <f>"UI"</f>
        <v>UI</v>
      </c>
      <c r="N102" t="str">
        <f>"SO20014829"</f>
        <v>SO20014829</v>
      </c>
      <c r="P102">
        <v>0.04</v>
      </c>
      <c r="Q102" s="2">
        <v>1000</v>
      </c>
      <c r="R102">
        <v>154.47999999999999</v>
      </c>
      <c r="S102">
        <v>40.365821793000002</v>
      </c>
    </row>
    <row r="103" spans="1:19" x14ac:dyDescent="0.2">
      <c r="A103" s="1">
        <v>43908</v>
      </c>
      <c r="B103" t="str">
        <f>"SH20016106"</f>
        <v>SH20016106</v>
      </c>
      <c r="C103" t="str">
        <f>"TTS238"</f>
        <v>TTS238</v>
      </c>
      <c r="D103" t="str">
        <f>"מבחנה PP תחתית עגולה 75*12מ""מ לא סטרילי-BN059-P"</f>
        <v>מבחנה PP תחתית עגולה 75*12מ"מ לא סטרילי-BN059-P</v>
      </c>
      <c r="E103" t="str">
        <f>"27504"</f>
        <v>27504</v>
      </c>
      <c r="F103" t="str">
        <f>"ד""ר פייטן יוסף - בי""ח מאיר"</f>
        <v>ד"ר פייטן יוסף - בי"ח מאיר</v>
      </c>
      <c r="G103" t="str">
        <f>"22100"</f>
        <v>22100</v>
      </c>
      <c r="H103" t="str">
        <f>"שרותי בריאות כללית-מנהל אספקה"</f>
        <v>שרותי בריאות כללית-מנהל אספקה</v>
      </c>
      <c r="I103" t="str">
        <f>"22100"</f>
        <v>22100</v>
      </c>
      <c r="J103" t="str">
        <f>"שרותי בריאות כללית-מנהל אספקה"</f>
        <v>שרותי בריאות כללית-מנהל אספקה</v>
      </c>
      <c r="L103" t="str">
        <f>"N"</f>
        <v>N</v>
      </c>
      <c r="M103" t="str">
        <f>"UI"</f>
        <v>UI</v>
      </c>
      <c r="N103" t="str">
        <f>"SO20014826"</f>
        <v>SO20014826</v>
      </c>
      <c r="P103">
        <v>0.04</v>
      </c>
      <c r="Q103" s="2">
        <v>1000</v>
      </c>
      <c r="R103">
        <v>154.47999999999999</v>
      </c>
      <c r="S103">
        <v>40.365821793000002</v>
      </c>
    </row>
    <row r="104" spans="1:19" x14ac:dyDescent="0.2">
      <c r="A104" s="1">
        <v>43908</v>
      </c>
      <c r="B104" t="str">
        <f>"SH20016112"</f>
        <v>SH20016112</v>
      </c>
      <c r="C104" t="str">
        <f>"TTS238"</f>
        <v>TTS238</v>
      </c>
      <c r="D104" t="str">
        <f>"מבחנה PP תחתית עגולה 75*12מ""מ לא סטרילי-BN059-P"</f>
        <v>מבחנה PP תחתית עגולה 75*12מ"מ לא סטרילי-BN059-P</v>
      </c>
      <c r="E104" t="str">
        <f>"200147"</f>
        <v>200147</v>
      </c>
      <c r="F104" t="str">
        <f>"מכבי מגה לאב -מעב מרכזית"</f>
        <v>מכבי מגה לאב -מעב מרכזית</v>
      </c>
      <c r="G104" t="str">
        <f>"22101"</f>
        <v>22101</v>
      </c>
      <c r="H104" t="str">
        <f>"מכבי -שרותי בריאות ריכוזי סניפ"</f>
        <v>מכבי -שרותי בריאות ריכוזי סניפ</v>
      </c>
      <c r="I104" t="str">
        <f>"22101"</f>
        <v>22101</v>
      </c>
      <c r="J104" t="str">
        <f>"מכבי -שרותי בריאות ריכוזי סניפ"</f>
        <v>מכבי -שרותי בריאות ריכוזי סניפ</v>
      </c>
      <c r="L104" t="str">
        <f>"N"</f>
        <v>N</v>
      </c>
      <c r="M104" t="str">
        <f>"UI"</f>
        <v>UI</v>
      </c>
      <c r="N104" t="str">
        <f>"SO20014831"</f>
        <v>SO20014831</v>
      </c>
      <c r="P104">
        <v>0.04</v>
      </c>
      <c r="Q104" s="2">
        <v>1000</v>
      </c>
      <c r="R104">
        <v>154.47999999999999</v>
      </c>
      <c r="S104">
        <v>40.365821793000002</v>
      </c>
    </row>
    <row r="105" spans="1:19" x14ac:dyDescent="0.2">
      <c r="A105" s="1">
        <v>43908</v>
      </c>
      <c r="B105" t="str">
        <f>"SH20016118"</f>
        <v>SH20016118</v>
      </c>
      <c r="C105" t="str">
        <f>"IMRP10243X"</f>
        <v>IMRP10243X</v>
      </c>
      <c r="D105" t="str">
        <f>"Allplex 2019-nCoV 100T - RP10243X"</f>
        <v>Allplex 2019-nCoV 100T - RP10243X</v>
      </c>
      <c r="E105" t="str">
        <f>"201284"</f>
        <v>201284</v>
      </c>
      <c r="F105" t="str">
        <f>"ד""ר מירב שטראוס - בי""ח העמק"</f>
        <v>ד"ר מירב שטראוס - בי"ח העמק</v>
      </c>
      <c r="G105" t="str">
        <f>"22100"</f>
        <v>22100</v>
      </c>
      <c r="H105" t="str">
        <f>"שרותי בריאות כללית-מנהל אספקה"</f>
        <v>שרותי בריאות כללית-מנהל אספקה</v>
      </c>
      <c r="I105" t="str">
        <f>"22100"</f>
        <v>22100</v>
      </c>
      <c r="J105" t="str">
        <f>"שרותי בריאות כללית-מנהל אספקה"</f>
        <v>שרותי בריאות כללית-מנהל אספקה</v>
      </c>
      <c r="L105" t="str">
        <f>"N"</f>
        <v>N</v>
      </c>
      <c r="M105" t="str">
        <f>"IMPORT"</f>
        <v>IMPORT</v>
      </c>
      <c r="N105" t="str">
        <f>"SO20014749"</f>
        <v>SO20014749</v>
      </c>
      <c r="P105">
        <v>700</v>
      </c>
      <c r="Q105">
        <v>10</v>
      </c>
      <c r="R105" s="2">
        <v>27034</v>
      </c>
      <c r="S105" s="2">
        <v>7064.0188136919996</v>
      </c>
    </row>
    <row r="106" spans="1:19" x14ac:dyDescent="0.2">
      <c r="A106" s="1">
        <v>43908</v>
      </c>
      <c r="B106" t="str">
        <f>"SH20016413"</f>
        <v>SH20016413</v>
      </c>
      <c r="C106" t="str">
        <f>"IMRP10243X"</f>
        <v>IMRP10243X</v>
      </c>
      <c r="D106" t="str">
        <f>"Allplex 2019-nCoV 100T - RP10243X"</f>
        <v>Allplex 2019-nCoV 100T - RP10243X</v>
      </c>
      <c r="E106" t="str">
        <f>"27504"</f>
        <v>27504</v>
      </c>
      <c r="F106" t="str">
        <f>"ד""ר פייטן יוסף - בי""ח מאיר"</f>
        <v>ד"ר פייטן יוסף - בי"ח מאיר</v>
      </c>
      <c r="G106" t="str">
        <f>"22100"</f>
        <v>22100</v>
      </c>
      <c r="H106" t="str">
        <f>"שרותי בריאות כללית-מנהל אספקה"</f>
        <v>שרותי בריאות כללית-מנהל אספקה</v>
      </c>
      <c r="I106" t="str">
        <f>"22100"</f>
        <v>22100</v>
      </c>
      <c r="J106" t="str">
        <f>"שרותי בריאות כללית-מנהל אספקה"</f>
        <v>שרותי בריאות כללית-מנהל אספקה</v>
      </c>
      <c r="L106" t="str">
        <f>"N"</f>
        <v>N</v>
      </c>
      <c r="M106" t="str">
        <f>"IMPORT"</f>
        <v>IMPORT</v>
      </c>
      <c r="N106" t="str">
        <f>"SO20014757"</f>
        <v>SO20014757</v>
      </c>
      <c r="P106">
        <v>700</v>
      </c>
      <c r="Q106">
        <v>3</v>
      </c>
      <c r="R106" s="2">
        <v>8110.2</v>
      </c>
      <c r="S106" s="2">
        <v>2119.2056441079999</v>
      </c>
    </row>
    <row r="107" spans="1:19" x14ac:dyDescent="0.2">
      <c r="A107" s="1">
        <v>43908</v>
      </c>
      <c r="B107" t="str">
        <f>"SH20016474"</f>
        <v>SH20016474</v>
      </c>
      <c r="C107" t="str">
        <f>"TTS238"</f>
        <v>TTS238</v>
      </c>
      <c r="D107" t="str">
        <f>"מבחנה PP תחתית עגולה 75*12מ""מ לא סטרילי-BN059-P"</f>
        <v>מבחנה PP תחתית עגולה 75*12מ"מ לא סטרילי-BN059-P</v>
      </c>
      <c r="E107" t="str">
        <f>"201181"</f>
        <v>201181</v>
      </c>
      <c r="F107" t="str">
        <f>"לאומית מעבדה אור יהודה"</f>
        <v>לאומית מעבדה אור יהודה</v>
      </c>
      <c r="G107" t="str">
        <f>"22103"</f>
        <v>22103</v>
      </c>
      <c r="H107" t="str">
        <f>"קופ'ח לאומית אור יהודה)פ'ת לשע"</f>
        <v>קופ'ח לאומית אור יהודה)פ'ת לשע</v>
      </c>
      <c r="I107" t="str">
        <f>"22103"</f>
        <v>22103</v>
      </c>
      <c r="J107" t="str">
        <f>"קופ'ח לאומית אור יהודה)פ'ת לשע"</f>
        <v>קופ'ח לאומית אור יהודה)פ'ת לשע</v>
      </c>
      <c r="L107" t="str">
        <f>"N"</f>
        <v>N</v>
      </c>
      <c r="M107" t="str">
        <f>"UI"</f>
        <v>UI</v>
      </c>
      <c r="N107" t="str">
        <f>"SO20014974"</f>
        <v>SO20014974</v>
      </c>
      <c r="P107">
        <v>0.04</v>
      </c>
      <c r="Q107" s="2">
        <v>1000</v>
      </c>
      <c r="R107">
        <v>154.47999999999999</v>
      </c>
      <c r="S107">
        <v>40.365821793000002</v>
      </c>
    </row>
    <row r="108" spans="1:19" x14ac:dyDescent="0.2">
      <c r="A108" s="1">
        <v>43908</v>
      </c>
      <c r="B108" t="str">
        <f>"SH20016491"</f>
        <v>SH20016491</v>
      </c>
      <c r="C108" t="str">
        <f>"IM235903"</f>
        <v>IM235903</v>
      </c>
      <c r="D108" t="str">
        <f>"STANDARD VOLUME TIPS(300UL)- 235903"</f>
        <v>STANDARD VOLUME TIPS(300UL)- 235903</v>
      </c>
      <c r="E108" t="str">
        <f>"25335"</f>
        <v>25335</v>
      </c>
      <c r="F108" t="str">
        <f>"המעבדה המרכזית שרותי בריאות"</f>
        <v>המעבדה המרכזית שרותי בריאות</v>
      </c>
      <c r="G108" t="str">
        <f>"22100"</f>
        <v>22100</v>
      </c>
      <c r="H108" t="str">
        <f>"שרותי בריאות כללית-מנהל אספקה"</f>
        <v>שרותי בריאות כללית-מנהל אספקה</v>
      </c>
      <c r="I108" t="str">
        <f>"22100"</f>
        <v>22100</v>
      </c>
      <c r="J108" t="str">
        <f>"שרותי בריאות כללית-מנהל אספקה"</f>
        <v>שרותי בריאות כללית-מנהל אספקה</v>
      </c>
      <c r="L108" t="str">
        <f>"N"</f>
        <v>N</v>
      </c>
      <c r="M108" t="str">
        <f>"IMPORT"</f>
        <v>IMPORT</v>
      </c>
      <c r="N108" t="str">
        <f>"SO20015001"</f>
        <v>SO20015001</v>
      </c>
      <c r="P108">
        <v>921.6</v>
      </c>
      <c r="Q108">
        <v>2</v>
      </c>
      <c r="R108" s="2">
        <v>7118.4384</v>
      </c>
      <c r="S108" s="2">
        <v>1860.0570682</v>
      </c>
    </row>
    <row r="109" spans="1:19" x14ac:dyDescent="0.2">
      <c r="A109" s="1">
        <v>43908</v>
      </c>
      <c r="B109" t="str">
        <f>"SH20016491"</f>
        <v>SH20016491</v>
      </c>
      <c r="C109" t="str">
        <f>"IM235905"</f>
        <v>IM235905</v>
      </c>
      <c r="D109" t="str">
        <f>"HIGH VOLUME TIPS(1000UL)- 235905"</f>
        <v>HIGH VOLUME TIPS(1000UL)- 235905</v>
      </c>
      <c r="E109" t="str">
        <f>"25335"</f>
        <v>25335</v>
      </c>
      <c r="F109" t="str">
        <f>"המעבדה המרכזית שרותי בריאות"</f>
        <v>המעבדה המרכזית שרותי בריאות</v>
      </c>
      <c r="G109" t="str">
        <f>"22100"</f>
        <v>22100</v>
      </c>
      <c r="H109" t="str">
        <f>"שרותי בריאות כללית-מנהל אספקה"</f>
        <v>שרותי בריאות כללית-מנהל אספקה</v>
      </c>
      <c r="I109" t="str">
        <f>"22100"</f>
        <v>22100</v>
      </c>
      <c r="J109" t="str">
        <f>"שרותי בריאות כללית-מנהל אספקה"</f>
        <v>שרותי בריאות כללית-מנהל אספקה</v>
      </c>
      <c r="L109" t="str">
        <f>"N"</f>
        <v>N</v>
      </c>
      <c r="M109" t="str">
        <f>"IMPORT"</f>
        <v>IMPORT</v>
      </c>
      <c r="N109" t="str">
        <f>"SO20015001"</f>
        <v>SO20015001</v>
      </c>
      <c r="P109">
        <v>594</v>
      </c>
      <c r="Q109">
        <v>12</v>
      </c>
      <c r="R109" s="2">
        <v>27528.335999999999</v>
      </c>
      <c r="S109" s="2">
        <v>7193.1894434280002</v>
      </c>
    </row>
    <row r="110" spans="1:19" x14ac:dyDescent="0.2">
      <c r="A110" s="1">
        <v>43908</v>
      </c>
      <c r="B110" t="str">
        <f>"SH20016496"</f>
        <v>SH20016496</v>
      </c>
      <c r="C110" t="str">
        <f>"IM7443004U"</f>
        <v>IM7443004U</v>
      </c>
      <c r="D110" t="str">
        <f>"STARMAG 96*4 UNIVERSAL -744300.4.UC384"</f>
        <v>STARMAG 96*4 UNIVERSAL -744300.4.UC384</v>
      </c>
      <c r="E110" t="str">
        <f>"25335"</f>
        <v>25335</v>
      </c>
      <c r="F110" t="str">
        <f>"המעבדה המרכזית שרותי בריאות"</f>
        <v>המעבדה המרכזית שרותי בריאות</v>
      </c>
      <c r="G110" t="str">
        <f>"22100"</f>
        <v>22100</v>
      </c>
      <c r="H110" t="str">
        <f>"שרותי בריאות כללית-מנהל אספקה"</f>
        <v>שרותי בריאות כללית-מנהל אספקה</v>
      </c>
      <c r="I110" t="str">
        <f>"22100"</f>
        <v>22100</v>
      </c>
      <c r="J110" t="str">
        <f>"שרותי בריאות כללית-מנהל אספקה"</f>
        <v>שרותי בריאות כללית-מנהל אספקה</v>
      </c>
      <c r="L110" t="str">
        <f>"N"</f>
        <v>N</v>
      </c>
      <c r="M110" t="str">
        <f>"IMPORT"</f>
        <v>IMPORT</v>
      </c>
      <c r="N110" t="str">
        <f>"SO20015003"</f>
        <v>SO20015003</v>
      </c>
      <c r="P110" s="2">
        <v>1006.8</v>
      </c>
      <c r="Q110">
        <v>10</v>
      </c>
      <c r="R110" s="2">
        <v>38882.616000000002</v>
      </c>
      <c r="S110" s="2">
        <v>10160.077345170001</v>
      </c>
    </row>
    <row r="111" spans="1:19" x14ac:dyDescent="0.2">
      <c r="A111" s="1">
        <v>43908</v>
      </c>
      <c r="B111" t="str">
        <f>"SH20016501"</f>
        <v>SH20016501</v>
      </c>
      <c r="C111" t="str">
        <f>"IM235903"</f>
        <v>IM235903</v>
      </c>
      <c r="D111" t="str">
        <f>"STANDARD VOLUME TIPS(300UL)- 235903"</f>
        <v>STANDARD VOLUME TIPS(300UL)- 235903</v>
      </c>
      <c r="E111" t="str">
        <f>"25335"</f>
        <v>25335</v>
      </c>
      <c r="F111" t="str">
        <f>"המעבדה המרכזית שרותי בריאות"</f>
        <v>המעבדה המרכזית שרותי בריאות</v>
      </c>
      <c r="G111" t="str">
        <f>"22100"</f>
        <v>22100</v>
      </c>
      <c r="H111" t="str">
        <f>"שרותי בריאות כללית-מנהל אספקה"</f>
        <v>שרותי בריאות כללית-מנהל אספקה</v>
      </c>
      <c r="I111" t="str">
        <f>"22100"</f>
        <v>22100</v>
      </c>
      <c r="J111" t="str">
        <f>"שרותי בריאות כללית-מנהל אספקה"</f>
        <v>שרותי בריאות כללית-מנהל אספקה</v>
      </c>
      <c r="L111" t="str">
        <f>"N"</f>
        <v>N</v>
      </c>
      <c r="M111" t="str">
        <f>"IMPORT"</f>
        <v>IMPORT</v>
      </c>
      <c r="N111" t="str">
        <f>"SO20015016"</f>
        <v>SO20015016</v>
      </c>
      <c r="P111">
        <v>921.6</v>
      </c>
      <c r="Q111">
        <v>1</v>
      </c>
      <c r="R111" s="2">
        <v>3559.2192</v>
      </c>
      <c r="S111">
        <v>930.0285341</v>
      </c>
    </row>
    <row r="112" spans="1:19" x14ac:dyDescent="0.2">
      <c r="A112" s="1">
        <v>43908</v>
      </c>
      <c r="B112" t="str">
        <f>"SH20016501"</f>
        <v>SH20016501</v>
      </c>
      <c r="C112" t="str">
        <f>"IM235905"</f>
        <v>IM235905</v>
      </c>
      <c r="D112" t="str">
        <f>"HIGH VOLUME TIPS(1000UL)- 235905"</f>
        <v>HIGH VOLUME TIPS(1000UL)- 235905</v>
      </c>
      <c r="E112" t="str">
        <f>"25335"</f>
        <v>25335</v>
      </c>
      <c r="F112" t="str">
        <f>"המעבדה המרכזית שרותי בריאות"</f>
        <v>המעבדה המרכזית שרותי בריאות</v>
      </c>
      <c r="G112" t="str">
        <f>"22100"</f>
        <v>22100</v>
      </c>
      <c r="H112" t="str">
        <f>"שרותי בריאות כללית-מנהל אספקה"</f>
        <v>שרותי בריאות כללית-מנהל אספקה</v>
      </c>
      <c r="I112" t="str">
        <f>"22100"</f>
        <v>22100</v>
      </c>
      <c r="J112" t="str">
        <f>"שרותי בריאות כללית-מנהל אספקה"</f>
        <v>שרותי בריאות כללית-מנהל אספקה</v>
      </c>
      <c r="L112" t="str">
        <f>"N"</f>
        <v>N</v>
      </c>
      <c r="M112" t="str">
        <f>"IMPORT"</f>
        <v>IMPORT</v>
      </c>
      <c r="N112" t="str">
        <f>"SO20015016"</f>
        <v>SO20015016</v>
      </c>
      <c r="P112">
        <v>594</v>
      </c>
      <c r="Q112">
        <v>3</v>
      </c>
      <c r="R112" s="2">
        <v>6882.0839999999998</v>
      </c>
      <c r="S112" s="2">
        <v>1798.2973608570001</v>
      </c>
    </row>
    <row r="113" spans="1:19" x14ac:dyDescent="0.2">
      <c r="A113" s="1">
        <v>43908</v>
      </c>
      <c r="B113" t="str">
        <f>"SH20016501"</f>
        <v>SH20016501</v>
      </c>
      <c r="C113" t="str">
        <f>"IM7443004U"</f>
        <v>IM7443004U</v>
      </c>
      <c r="D113" t="str">
        <f>"STARMAG 96*4 UNIVERSAL -744300.4.UC384"</f>
        <v>STARMAG 96*4 UNIVERSAL -744300.4.UC384</v>
      </c>
      <c r="E113" t="str">
        <f>"25335"</f>
        <v>25335</v>
      </c>
      <c r="F113" t="str">
        <f>"המעבדה המרכזית שרותי בריאות"</f>
        <v>המעבדה המרכזית שרותי בריאות</v>
      </c>
      <c r="G113" t="str">
        <f>"22100"</f>
        <v>22100</v>
      </c>
      <c r="H113" t="str">
        <f>"שרותי בריאות כללית-מנהל אספקה"</f>
        <v>שרותי בריאות כללית-מנהל אספקה</v>
      </c>
      <c r="I113" t="str">
        <f>"22100"</f>
        <v>22100</v>
      </c>
      <c r="J113" t="str">
        <f>"שרותי בריאות כללית-מנהל אספקה"</f>
        <v>שרותי בריאות כללית-מנהל אספקה</v>
      </c>
      <c r="L113" t="str">
        <f>"N"</f>
        <v>N</v>
      </c>
      <c r="M113" t="str">
        <f>"IMPORT"</f>
        <v>IMPORT</v>
      </c>
      <c r="N113" t="str">
        <f>"SO20015016"</f>
        <v>SO20015016</v>
      </c>
      <c r="P113" s="2">
        <v>1006.8</v>
      </c>
      <c r="Q113">
        <v>4</v>
      </c>
      <c r="R113" s="2">
        <v>15553.046399999999</v>
      </c>
      <c r="S113" s="2">
        <v>4064.030938072</v>
      </c>
    </row>
    <row r="114" spans="1:19" x14ac:dyDescent="0.2">
      <c r="A114" s="1">
        <v>43908</v>
      </c>
      <c r="B114" t="str">
        <f>"SH20016501"</f>
        <v>SH20016501</v>
      </c>
      <c r="C114" t="str">
        <f>"IMSDP0096"</f>
        <v>IMSDP0096</v>
      </c>
      <c r="D114" t="str">
        <f>"NIMBUS-96 DEEP WELL MICRO PLATE SDP0096"</f>
        <v>NIMBUS-96 DEEP WELL MICRO PLATE SDP0096</v>
      </c>
      <c r="E114" t="str">
        <f>"25335"</f>
        <v>25335</v>
      </c>
      <c r="F114" t="str">
        <f>"המעבדה המרכזית שרותי בריאות"</f>
        <v>המעבדה המרכזית שרותי בריאות</v>
      </c>
      <c r="G114" t="str">
        <f>"22100"</f>
        <v>22100</v>
      </c>
      <c r="H114" t="str">
        <f>"שרותי בריאות כללית-מנהל אספקה"</f>
        <v>שרותי בריאות כללית-מנהל אספקה</v>
      </c>
      <c r="I114" t="str">
        <f>"22100"</f>
        <v>22100</v>
      </c>
      <c r="J114" t="str">
        <f>"שרותי בריאות כללית-מנהל אספקה"</f>
        <v>שרותי בריאות כללית-מנהל אספקה</v>
      </c>
      <c r="L114" t="str">
        <f>"N"</f>
        <v>N</v>
      </c>
      <c r="M114" t="str">
        <f>"IMPORT"</f>
        <v>IMPORT</v>
      </c>
      <c r="N114" t="str">
        <f>"SO20015016"</f>
        <v>SO20015016</v>
      </c>
      <c r="P114">
        <v>384</v>
      </c>
      <c r="Q114">
        <v>1</v>
      </c>
      <c r="R114" s="2">
        <v>1483.008</v>
      </c>
      <c r="S114">
        <v>387.51188920800001</v>
      </c>
    </row>
    <row r="115" spans="1:19" x14ac:dyDescent="0.2">
      <c r="A115" s="1">
        <v>43908</v>
      </c>
      <c r="B115" t="str">
        <f>"SH20016518"</f>
        <v>SH20016518</v>
      </c>
      <c r="C115" t="str">
        <f>"IMHSP9655"</f>
        <v>IMHSP9655</v>
      </c>
      <c r="D115" t="str">
        <f>"PLATE WELL 96(WHITE)50EA/BOX-HSP9655"</f>
        <v>PLATE WELL 96(WHITE)50EA/BOX-HSP9655</v>
      </c>
      <c r="E115" t="str">
        <f>"25335"</f>
        <v>25335</v>
      </c>
      <c r="F115" t="str">
        <f>"המעבדה המרכזית שרותי בריאות"</f>
        <v>המעבדה המרכזית שרותי בריאות</v>
      </c>
      <c r="G115" t="str">
        <f>"22100"</f>
        <v>22100</v>
      </c>
      <c r="H115" t="str">
        <f>"שרותי בריאות כללית-מנהל אספקה"</f>
        <v>שרותי בריאות כללית-מנהל אספקה</v>
      </c>
      <c r="I115" t="str">
        <f>"22100"</f>
        <v>22100</v>
      </c>
      <c r="J115" t="str">
        <f>"שרותי בריאות כללית-מנהל אספקה"</f>
        <v>שרותי בריאות כללית-מנהל אספקה</v>
      </c>
      <c r="L115" t="str">
        <f>"N"</f>
        <v>N</v>
      </c>
      <c r="M115" t="str">
        <f>"IMPORT"</f>
        <v>IMPORT</v>
      </c>
      <c r="N115" t="str">
        <f>"SO20015000"</f>
        <v>SO20015000</v>
      </c>
      <c r="P115">
        <v>357</v>
      </c>
      <c r="Q115">
        <v>3</v>
      </c>
      <c r="R115" s="2">
        <v>4136.2020000000002</v>
      </c>
      <c r="S115" s="2">
        <v>1080.7948784949999</v>
      </c>
    </row>
    <row r="116" spans="1:19" x14ac:dyDescent="0.2">
      <c r="A116" s="1">
        <v>43908</v>
      </c>
      <c r="B116" t="str">
        <f>"SH20016521"</f>
        <v>SH20016521</v>
      </c>
      <c r="C116" t="str">
        <f>"IMTCS0803"</f>
        <v>IMTCS0803</v>
      </c>
      <c r="D116" t="str">
        <f>"OPTICAL FLAT CAPS FOR 0.2ML 120X8"</f>
        <v>OPTICAL FLAT CAPS FOR 0.2ML 120X8</v>
      </c>
      <c r="E116" t="str">
        <f>"25335"</f>
        <v>25335</v>
      </c>
      <c r="F116" t="str">
        <f>"המעבדה המרכזית שרותי בריאות"</f>
        <v>המעבדה המרכזית שרותי בריאות</v>
      </c>
      <c r="G116" t="str">
        <f>"22100"</f>
        <v>22100</v>
      </c>
      <c r="H116" t="str">
        <f>"שרותי בריאות כללית-מנהל אספקה"</f>
        <v>שרותי בריאות כללית-מנהל אספקה</v>
      </c>
      <c r="I116" t="str">
        <f>"22100"</f>
        <v>22100</v>
      </c>
      <c r="J116" t="str">
        <f>"שרותי בריאות כללית-מנהל אספקה"</f>
        <v>שרותי בריאות כללית-מנהל אספקה</v>
      </c>
      <c r="L116" t="str">
        <f>"N"</f>
        <v>N</v>
      </c>
      <c r="M116" t="str">
        <f>"IMPORT"</f>
        <v>IMPORT</v>
      </c>
      <c r="N116" t="str">
        <f>"SO20015001"</f>
        <v>SO20015001</v>
      </c>
      <c r="P116">
        <v>62</v>
      </c>
      <c r="Q116">
        <v>13</v>
      </c>
      <c r="R116" s="2">
        <v>3112.7719999999999</v>
      </c>
      <c r="S116">
        <v>813.37130911899999</v>
      </c>
    </row>
    <row r="117" spans="1:19" x14ac:dyDescent="0.2">
      <c r="A117" s="1">
        <v>43908</v>
      </c>
      <c r="B117" t="str">
        <f>"SH20016524"</f>
        <v>SH20016524</v>
      </c>
      <c r="C117" t="str">
        <f>"IMHSP9655"</f>
        <v>IMHSP9655</v>
      </c>
      <c r="D117" t="str">
        <f>"PLATE WELL 96(WHITE)50EA/BOX-HSP9655"</f>
        <v>PLATE WELL 96(WHITE)50EA/BOX-HSP9655</v>
      </c>
      <c r="E117" t="str">
        <f>"25335"</f>
        <v>25335</v>
      </c>
      <c r="F117" t="str">
        <f>"המעבדה המרכזית שרותי בריאות"</f>
        <v>המעבדה המרכזית שרותי בריאות</v>
      </c>
      <c r="G117" t="str">
        <f>"22100"</f>
        <v>22100</v>
      </c>
      <c r="H117" t="str">
        <f>"שרותי בריאות כללית-מנהל אספקה"</f>
        <v>שרותי בריאות כללית-מנהל אספקה</v>
      </c>
      <c r="I117" t="str">
        <f>"22100"</f>
        <v>22100</v>
      </c>
      <c r="J117" t="str">
        <f>"שרותי בריאות כללית-מנהל אספקה"</f>
        <v>שרותי בריאות כללית-מנהל אספקה</v>
      </c>
      <c r="L117" t="str">
        <f>"N"</f>
        <v>N</v>
      </c>
      <c r="M117" t="str">
        <f>"IMPORT"</f>
        <v>IMPORT</v>
      </c>
      <c r="N117" t="str">
        <f>"SO20015003"</f>
        <v>SO20015003</v>
      </c>
      <c r="P117">
        <v>357</v>
      </c>
      <c r="Q117">
        <v>1</v>
      </c>
      <c r="R117" s="2">
        <v>1378.7339999999999</v>
      </c>
      <c r="S117">
        <v>360.264959498</v>
      </c>
    </row>
    <row r="118" spans="1:19" x14ac:dyDescent="0.2">
      <c r="A118" s="1">
        <v>43908</v>
      </c>
      <c r="B118" t="str">
        <f>"SH20016526"</f>
        <v>SH20016526</v>
      </c>
      <c r="C118" t="str">
        <f>"IMHSP9655"</f>
        <v>IMHSP9655</v>
      </c>
      <c r="D118" t="str">
        <f>"PLATE WELL 96(WHITE)50EA/BOX-HSP9655"</f>
        <v>PLATE WELL 96(WHITE)50EA/BOX-HSP9655</v>
      </c>
      <c r="E118" t="str">
        <f>"25335"</f>
        <v>25335</v>
      </c>
      <c r="F118" t="str">
        <f>"המעבדה המרכזית שרותי בריאות"</f>
        <v>המעבדה המרכזית שרותי בריאות</v>
      </c>
      <c r="G118" t="str">
        <f>"22100"</f>
        <v>22100</v>
      </c>
      <c r="H118" t="str">
        <f>"שרותי בריאות כללית-מנהל אספקה"</f>
        <v>שרותי בריאות כללית-מנהל אספקה</v>
      </c>
      <c r="I118" t="str">
        <f>"22100"</f>
        <v>22100</v>
      </c>
      <c r="J118" t="str">
        <f>"שרותי בריאות כללית-מנהל אספקה"</f>
        <v>שרותי בריאות כללית-מנהל אספקה</v>
      </c>
      <c r="L118" t="str">
        <f>"N"</f>
        <v>N</v>
      </c>
      <c r="M118" t="str">
        <f>"IMPORT"</f>
        <v>IMPORT</v>
      </c>
      <c r="N118" t="str">
        <f>"SO20015016"</f>
        <v>SO20015016</v>
      </c>
      <c r="P118">
        <v>357</v>
      </c>
      <c r="Q118">
        <v>1</v>
      </c>
      <c r="R118" s="2">
        <v>1378.7339999999999</v>
      </c>
      <c r="S118">
        <v>360.264959498</v>
      </c>
    </row>
    <row r="119" spans="1:19" x14ac:dyDescent="0.2">
      <c r="A119" s="1">
        <v>43908</v>
      </c>
      <c r="B119" t="str">
        <f>"SH20016526"</f>
        <v>SH20016526</v>
      </c>
      <c r="C119" t="str">
        <f>"IMTCS0803"</f>
        <v>IMTCS0803</v>
      </c>
      <c r="D119" t="str">
        <f>"OPTICAL FLAT CAPS FOR 0.2ML 120X8"</f>
        <v>OPTICAL FLAT CAPS FOR 0.2ML 120X8</v>
      </c>
      <c r="E119" t="str">
        <f>"25335"</f>
        <v>25335</v>
      </c>
      <c r="F119" t="str">
        <f>"המעבדה המרכזית שרותי בריאות"</f>
        <v>המעבדה המרכזית שרותי בריאות</v>
      </c>
      <c r="G119" t="str">
        <f>"22100"</f>
        <v>22100</v>
      </c>
      <c r="H119" t="str">
        <f>"שרותי בריאות כללית-מנהל אספקה"</f>
        <v>שרותי בריאות כללית-מנהל אספקה</v>
      </c>
      <c r="I119" t="str">
        <f>"22100"</f>
        <v>22100</v>
      </c>
      <c r="J119" t="str">
        <f>"שרותי בריאות כללית-מנהל אספקה"</f>
        <v>שרותי בריאות כללית-מנהל אספקה</v>
      </c>
      <c r="L119" t="str">
        <f>"N"</f>
        <v>N</v>
      </c>
      <c r="M119" t="str">
        <f>"IMPORT"</f>
        <v>IMPORT</v>
      </c>
      <c r="N119" t="str">
        <f>"SO20015016"</f>
        <v>SO20015016</v>
      </c>
      <c r="P119">
        <v>62</v>
      </c>
      <c r="Q119">
        <v>1</v>
      </c>
      <c r="R119">
        <v>239.44399999999999</v>
      </c>
      <c r="S119">
        <v>62.567023777999999</v>
      </c>
    </row>
    <row r="120" spans="1:19" x14ac:dyDescent="0.2">
      <c r="A120" s="1">
        <v>43908</v>
      </c>
      <c r="B120" t="str">
        <f>"SH20016531"</f>
        <v>SH20016531</v>
      </c>
      <c r="C120" t="str">
        <f>"TTS238"</f>
        <v>TTS238</v>
      </c>
      <c r="D120" t="str">
        <f>"מבחנה PP תחתית עגולה 75*12מ""מ לא סטרילי-BN059-P"</f>
        <v>מבחנה PP תחתית עגולה 75*12מ"מ לא סטרילי-BN059-P</v>
      </c>
      <c r="E120" t="str">
        <f>"200147"</f>
        <v>200147</v>
      </c>
      <c r="F120" t="str">
        <f>"מכבי מגה לאב -מעב מרכזית"</f>
        <v>מכבי מגה לאב -מעב מרכזית</v>
      </c>
      <c r="G120" t="str">
        <f>"22101"</f>
        <v>22101</v>
      </c>
      <c r="H120" t="str">
        <f>"מכבי -שרותי בריאות ריכוזי סניפ"</f>
        <v>מכבי -שרותי בריאות ריכוזי סניפ</v>
      </c>
      <c r="I120" t="str">
        <f>"22101"</f>
        <v>22101</v>
      </c>
      <c r="J120" t="str">
        <f>"מכבי -שרותי בריאות ריכוזי סניפ"</f>
        <v>מכבי -שרותי בריאות ריכוזי סניפ</v>
      </c>
      <c r="L120" t="str">
        <f>"N"</f>
        <v>N</v>
      </c>
      <c r="M120" t="str">
        <f>"UI"</f>
        <v>UI</v>
      </c>
      <c r="N120" t="str">
        <f>"SO20015023"</f>
        <v>SO20015023</v>
      </c>
      <c r="P120">
        <v>0.04</v>
      </c>
      <c r="Q120" s="2">
        <v>4000</v>
      </c>
      <c r="R120">
        <v>617.91999999999996</v>
      </c>
      <c r="S120">
        <v>161.46328717</v>
      </c>
    </row>
    <row r="121" spans="1:19" x14ac:dyDescent="0.2">
      <c r="A121" s="1">
        <v>43908</v>
      </c>
      <c r="B121" t="str">
        <f>"SH20016536"</f>
        <v>SH20016536</v>
      </c>
      <c r="C121" t="str">
        <f>"IMTCS0803"</f>
        <v>IMTCS0803</v>
      </c>
      <c r="D121" t="str">
        <f>"OPTICAL FLAT CAPS FOR 0.2ML 120X8"</f>
        <v>OPTICAL FLAT CAPS FOR 0.2ML 120X8</v>
      </c>
      <c r="E121" t="str">
        <f>"200737"</f>
        <v>200737</v>
      </c>
      <c r="F121" t="str">
        <f>"ד""ר חיים בן צבי - בי""ח בלינסון"</f>
        <v>ד"ר חיים בן צבי - בי"ח בלינסון</v>
      </c>
      <c r="G121" t="str">
        <f>"22100"</f>
        <v>22100</v>
      </c>
      <c r="H121" t="str">
        <f>"שרותי בריאות כללית-מנהל אספקה"</f>
        <v>שרותי בריאות כללית-מנהל אספקה</v>
      </c>
      <c r="I121" t="str">
        <f>"22100"</f>
        <v>22100</v>
      </c>
      <c r="J121" t="str">
        <f>"שרותי בריאות כללית-מנהל אספקה"</f>
        <v>שרותי בריאות כללית-מנהל אספקה</v>
      </c>
      <c r="L121" t="str">
        <f>"Y"</f>
        <v>Y</v>
      </c>
      <c r="M121" t="str">
        <f>"IMPORT"</f>
        <v>IMPORT</v>
      </c>
      <c r="N121" t="str">
        <f>"SO20015028"</f>
        <v>SO20015028</v>
      </c>
      <c r="P121">
        <v>62</v>
      </c>
      <c r="Q121">
        <v>2</v>
      </c>
      <c r="R121">
        <v>478.88799999999998</v>
      </c>
      <c r="S121">
        <v>125.134047557</v>
      </c>
    </row>
    <row r="122" spans="1:19" x14ac:dyDescent="0.2">
      <c r="A122" s="1">
        <v>43908</v>
      </c>
      <c r="B122" t="str">
        <f>"SH20016537"</f>
        <v>SH20016537</v>
      </c>
      <c r="C122" t="str">
        <f>"IMRP10243X"</f>
        <v>IMRP10243X</v>
      </c>
      <c r="D122" t="str">
        <f>"Allplex 2019-nCoV 100T - RP10243X"</f>
        <v>Allplex 2019-nCoV 100T - RP10243X</v>
      </c>
      <c r="E122" t="str">
        <f>"201201"</f>
        <v>201201</v>
      </c>
      <c r="F122" t="str">
        <f>"כללית נשר בקטריולוגית - חיפה"</f>
        <v>כללית נשר בקטריולוגית - חיפה</v>
      </c>
      <c r="G122" t="str">
        <f>"22100"</f>
        <v>22100</v>
      </c>
      <c r="H122" t="str">
        <f>"שרותי בריאות כללית-מנהל אספקה"</f>
        <v>שרותי בריאות כללית-מנהל אספקה</v>
      </c>
      <c r="I122" t="str">
        <f>"22100"</f>
        <v>22100</v>
      </c>
      <c r="J122" t="str">
        <f>"שרותי בריאות כללית-מנהל אספקה"</f>
        <v>שרותי בריאות כללית-מנהל אספקה</v>
      </c>
      <c r="L122" t="str">
        <f>"N"</f>
        <v>N</v>
      </c>
      <c r="M122" t="str">
        <f>"IMPORT"</f>
        <v>IMPORT</v>
      </c>
      <c r="N122" t="str">
        <f>"SO20015041"</f>
        <v>SO20015041</v>
      </c>
      <c r="P122">
        <v>700</v>
      </c>
      <c r="Q122">
        <v>10</v>
      </c>
      <c r="R122" s="2">
        <v>27034</v>
      </c>
      <c r="S122" s="2">
        <v>7064.0188136919996</v>
      </c>
    </row>
    <row r="123" spans="1:19" x14ac:dyDescent="0.2">
      <c r="A123" s="1">
        <v>43908</v>
      </c>
      <c r="B123" t="str">
        <f>"SH20016538"</f>
        <v>SH20016538</v>
      </c>
      <c r="C123" t="str">
        <f>"IMRP10243X"</f>
        <v>IMRP10243X</v>
      </c>
      <c r="D123" t="str">
        <f>"Allplex 2019-nCoV 100T - RP10243X"</f>
        <v>Allplex 2019-nCoV 100T - RP10243X</v>
      </c>
      <c r="E123" t="str">
        <f>"25335"</f>
        <v>25335</v>
      </c>
      <c r="F123" t="str">
        <f>"המעבדה המרכזית שרותי בריאות"</f>
        <v>המעבדה המרכזית שרותי בריאות</v>
      </c>
      <c r="G123" t="str">
        <f>"22100"</f>
        <v>22100</v>
      </c>
      <c r="H123" t="str">
        <f>"שרותי בריאות כללית-מנהל אספקה"</f>
        <v>שרותי בריאות כללית-מנהל אספקה</v>
      </c>
      <c r="I123" t="str">
        <f>"22100"</f>
        <v>22100</v>
      </c>
      <c r="J123" t="str">
        <f>"שרותי בריאות כללית-מנהל אספקה"</f>
        <v>שרותי בריאות כללית-מנהל אספקה</v>
      </c>
      <c r="L123" t="str">
        <f>"N"</f>
        <v>N</v>
      </c>
      <c r="M123" t="str">
        <f>"IMPORT"</f>
        <v>IMPORT</v>
      </c>
      <c r="N123" t="str">
        <f>"SO20015036"</f>
        <v>SO20015036</v>
      </c>
      <c r="P123">
        <v>700</v>
      </c>
      <c r="Q123">
        <v>10</v>
      </c>
      <c r="R123" s="2">
        <v>27034</v>
      </c>
      <c r="S123" s="2">
        <v>7064.0188136919996</v>
      </c>
    </row>
    <row r="124" spans="1:19" x14ac:dyDescent="0.2">
      <c r="A124" s="1">
        <v>43908</v>
      </c>
      <c r="B124" t="str">
        <f>"SH20016539"</f>
        <v>SH20016539</v>
      </c>
      <c r="C124" t="str">
        <f>"IMTCS0803"</f>
        <v>IMTCS0803</v>
      </c>
      <c r="D124" t="str">
        <f>"OPTICAL FLAT CAPS FOR 0.2ML 120X8"</f>
        <v>OPTICAL FLAT CAPS FOR 0.2ML 120X8</v>
      </c>
      <c r="E124" t="str">
        <f>"201174"</f>
        <v>201174</v>
      </c>
      <c r="F124" t="str">
        <f>"ד""ר עמוס אדלר - בי""ח איכילוב"</f>
        <v>ד"ר עמוס אדלר - בי"ח איכילוב</v>
      </c>
      <c r="G124" t="str">
        <f>"21102"</f>
        <v>21102</v>
      </c>
      <c r="H124" t="str">
        <f>"מרכז רפואי איכילוב"</f>
        <v>מרכז רפואי איכילוב</v>
      </c>
      <c r="I124" t="str">
        <f>"21102"</f>
        <v>21102</v>
      </c>
      <c r="J124" t="str">
        <f>"מרכז רפואי איכילוב"</f>
        <v>מרכז רפואי איכילוב</v>
      </c>
      <c r="L124" t="str">
        <f>"N"</f>
        <v>N</v>
      </c>
      <c r="M124" t="str">
        <f>"IMPORT"</f>
        <v>IMPORT</v>
      </c>
      <c r="N124" t="str">
        <f>"SO20015032"</f>
        <v>SO20015032</v>
      </c>
      <c r="P124">
        <v>75</v>
      </c>
      <c r="Q124">
        <v>5</v>
      </c>
      <c r="R124" s="2">
        <v>1448.25</v>
      </c>
      <c r="S124">
        <v>378.429579305</v>
      </c>
    </row>
    <row r="125" spans="1:19" x14ac:dyDescent="0.2">
      <c r="A125" s="1">
        <v>43908</v>
      </c>
      <c r="B125" t="str">
        <f>"SH20016540"</f>
        <v>SH20016540</v>
      </c>
      <c r="C125" t="str">
        <f>"IMTCS0803"</f>
        <v>IMTCS0803</v>
      </c>
      <c r="D125" t="str">
        <f>"OPTICAL FLAT CAPS FOR 0.2ML 120X8"</f>
        <v>OPTICAL FLAT CAPS FOR 0.2ML 120X8</v>
      </c>
      <c r="E125" t="str">
        <f>"200737"</f>
        <v>200737</v>
      </c>
      <c r="F125" t="str">
        <f>"ד""ר חיים בן צבי - בי""ח בלינסון"</f>
        <v>ד"ר חיים בן צבי - בי"ח בלינסון</v>
      </c>
      <c r="G125" t="str">
        <f>"22100"</f>
        <v>22100</v>
      </c>
      <c r="H125" t="str">
        <f>"שרותי בריאות כללית-מנהל אספקה"</f>
        <v>שרותי בריאות כללית-מנהל אספקה</v>
      </c>
      <c r="I125" t="str">
        <f>"22100"</f>
        <v>22100</v>
      </c>
      <c r="J125" t="str">
        <f>"שרותי בריאות כללית-מנהל אספקה"</f>
        <v>שרותי בריאות כללית-מנהל אספקה</v>
      </c>
      <c r="L125" t="str">
        <f>"N"</f>
        <v>N</v>
      </c>
      <c r="M125" t="str">
        <f>"IMPORT"</f>
        <v>IMPORT</v>
      </c>
      <c r="N125" t="str">
        <f>"SO20015029"</f>
        <v>SO20015029</v>
      </c>
      <c r="P125">
        <v>62</v>
      </c>
      <c r="Q125">
        <v>4</v>
      </c>
      <c r="R125">
        <v>957.77599999999995</v>
      </c>
      <c r="S125">
        <v>250.268095114</v>
      </c>
    </row>
    <row r="126" spans="1:19" x14ac:dyDescent="0.2">
      <c r="A126" s="1">
        <v>43908</v>
      </c>
      <c r="B126" t="str">
        <f>"SH20016541"</f>
        <v>SH20016541</v>
      </c>
      <c r="C126" t="str">
        <f>"IMHSP9655"</f>
        <v>IMHSP9655</v>
      </c>
      <c r="D126" t="str">
        <f>"PLATE WELL 96(WHITE)50EA/BOX-HSP9655"</f>
        <v>PLATE WELL 96(WHITE)50EA/BOX-HSP9655</v>
      </c>
      <c r="E126" t="str">
        <f>"200869"</f>
        <v>200869</v>
      </c>
      <c r="F126" t="str">
        <f>"ד""ר פנינית שקד - משען בקטר' כרמל"</f>
        <v>ד"ר פנינית שקד - משען בקטר' כרמל</v>
      </c>
      <c r="G126" t="str">
        <f>"22100"</f>
        <v>22100</v>
      </c>
      <c r="H126" t="str">
        <f>"שרותי בריאות כללית-מנהל אספקה"</f>
        <v>שרותי בריאות כללית-מנהל אספקה</v>
      </c>
      <c r="I126" t="str">
        <f>"22100"</f>
        <v>22100</v>
      </c>
      <c r="J126" t="str">
        <f>"שרותי בריאות כללית-מנהל אספקה"</f>
        <v>שרותי בריאות כללית-מנהל אספקה</v>
      </c>
      <c r="L126" t="str">
        <f>"N"</f>
        <v>N</v>
      </c>
      <c r="M126" t="str">
        <f>"IMPORT"</f>
        <v>IMPORT</v>
      </c>
      <c r="N126" t="str">
        <f>"SO20015026"</f>
        <v>SO20015026</v>
      </c>
      <c r="P126">
        <v>357</v>
      </c>
      <c r="Q126">
        <v>1</v>
      </c>
      <c r="R126" s="2">
        <v>1378.7339999999999</v>
      </c>
      <c r="S126">
        <v>360.264959498</v>
      </c>
    </row>
    <row r="127" spans="1:19" x14ac:dyDescent="0.2">
      <c r="A127" s="1">
        <v>43909</v>
      </c>
      <c r="B127" t="str">
        <f>"SH20016570"</f>
        <v>SH20016570</v>
      </c>
      <c r="C127" t="str">
        <f>"IM235903"</f>
        <v>IM235903</v>
      </c>
      <c r="D127" t="str">
        <f>"STANDARD VOLUME TIPS(300UL)- 235903"</f>
        <v>STANDARD VOLUME TIPS(300UL)- 235903</v>
      </c>
      <c r="E127" t="str">
        <f>"200869"</f>
        <v>200869</v>
      </c>
      <c r="F127" t="str">
        <f>"ד""ר פנינית שקד - משען בקטר' כרמל"</f>
        <v>ד"ר פנינית שקד - משען בקטר' כרמל</v>
      </c>
      <c r="G127" t="str">
        <f>"22100"</f>
        <v>22100</v>
      </c>
      <c r="H127" t="str">
        <f>"שרותי בריאות כללית-מנהל אספקה"</f>
        <v>שרותי בריאות כללית-מנהל אספקה</v>
      </c>
      <c r="I127" t="str">
        <f>"22100"</f>
        <v>22100</v>
      </c>
      <c r="J127" t="str">
        <f>"שרותי בריאות כללית-מנהל אספקה"</f>
        <v>שרותי בריאות כללית-מנהל אספקה</v>
      </c>
      <c r="L127" t="str">
        <f>"N"</f>
        <v>N</v>
      </c>
      <c r="M127" t="str">
        <f>"IMPORT"</f>
        <v>IMPORT</v>
      </c>
      <c r="N127" t="str">
        <f>"SO20015026"</f>
        <v>SO20015026</v>
      </c>
      <c r="P127">
        <v>921.6</v>
      </c>
      <c r="Q127">
        <v>1</v>
      </c>
      <c r="R127" s="2">
        <v>3526.9632000000001</v>
      </c>
      <c r="S127">
        <v>957.63323377699999</v>
      </c>
    </row>
    <row r="128" spans="1:19" x14ac:dyDescent="0.2">
      <c r="A128" s="1">
        <v>43909</v>
      </c>
      <c r="B128" t="str">
        <f>"SH20016570"</f>
        <v>SH20016570</v>
      </c>
      <c r="C128" t="str">
        <f>"IM235905"</f>
        <v>IM235905</v>
      </c>
      <c r="D128" t="str">
        <f>"HIGH VOLUME TIPS(1000UL)- 235905"</f>
        <v>HIGH VOLUME TIPS(1000UL)- 235905</v>
      </c>
      <c r="E128" t="str">
        <f>"200869"</f>
        <v>200869</v>
      </c>
      <c r="F128" t="str">
        <f>"ד""ר פנינית שקד - משען בקטר' כרמל"</f>
        <v>ד"ר פנינית שקד - משען בקטר' כרמל</v>
      </c>
      <c r="G128" t="str">
        <f>"22100"</f>
        <v>22100</v>
      </c>
      <c r="H128" t="str">
        <f>"שרותי בריאות כללית-מנהל אספקה"</f>
        <v>שרותי בריאות כללית-מנהל אספקה</v>
      </c>
      <c r="I128" t="str">
        <f>"22100"</f>
        <v>22100</v>
      </c>
      <c r="J128" t="str">
        <f>"שרותי בריאות כללית-מנהל אספקה"</f>
        <v>שרותי בריאות כללית-מנהל אספקה</v>
      </c>
      <c r="L128" t="str">
        <f>"N"</f>
        <v>N</v>
      </c>
      <c r="M128" t="str">
        <f>"IMPORT"</f>
        <v>IMPORT</v>
      </c>
      <c r="N128" t="str">
        <f>"SO20015026"</f>
        <v>SO20015026</v>
      </c>
      <c r="P128">
        <v>594</v>
      </c>
      <c r="Q128">
        <v>1</v>
      </c>
      <c r="R128" s="2">
        <v>2273.2379999999998</v>
      </c>
      <c r="S128">
        <v>617.224545208</v>
      </c>
    </row>
    <row r="129" spans="1:19" x14ac:dyDescent="0.2">
      <c r="A129" s="1">
        <v>43909</v>
      </c>
      <c r="B129" t="str">
        <f>"SH20016570"</f>
        <v>SH20016570</v>
      </c>
      <c r="C129" t="str">
        <f>"IM7443004U"</f>
        <v>IM7443004U</v>
      </c>
      <c r="D129" t="str">
        <f>"STARMAG 96*4 UNIVERSAL -744300.4.UC384"</f>
        <v>STARMAG 96*4 UNIVERSAL -744300.4.UC384</v>
      </c>
      <c r="E129" t="str">
        <f>"200869"</f>
        <v>200869</v>
      </c>
      <c r="F129" t="str">
        <f>"ד""ר פנינית שקד - משען בקטר' כרמל"</f>
        <v>ד"ר פנינית שקד - משען בקטר' כרמל</v>
      </c>
      <c r="G129" t="str">
        <f>"22100"</f>
        <v>22100</v>
      </c>
      <c r="H129" t="str">
        <f>"שרותי בריאות כללית-מנהל אספקה"</f>
        <v>שרותי בריאות כללית-מנהל אספקה</v>
      </c>
      <c r="I129" t="str">
        <f>"22100"</f>
        <v>22100</v>
      </c>
      <c r="J129" t="str">
        <f>"שרותי בריאות כללית-מנהל אספקה"</f>
        <v>שרותי בריאות כללית-מנהל אספקה</v>
      </c>
      <c r="L129" t="str">
        <f>"N"</f>
        <v>N</v>
      </c>
      <c r="M129" t="str">
        <f>"IMPORT"</f>
        <v>IMPORT</v>
      </c>
      <c r="N129" t="str">
        <f>"SO20015026"</f>
        <v>SO20015026</v>
      </c>
      <c r="P129" s="2">
        <v>1006.8</v>
      </c>
      <c r="Q129">
        <v>2</v>
      </c>
      <c r="R129" s="2">
        <v>7706.0472</v>
      </c>
      <c r="S129" s="2">
        <v>2092.3288623399999</v>
      </c>
    </row>
    <row r="130" spans="1:19" x14ac:dyDescent="0.2">
      <c r="A130" s="1">
        <v>43909</v>
      </c>
      <c r="B130" t="str">
        <f>"SH20016570"</f>
        <v>SH20016570</v>
      </c>
      <c r="C130" t="str">
        <f>"IMSDP0096"</f>
        <v>IMSDP0096</v>
      </c>
      <c r="D130" t="str">
        <f>"NIMBUS-96 DEEP WELL MICRO PLATE SDP0096"</f>
        <v>NIMBUS-96 DEEP WELL MICRO PLATE SDP0096</v>
      </c>
      <c r="E130" t="str">
        <f>"200869"</f>
        <v>200869</v>
      </c>
      <c r="F130" t="str">
        <f>"ד""ר פנינית שקד - משען בקטר' כרמל"</f>
        <v>ד"ר פנינית שקד - משען בקטר' כרמל</v>
      </c>
      <c r="G130" t="str">
        <f>"22100"</f>
        <v>22100</v>
      </c>
      <c r="H130" t="str">
        <f>"שרותי בריאות כללית-מנהל אספקה"</f>
        <v>שרותי בריאות כללית-מנהל אספקה</v>
      </c>
      <c r="I130" t="str">
        <f>"22100"</f>
        <v>22100</v>
      </c>
      <c r="J130" t="str">
        <f>"שרותי בריאות כללית-מנהל אספקה"</f>
        <v>שרותי בריאות כללית-מנהל אספקה</v>
      </c>
      <c r="L130" t="str">
        <f>"N"</f>
        <v>N</v>
      </c>
      <c r="M130" t="str">
        <f>"IMPORT"</f>
        <v>IMPORT</v>
      </c>
      <c r="N130" t="str">
        <f>"SO20015026"</f>
        <v>SO20015026</v>
      </c>
      <c r="P130">
        <v>384</v>
      </c>
      <c r="Q130">
        <v>1</v>
      </c>
      <c r="R130" s="2">
        <v>1469.568</v>
      </c>
      <c r="S130">
        <v>399.01384740700001</v>
      </c>
    </row>
    <row r="131" spans="1:19" x14ac:dyDescent="0.2">
      <c r="A131" s="1">
        <v>43909</v>
      </c>
      <c r="B131" t="str">
        <f>"SH20016576"</f>
        <v>SH20016576</v>
      </c>
      <c r="C131" t="str">
        <f>"IM235903"</f>
        <v>IM235903</v>
      </c>
      <c r="D131" t="str">
        <f>"STANDARD VOLUME TIPS(300UL)- 235903"</f>
        <v>STANDARD VOLUME TIPS(300UL)- 235903</v>
      </c>
      <c r="E131" t="str">
        <f>"200737"</f>
        <v>200737</v>
      </c>
      <c r="F131" t="str">
        <f>"ד""ר חיים בן צבי - בי""ח בלינסון"</f>
        <v>ד"ר חיים בן צבי - בי"ח בלינסון</v>
      </c>
      <c r="G131" t="str">
        <f>"22100"</f>
        <v>22100</v>
      </c>
      <c r="H131" t="str">
        <f>"שרותי בריאות כללית-מנהל אספקה"</f>
        <v>שרותי בריאות כללית-מנהל אספקה</v>
      </c>
      <c r="I131" t="str">
        <f>"22100"</f>
        <v>22100</v>
      </c>
      <c r="J131" t="str">
        <f>"שרותי בריאות כללית-מנהל אספקה"</f>
        <v>שרותי בריאות כללית-מנהל אספקה</v>
      </c>
      <c r="L131" t="str">
        <f>"N"</f>
        <v>N</v>
      </c>
      <c r="M131" t="str">
        <f>"IMPORT"</f>
        <v>IMPORT</v>
      </c>
      <c r="N131" t="str">
        <f>"SO20015029"</f>
        <v>SO20015029</v>
      </c>
      <c r="P131">
        <v>921.6</v>
      </c>
      <c r="Q131">
        <v>2</v>
      </c>
      <c r="R131" s="2">
        <v>7053.9264000000003</v>
      </c>
      <c r="S131" s="2">
        <v>1915.266467554</v>
      </c>
    </row>
    <row r="132" spans="1:19" x14ac:dyDescent="0.2">
      <c r="A132" s="1">
        <v>43909</v>
      </c>
      <c r="B132" t="str">
        <f>"SH20016576"</f>
        <v>SH20016576</v>
      </c>
      <c r="C132" t="str">
        <f>"IM235905"</f>
        <v>IM235905</v>
      </c>
      <c r="D132" t="str">
        <f>"HIGH VOLUME TIPS(1000UL)- 235905"</f>
        <v>HIGH VOLUME TIPS(1000UL)- 235905</v>
      </c>
      <c r="E132" t="str">
        <f>"200737"</f>
        <v>200737</v>
      </c>
      <c r="F132" t="str">
        <f>"ד""ר חיים בן צבי - בי""ח בלינסון"</f>
        <v>ד"ר חיים בן צבי - בי"ח בלינסון</v>
      </c>
      <c r="G132" t="str">
        <f>"22100"</f>
        <v>22100</v>
      </c>
      <c r="H132" t="str">
        <f>"שרותי בריאות כללית-מנהל אספקה"</f>
        <v>שרותי בריאות כללית-מנהל אספקה</v>
      </c>
      <c r="I132" t="str">
        <f>"22100"</f>
        <v>22100</v>
      </c>
      <c r="J132" t="str">
        <f>"שרותי בריאות כללית-מנהל אספקה"</f>
        <v>שרותי בריאות כללית-מנהל אספקה</v>
      </c>
      <c r="L132" t="str">
        <f>"N"</f>
        <v>N</v>
      </c>
      <c r="M132" t="str">
        <f>"IMPORT"</f>
        <v>IMPORT</v>
      </c>
      <c r="N132" t="str">
        <f>"SO20015029"</f>
        <v>SO20015029</v>
      </c>
      <c r="P132">
        <v>594</v>
      </c>
      <c r="Q132">
        <v>4</v>
      </c>
      <c r="R132" s="2">
        <v>9092.9519999999993</v>
      </c>
      <c r="S132" s="2">
        <v>2468.898180831</v>
      </c>
    </row>
    <row r="133" spans="1:19" x14ac:dyDescent="0.2">
      <c r="A133" s="1">
        <v>43909</v>
      </c>
      <c r="B133" t="str">
        <f>"SH20016576"</f>
        <v>SH20016576</v>
      </c>
      <c r="C133" t="str">
        <f>"IM7443004U"</f>
        <v>IM7443004U</v>
      </c>
      <c r="D133" t="str">
        <f>"STARMAG 96*4 UNIVERSAL -744300.4.UC384"</f>
        <v>STARMAG 96*4 UNIVERSAL -744300.4.UC384</v>
      </c>
      <c r="E133" t="str">
        <f>"200737"</f>
        <v>200737</v>
      </c>
      <c r="F133" t="str">
        <f>"ד""ר חיים בן צבי - בי""ח בלינסון"</f>
        <v>ד"ר חיים בן צבי - בי"ח בלינסון</v>
      </c>
      <c r="G133" t="str">
        <f>"22100"</f>
        <v>22100</v>
      </c>
      <c r="H133" t="str">
        <f>"שרותי בריאות כללית-מנהל אספקה"</f>
        <v>שרותי בריאות כללית-מנהל אספקה</v>
      </c>
      <c r="I133" t="str">
        <f>"22100"</f>
        <v>22100</v>
      </c>
      <c r="J133" t="str">
        <f>"שרותי בריאות כללית-מנהל אספקה"</f>
        <v>שרותי בריאות כללית-מנהל אספקה</v>
      </c>
      <c r="L133" t="str">
        <f>"N"</f>
        <v>N</v>
      </c>
      <c r="M133" t="str">
        <f>"IMPORT"</f>
        <v>IMPORT</v>
      </c>
      <c r="N133" t="str">
        <f>"SO20015029"</f>
        <v>SO20015029</v>
      </c>
      <c r="P133" s="2">
        <v>1006.8</v>
      </c>
      <c r="Q133">
        <v>4</v>
      </c>
      <c r="R133" s="2">
        <v>15412.0944</v>
      </c>
      <c r="S133" s="2">
        <v>4184.6577246810002</v>
      </c>
    </row>
    <row r="134" spans="1:19" x14ac:dyDescent="0.2">
      <c r="A134" s="1">
        <v>43909</v>
      </c>
      <c r="B134" t="str">
        <f>"SH20016580"</f>
        <v>SH20016580</v>
      </c>
      <c r="C134" t="str">
        <f>"IM7443004U"</f>
        <v>IM7443004U</v>
      </c>
      <c r="D134" t="str">
        <f>"STARMAG 96*4 UNIVERSAL -744300.4.UC384"</f>
        <v>STARMAG 96*4 UNIVERSAL -744300.4.UC384</v>
      </c>
      <c r="E134" t="str">
        <f>"200737"</f>
        <v>200737</v>
      </c>
      <c r="F134" t="str">
        <f>"ד""ר חיים בן צבי - בי""ח בלינסון"</f>
        <v>ד"ר חיים בן צבי - בי"ח בלינסון</v>
      </c>
      <c r="G134" t="str">
        <f>"22100"</f>
        <v>22100</v>
      </c>
      <c r="H134" t="str">
        <f>"שרותי בריאות כללית-מנהל אספקה"</f>
        <v>שרותי בריאות כללית-מנהל אספקה</v>
      </c>
      <c r="I134" t="str">
        <f>"22100"</f>
        <v>22100</v>
      </c>
      <c r="J134" t="str">
        <f>"שרותי בריאות כללית-מנהל אספקה"</f>
        <v>שרותי בריאות כללית-מנהל אספקה</v>
      </c>
      <c r="L134" t="str">
        <f>"Y"</f>
        <v>Y</v>
      </c>
      <c r="M134" t="str">
        <f>"IMPORT"</f>
        <v>IMPORT</v>
      </c>
      <c r="N134" t="str">
        <f>"SO20015028"</f>
        <v>SO20015028</v>
      </c>
      <c r="P134" s="2">
        <v>1006.8</v>
      </c>
      <c r="Q134">
        <v>1</v>
      </c>
      <c r="R134" s="2">
        <v>3853.0236</v>
      </c>
      <c r="S134" s="2">
        <v>1046.1644311699999</v>
      </c>
    </row>
    <row r="135" spans="1:19" x14ac:dyDescent="0.2">
      <c r="A135" s="1">
        <v>43909</v>
      </c>
      <c r="B135" t="str">
        <f>"SH20016580"</f>
        <v>SH20016580</v>
      </c>
      <c r="C135" t="str">
        <f>"IMSDP0096"</f>
        <v>IMSDP0096</v>
      </c>
      <c r="D135" t="str">
        <f>"NIMBUS-96 DEEP WELL MICRO PLATE SDP0096"</f>
        <v>NIMBUS-96 DEEP WELL MICRO PLATE SDP0096</v>
      </c>
      <c r="E135" t="str">
        <f>"200737"</f>
        <v>200737</v>
      </c>
      <c r="F135" t="str">
        <f>"ד""ר חיים בן צבי - בי""ח בלינסון"</f>
        <v>ד"ר חיים בן צבי - בי"ח בלינסון</v>
      </c>
      <c r="G135" t="str">
        <f>"22100"</f>
        <v>22100</v>
      </c>
      <c r="H135" t="str">
        <f>"שרותי בריאות כללית-מנהל אספקה"</f>
        <v>שרותי בריאות כללית-מנהל אספקה</v>
      </c>
      <c r="I135" t="str">
        <f>"22100"</f>
        <v>22100</v>
      </c>
      <c r="J135" t="str">
        <f>"שרותי בריאות כללית-מנהל אספקה"</f>
        <v>שרותי בריאות כללית-מנהל אספקה</v>
      </c>
      <c r="L135" t="str">
        <f>"Y"</f>
        <v>Y</v>
      </c>
      <c r="M135" t="str">
        <f>"IMPORT"</f>
        <v>IMPORT</v>
      </c>
      <c r="N135" t="str">
        <f>"SO20015028"</f>
        <v>SO20015028</v>
      </c>
      <c r="P135">
        <v>384</v>
      </c>
      <c r="Q135">
        <v>1</v>
      </c>
      <c r="R135" s="2">
        <v>1469.568</v>
      </c>
      <c r="S135">
        <v>399.01384740700001</v>
      </c>
    </row>
    <row r="136" spans="1:19" x14ac:dyDescent="0.2">
      <c r="A136" s="1">
        <v>43909</v>
      </c>
      <c r="B136" t="str">
        <f>"SH20016581"</f>
        <v>SH20016581</v>
      </c>
      <c r="C136" t="str">
        <f>"TTS238"</f>
        <v>TTS238</v>
      </c>
      <c r="D136" t="str">
        <f>"מבחנה PP תחתית עגולה 75*12מ""מ לא סטרילי-BN059-P"</f>
        <v>מבחנה PP תחתית עגולה 75*12מ"מ לא סטרילי-BN059-P</v>
      </c>
      <c r="E136" t="str">
        <f>"200869"</f>
        <v>200869</v>
      </c>
      <c r="F136" t="str">
        <f>"ד""ר פנינית שקד - משען בקטר' כרמל"</f>
        <v>ד"ר פנינית שקד - משען בקטר' כרמל</v>
      </c>
      <c r="G136" t="str">
        <f>"22100"</f>
        <v>22100</v>
      </c>
      <c r="H136" t="str">
        <f>"שרותי בריאות כללית-מנהל אספקה"</f>
        <v>שרותי בריאות כללית-מנהל אספקה</v>
      </c>
      <c r="I136" t="str">
        <f>"22100"</f>
        <v>22100</v>
      </c>
      <c r="J136" t="str">
        <f>"שרותי בריאות כללית-מנהל אספקה"</f>
        <v>שרותי בריאות כללית-מנהל אספקה</v>
      </c>
      <c r="L136" t="str">
        <f>"N"</f>
        <v>N</v>
      </c>
      <c r="M136" t="str">
        <f>"UI"</f>
        <v>UI</v>
      </c>
      <c r="N136" t="str">
        <f>"SO20015082"</f>
        <v>SO20015082</v>
      </c>
      <c r="P136">
        <v>0.04</v>
      </c>
      <c r="Q136" s="2">
        <v>1000</v>
      </c>
      <c r="R136">
        <v>153.08000000000001</v>
      </c>
      <c r="S136">
        <v>41.563942437999998</v>
      </c>
    </row>
    <row r="137" spans="1:19" x14ac:dyDescent="0.2">
      <c r="A137" s="1">
        <v>43909</v>
      </c>
      <c r="B137" t="str">
        <f>"SH20016588"</f>
        <v>SH20016588</v>
      </c>
      <c r="C137" t="str">
        <f>"IMRP10243X"</f>
        <v>IMRP10243X</v>
      </c>
      <c r="D137" t="str">
        <f>"Allplex 2019-nCoV 100T - RP10243X"</f>
        <v>Allplex 2019-nCoV 100T - RP10243X</v>
      </c>
      <c r="E137" t="str">
        <f>"27027"</f>
        <v>27027</v>
      </c>
      <c r="F137" t="str">
        <f>"שראל-פתרונות לוגיסטיים ומוצרים"</f>
        <v>שראל-פתרונות לוגיסטיים ומוצרים</v>
      </c>
      <c r="K137" t="str">
        <f>"פרופ' יונת שמר - בי""ח סורוקה"</f>
        <v>פרופ' יונת שמר - בי"ח סורוקה</v>
      </c>
      <c r="L137" t="str">
        <f>"N"</f>
        <v>N</v>
      </c>
      <c r="M137" t="str">
        <f>"IMPORT"</f>
        <v>IMPORT</v>
      </c>
      <c r="N137" t="str">
        <f>"SO20015098"</f>
        <v>SO20015098</v>
      </c>
      <c r="P137">
        <v>679</v>
      </c>
      <c r="Q137">
        <v>10</v>
      </c>
      <c r="R137" s="2">
        <v>25985.33</v>
      </c>
      <c r="S137" s="2">
        <v>7055.4792288890003</v>
      </c>
    </row>
    <row r="138" spans="1:19" x14ac:dyDescent="0.2">
      <c r="A138" s="1">
        <v>43909</v>
      </c>
      <c r="B138" t="str">
        <f>"SH20016599"</f>
        <v>SH20016599</v>
      </c>
      <c r="C138" t="str">
        <f>"IMRP10243X"</f>
        <v>IMRP10243X</v>
      </c>
      <c r="D138" t="str">
        <f>"Allplex 2019-nCoV 100T - RP10243X"</f>
        <v>Allplex 2019-nCoV 100T - RP10243X</v>
      </c>
      <c r="E138" t="str">
        <f>"200163"</f>
        <v>200163</v>
      </c>
      <c r="F138" t="str">
        <f>"ד""ר ריטה ברנשטיין - בי""ח קפלן"</f>
        <v>ד"ר ריטה ברנשטיין - בי"ח קפלן</v>
      </c>
      <c r="G138" t="str">
        <f>"22100"</f>
        <v>22100</v>
      </c>
      <c r="H138" t="str">
        <f>"שרותי בריאות כללית-מנהל אספקה"</f>
        <v>שרותי בריאות כללית-מנהל אספקה</v>
      </c>
      <c r="I138" t="str">
        <f>"22100"</f>
        <v>22100</v>
      </c>
      <c r="J138" t="str">
        <f>"שרותי בריאות כללית-מנהל אספקה"</f>
        <v>שרותי בריאות כללית-מנהל אספקה</v>
      </c>
      <c r="L138" t="str">
        <f>"Y"</f>
        <v>Y</v>
      </c>
      <c r="M138" t="str">
        <f>"IMPORT"</f>
        <v>IMPORT</v>
      </c>
      <c r="N138" t="str">
        <f>"SO20015137"</f>
        <v>SO20015137</v>
      </c>
      <c r="P138">
        <v>700</v>
      </c>
      <c r="Q138">
        <v>3</v>
      </c>
      <c r="R138" s="2">
        <v>8036.7</v>
      </c>
      <c r="S138" s="2">
        <v>2182.1069780070002</v>
      </c>
    </row>
    <row r="139" spans="1:19" x14ac:dyDescent="0.2">
      <c r="A139" s="1">
        <v>43909</v>
      </c>
      <c r="B139" t="str">
        <f>"SH20016602"</f>
        <v>SH20016602</v>
      </c>
      <c r="C139" t="str">
        <f>"IMHSP9655"</f>
        <v>IMHSP9655</v>
      </c>
      <c r="D139" t="str">
        <f>"PLATE WELL 96(WHITE)50EA/BOX-HSP9655"</f>
        <v>PLATE WELL 96(WHITE)50EA/BOX-HSP9655</v>
      </c>
      <c r="E139" t="str">
        <f>"27027"</f>
        <v>27027</v>
      </c>
      <c r="F139" t="str">
        <f>"שראל-פתרונות לוגיסטיים ומוצרים"</f>
        <v>שראל-פתרונות לוגיסטיים ומוצרים</v>
      </c>
      <c r="K139" t="str">
        <f>"מרק עשוש - שערי צדק"</f>
        <v>מרק עשוש - שערי צדק</v>
      </c>
      <c r="L139" t="str">
        <f>"N"</f>
        <v>N</v>
      </c>
      <c r="M139" t="str">
        <f>"IMPORT"</f>
        <v>IMPORT</v>
      </c>
      <c r="N139" t="str">
        <f>"SO20015144"</f>
        <v>SO20015144</v>
      </c>
      <c r="P139">
        <v>357.01</v>
      </c>
      <c r="Q139">
        <v>1</v>
      </c>
      <c r="R139" s="2">
        <v>1366.27727</v>
      </c>
      <c r="S139">
        <v>370.96857724699998</v>
      </c>
    </row>
    <row r="140" spans="1:19" x14ac:dyDescent="0.2">
      <c r="A140" s="1">
        <v>43909</v>
      </c>
      <c r="B140" t="str">
        <f>"SH20016602"</f>
        <v>SH20016602</v>
      </c>
      <c r="C140" t="str">
        <f>"IMTCS0803"</f>
        <v>IMTCS0803</v>
      </c>
      <c r="D140" t="str">
        <f>"OPTICAL FLAT CAPS FOR 0.2ML 120X8"</f>
        <v>OPTICAL FLAT CAPS FOR 0.2ML 120X8</v>
      </c>
      <c r="E140" t="str">
        <f>"27027"</f>
        <v>27027</v>
      </c>
      <c r="F140" t="str">
        <f>"שראל-פתרונות לוגיסטיים ומוצרים"</f>
        <v>שראל-פתרונות לוגיסטיים ומוצרים</v>
      </c>
      <c r="K140" t="str">
        <f>"מרק עשוש - שערי צדק"</f>
        <v>מרק עשוש - שערי צדק</v>
      </c>
      <c r="L140" t="str">
        <f>"N"</f>
        <v>N</v>
      </c>
      <c r="M140" t="str">
        <f>"IMPORT"</f>
        <v>IMPORT</v>
      </c>
      <c r="N140" t="str">
        <f>"SO20015144"</f>
        <v>SO20015144</v>
      </c>
      <c r="P140">
        <v>96.03</v>
      </c>
      <c r="Q140">
        <v>1</v>
      </c>
      <c r="R140">
        <v>367.50680999999997</v>
      </c>
      <c r="S140">
        <v>99.784634808999996</v>
      </c>
    </row>
    <row r="141" spans="1:19" x14ac:dyDescent="0.2">
      <c r="A141" s="1">
        <v>43909</v>
      </c>
      <c r="B141" t="str">
        <f>"SH20016603"</f>
        <v>SH20016603</v>
      </c>
      <c r="C141" t="str">
        <f>"IMRP10243X"</f>
        <v>IMRP10243X</v>
      </c>
      <c r="D141" t="str">
        <f>"Allplex 2019-nCoV 100T - RP10243X"</f>
        <v>Allplex 2019-nCoV 100T - RP10243X</v>
      </c>
      <c r="E141" t="str">
        <f>"27027"</f>
        <v>27027</v>
      </c>
      <c r="F141" t="str">
        <f>"שראל-פתרונות לוגיסטיים ומוצרים"</f>
        <v>שראל-פתרונות לוגיסטיים ומוצרים</v>
      </c>
      <c r="K141" t="str">
        <f>"מרק עשוש - שערי צדק"</f>
        <v>מרק עשוש - שערי צדק</v>
      </c>
      <c r="L141" t="str">
        <f>"Y"</f>
        <v>Y</v>
      </c>
      <c r="M141" t="str">
        <f>"IMPORT"</f>
        <v>IMPORT</v>
      </c>
      <c r="N141" t="str">
        <f>"SO20015145"</f>
        <v>SO20015145</v>
      </c>
      <c r="P141">
        <v>679</v>
      </c>
      <c r="Q141">
        <v>3</v>
      </c>
      <c r="R141" s="2">
        <v>7795.5990000000002</v>
      </c>
      <c r="S141" s="2">
        <v>2116.6437686670001</v>
      </c>
    </row>
    <row r="142" spans="1:19" x14ac:dyDescent="0.2">
      <c r="A142" s="1">
        <v>43909</v>
      </c>
      <c r="B142" t="str">
        <f>"SH20016698"</f>
        <v>SH20016698</v>
      </c>
      <c r="C142" t="str">
        <f>"IMRP10243X"</f>
        <v>IMRP10243X</v>
      </c>
      <c r="D142" t="str">
        <f>"Allplex 2019-nCoV 100T - RP10243X"</f>
        <v>Allplex 2019-nCoV 100T - RP10243X</v>
      </c>
      <c r="E142" t="str">
        <f>"27027"</f>
        <v>27027</v>
      </c>
      <c r="F142" t="str">
        <f>"שראל-פתרונות לוגיסטיים ומוצרים"</f>
        <v>שראל-פתרונות לוגיסטיים ומוצרים</v>
      </c>
      <c r="K142" t="str">
        <f>"ד""ר ציפורה לזרוביץ - אסף הרופא"</f>
        <v>ד"ר ציפורה לזרוביץ - אסף הרופא</v>
      </c>
      <c r="L142" t="str">
        <f>"Y"</f>
        <v>Y</v>
      </c>
      <c r="M142" t="str">
        <f>"IMPORT"</f>
        <v>IMPORT</v>
      </c>
      <c r="N142" t="str">
        <f>"SO20015150"</f>
        <v>SO20015150</v>
      </c>
      <c r="P142">
        <v>679</v>
      </c>
      <c r="Q142">
        <v>2</v>
      </c>
      <c r="R142" s="2">
        <v>5197.0659999999998</v>
      </c>
      <c r="S142" s="2">
        <v>1411.095845778</v>
      </c>
    </row>
    <row r="143" spans="1:19" x14ac:dyDescent="0.2">
      <c r="A143" s="1">
        <v>43909</v>
      </c>
      <c r="B143" t="str">
        <f>"SH20016699"</f>
        <v>SH20016699</v>
      </c>
      <c r="C143" t="str">
        <f>"IMRP10243X"</f>
        <v>IMRP10243X</v>
      </c>
      <c r="D143" t="str">
        <f>"Allplex 2019-nCoV 100T - RP10243X"</f>
        <v>Allplex 2019-nCoV 100T - RP10243X</v>
      </c>
      <c r="E143" t="str">
        <f>"27027"</f>
        <v>27027</v>
      </c>
      <c r="F143" t="str">
        <f>"שראל-פתרונות לוגיסטיים ומוצרים"</f>
        <v>שראל-פתרונות לוגיסטיים ומוצרים</v>
      </c>
      <c r="K143" t="str">
        <f>"מכבי מגה לאב -מעב מרכזית"</f>
        <v>מכבי מגה לאב -מעב מרכזית</v>
      </c>
      <c r="L143" t="str">
        <f>"Y"</f>
        <v>Y</v>
      </c>
      <c r="M143" t="str">
        <f>"IMPORT"</f>
        <v>IMPORT</v>
      </c>
      <c r="N143" t="str">
        <f>"SO20015161"</f>
        <v>SO20015161</v>
      </c>
      <c r="P143">
        <v>679</v>
      </c>
      <c r="Q143">
        <v>3</v>
      </c>
      <c r="R143" s="2">
        <v>7795.5990000000002</v>
      </c>
      <c r="S143" s="2">
        <v>2116.6437686670001</v>
      </c>
    </row>
    <row r="144" spans="1:19" x14ac:dyDescent="0.2">
      <c r="A144" s="1">
        <v>43909</v>
      </c>
      <c r="B144" t="str">
        <f>"SH20016777"</f>
        <v>SH20016777</v>
      </c>
      <c r="C144" t="str">
        <f>"IM235903"</f>
        <v>IM235903</v>
      </c>
      <c r="D144" t="str">
        <f>"STANDARD VOLUME TIPS(300UL)- 235903"</f>
        <v>STANDARD VOLUME TIPS(300UL)- 235903</v>
      </c>
      <c r="E144" t="str">
        <f>"201237"</f>
        <v>201237</v>
      </c>
      <c r="F144" t="str">
        <f>"מעבדות הצבא-חר'פ 542"</f>
        <v>מעבדות הצבא-חר'פ 542</v>
      </c>
      <c r="G144" t="str">
        <f>"23101"</f>
        <v>23101</v>
      </c>
      <c r="H144" t="str">
        <f>"משרד הבטחון-מערכת אב'כ ורפואה"</f>
        <v>משרד הבטחון-מערכת אב'כ ורפואה</v>
      </c>
      <c r="I144" t="str">
        <f>"23101"</f>
        <v>23101</v>
      </c>
      <c r="J144" t="str">
        <f>"משרד הבטחון-מערכת אב'כ ורפואה"</f>
        <v>משרד הבטחון-מערכת אב'כ ורפואה</v>
      </c>
      <c r="L144" t="str">
        <f>"N"</f>
        <v>N</v>
      </c>
      <c r="M144" t="str">
        <f>"IMPORT"</f>
        <v>IMPORT</v>
      </c>
      <c r="N144" t="str">
        <f>"SO20015250"</f>
        <v>SO20015250</v>
      </c>
      <c r="P144" s="2">
        <v>1100</v>
      </c>
      <c r="Q144">
        <v>1</v>
      </c>
      <c r="R144" s="2">
        <v>4209.7</v>
      </c>
      <c r="S144" s="2">
        <v>1143.0084170509999</v>
      </c>
    </row>
    <row r="145" spans="1:19" x14ac:dyDescent="0.2">
      <c r="A145" s="1">
        <v>43909</v>
      </c>
      <c r="B145" t="str">
        <f>"SH20016777"</f>
        <v>SH20016777</v>
      </c>
      <c r="C145" t="str">
        <f>"IM235905"</f>
        <v>IM235905</v>
      </c>
      <c r="D145" t="str">
        <f>"HIGH VOLUME TIPS(1000UL)- 235905"</f>
        <v>HIGH VOLUME TIPS(1000UL)- 235905</v>
      </c>
      <c r="E145" t="str">
        <f>"201237"</f>
        <v>201237</v>
      </c>
      <c r="F145" t="str">
        <f>"מעבדות הצבא-חר'פ 542"</f>
        <v>מעבדות הצבא-חר'פ 542</v>
      </c>
      <c r="G145" t="str">
        <f>"23101"</f>
        <v>23101</v>
      </c>
      <c r="H145" t="str">
        <f>"משרד הבטחון-מערכת אב'כ ורפואה"</f>
        <v>משרד הבטחון-מערכת אב'כ ורפואה</v>
      </c>
      <c r="I145" t="str">
        <f>"23101"</f>
        <v>23101</v>
      </c>
      <c r="J145" t="str">
        <f>"משרד הבטחון-מערכת אב'כ ורפואה"</f>
        <v>משרד הבטחון-מערכת אב'כ ורפואה</v>
      </c>
      <c r="L145" t="str">
        <f>"N"</f>
        <v>N</v>
      </c>
      <c r="M145" t="str">
        <f>"IMPORT"</f>
        <v>IMPORT</v>
      </c>
      <c r="N145" t="str">
        <f>"SO20015250"</f>
        <v>SO20015250</v>
      </c>
      <c r="P145">
        <v>700</v>
      </c>
      <c r="Q145">
        <v>2</v>
      </c>
      <c r="R145" s="2">
        <v>5357.8</v>
      </c>
      <c r="S145" s="2">
        <v>1454.737985338</v>
      </c>
    </row>
    <row r="146" spans="1:19" x14ac:dyDescent="0.2">
      <c r="A146" s="1">
        <v>43909</v>
      </c>
      <c r="B146" t="str">
        <f>"SH20016777"</f>
        <v>SH20016777</v>
      </c>
      <c r="C146" t="str">
        <f>"IM7443004U"</f>
        <v>IM7443004U</v>
      </c>
      <c r="D146" t="str">
        <f>"STARMAG 96*4 UNIVERSAL -744300.4.UC384"</f>
        <v>STARMAG 96*4 UNIVERSAL -744300.4.UC384</v>
      </c>
      <c r="E146" t="str">
        <f>"201237"</f>
        <v>201237</v>
      </c>
      <c r="F146" t="str">
        <f>"מעבדות הצבא-חר'פ 542"</f>
        <v>מעבדות הצבא-חר'פ 542</v>
      </c>
      <c r="G146" t="str">
        <f>"23101"</f>
        <v>23101</v>
      </c>
      <c r="H146" t="str">
        <f>"משרד הבטחון-מערכת אב'כ ורפואה"</f>
        <v>משרד הבטחון-מערכת אב'כ ורפואה</v>
      </c>
      <c r="I146" t="str">
        <f>"23101"</f>
        <v>23101</v>
      </c>
      <c r="J146" t="str">
        <f>"משרד הבטחון-מערכת אב'כ ורפואה"</f>
        <v>משרד הבטחון-מערכת אב'כ ורפואה</v>
      </c>
      <c r="L146" t="str">
        <f>"N"</f>
        <v>N</v>
      </c>
      <c r="M146" t="str">
        <f>"IMPORT"</f>
        <v>IMPORT</v>
      </c>
      <c r="N146" t="str">
        <f>"SO20015250"</f>
        <v>SO20015250</v>
      </c>
      <c r="P146" s="2">
        <v>1045</v>
      </c>
      <c r="Q146">
        <v>1</v>
      </c>
      <c r="R146" s="2">
        <v>3999.2150000000001</v>
      </c>
      <c r="S146" s="2">
        <v>1085.8579961989999</v>
      </c>
    </row>
    <row r="147" spans="1:19" x14ac:dyDescent="0.2">
      <c r="A147" s="1">
        <v>43909</v>
      </c>
      <c r="B147" t="str">
        <f>"SH20016777"</f>
        <v>SH20016777</v>
      </c>
      <c r="C147" t="str">
        <f>"IMSDP0096"</f>
        <v>IMSDP0096</v>
      </c>
      <c r="D147" t="str">
        <f>"NIMBUS-96 DEEP WELL MICRO PLATE SDP0096"</f>
        <v>NIMBUS-96 DEEP WELL MICRO PLATE SDP0096</v>
      </c>
      <c r="E147" t="str">
        <f>"201237"</f>
        <v>201237</v>
      </c>
      <c r="F147" t="str">
        <f>"מעבדות הצבא-חר'פ 542"</f>
        <v>מעבדות הצבא-חר'פ 542</v>
      </c>
      <c r="G147" t="str">
        <f>"23101"</f>
        <v>23101</v>
      </c>
      <c r="H147" t="str">
        <f>"משרד הבטחון-מערכת אב'כ ורפואה"</f>
        <v>משרד הבטחון-מערכת אב'כ ורפואה</v>
      </c>
      <c r="I147" t="str">
        <f>"23101"</f>
        <v>23101</v>
      </c>
      <c r="J147" t="str">
        <f>"משרד הבטחון-מערכת אב'כ ורפואה"</f>
        <v>משרד הבטחון-מערכת אב'כ ורפואה</v>
      </c>
      <c r="L147" t="str">
        <f>"N"</f>
        <v>N</v>
      </c>
      <c r="M147" t="str">
        <f>"IMPORT"</f>
        <v>IMPORT</v>
      </c>
      <c r="N147" t="str">
        <f>"SO20015250"</f>
        <v>SO20015250</v>
      </c>
      <c r="P147">
        <v>460</v>
      </c>
      <c r="Q147">
        <v>1</v>
      </c>
      <c r="R147" s="2">
        <v>1760.42</v>
      </c>
      <c r="S147">
        <v>477.98533803999999</v>
      </c>
    </row>
    <row r="148" spans="1:19" x14ac:dyDescent="0.2">
      <c r="A148" s="1">
        <v>43909</v>
      </c>
      <c r="B148" t="str">
        <f>"SH20016782"</f>
        <v>SH20016782</v>
      </c>
      <c r="C148" t="str">
        <f>"IMHSP9655"</f>
        <v>IMHSP9655</v>
      </c>
      <c r="D148" t="str">
        <f>"PLATE WELL 96(WHITE)50EA/BOX-HSP9655"</f>
        <v>PLATE WELL 96(WHITE)50EA/BOX-HSP9655</v>
      </c>
      <c r="E148" t="str">
        <f>"201237"</f>
        <v>201237</v>
      </c>
      <c r="F148" t="str">
        <f>"מעבדות הצבא-חר'פ 542"</f>
        <v>מעבדות הצבא-חר'פ 542</v>
      </c>
      <c r="G148" t="str">
        <f>"23101"</f>
        <v>23101</v>
      </c>
      <c r="H148" t="str">
        <f>"משרד הבטחון-מערכת אב'כ ורפואה"</f>
        <v>משרד הבטחון-מערכת אב'כ ורפואה</v>
      </c>
      <c r="I148" t="str">
        <f>"23101"</f>
        <v>23101</v>
      </c>
      <c r="J148" t="str">
        <f>"משרד הבטחון-מערכת אב'כ ורפואה"</f>
        <v>משרד הבטחון-מערכת אב'כ ורפואה</v>
      </c>
      <c r="L148" t="str">
        <f>"N"</f>
        <v>N</v>
      </c>
      <c r="M148" t="str">
        <f>"IMPORT"</f>
        <v>IMPORT</v>
      </c>
      <c r="N148" t="str">
        <f>"SO20015250"</f>
        <v>SO20015250</v>
      </c>
      <c r="P148" s="2">
        <v>1264</v>
      </c>
      <c r="Q148">
        <v>1</v>
      </c>
      <c r="R148" s="2">
        <v>4837.3280000000004</v>
      </c>
      <c r="S148" s="2">
        <v>1313.420581048</v>
      </c>
    </row>
    <row r="149" spans="1:19" x14ac:dyDescent="0.2">
      <c r="A149" s="1">
        <v>43909</v>
      </c>
      <c r="B149" t="str">
        <f>"SH20016782"</f>
        <v>SH20016782</v>
      </c>
      <c r="C149" t="str">
        <f>"IMRP10243X"</f>
        <v>IMRP10243X</v>
      </c>
      <c r="D149" t="str">
        <f>"Allplex 2019-nCoV 100T - RP10243X"</f>
        <v>Allplex 2019-nCoV 100T - RP10243X</v>
      </c>
      <c r="E149" t="str">
        <f>"201237"</f>
        <v>201237</v>
      </c>
      <c r="F149" t="str">
        <f>"מעבדות הצבא-חר'פ 542"</f>
        <v>מעבדות הצבא-חר'פ 542</v>
      </c>
      <c r="G149" t="str">
        <f>"23101"</f>
        <v>23101</v>
      </c>
      <c r="H149" t="str">
        <f>"משרד הבטחון-מערכת אב'כ ורפואה"</f>
        <v>משרד הבטחון-מערכת אב'כ ורפואה</v>
      </c>
      <c r="I149" t="str">
        <f>"23101"</f>
        <v>23101</v>
      </c>
      <c r="J149" t="str">
        <f>"משרד הבטחון-מערכת אב'כ ורפואה"</f>
        <v>משרד הבטחון-מערכת אב'כ ורפואה</v>
      </c>
      <c r="L149" t="str">
        <f>"N"</f>
        <v>N</v>
      </c>
      <c r="M149" t="str">
        <f>"IMPORT"</f>
        <v>IMPORT</v>
      </c>
      <c r="N149" t="str">
        <f>"SO20015250"</f>
        <v>SO20015250</v>
      </c>
      <c r="P149">
        <v>700</v>
      </c>
      <c r="Q149">
        <v>1</v>
      </c>
      <c r="R149" s="2">
        <v>2678.9</v>
      </c>
      <c r="S149">
        <v>727.36899266900002</v>
      </c>
    </row>
    <row r="150" spans="1:19" x14ac:dyDescent="0.2">
      <c r="A150" s="1">
        <v>43909</v>
      </c>
      <c r="B150" t="str">
        <f>"SH20016782"</f>
        <v>SH20016782</v>
      </c>
      <c r="C150" t="str">
        <f>"IMTCS0803"</f>
        <v>IMTCS0803</v>
      </c>
      <c r="D150" t="str">
        <f>"OPTICAL FLAT CAPS FOR 0.2ML 120X8"</f>
        <v>OPTICAL FLAT CAPS FOR 0.2ML 120X8</v>
      </c>
      <c r="E150" t="str">
        <f>"201237"</f>
        <v>201237</v>
      </c>
      <c r="F150" t="str">
        <f>"מעבדות הצבא-חר'פ 542"</f>
        <v>מעבדות הצבא-חר'פ 542</v>
      </c>
      <c r="G150" t="str">
        <f>"23101"</f>
        <v>23101</v>
      </c>
      <c r="H150" t="str">
        <f>"משרד הבטחון-מערכת אב'כ ורפואה"</f>
        <v>משרד הבטחון-מערכת אב'כ ורפואה</v>
      </c>
      <c r="I150" t="str">
        <f>"23101"</f>
        <v>23101</v>
      </c>
      <c r="J150" t="str">
        <f>"משרד הבטחון-מערכת אב'כ ורפואה"</f>
        <v>משרד הבטחון-מערכת אב'כ ורפואה</v>
      </c>
      <c r="L150" t="str">
        <f>"N"</f>
        <v>N</v>
      </c>
      <c r="M150" t="str">
        <f>"IMPORT"</f>
        <v>IMPORT</v>
      </c>
      <c r="N150" t="str">
        <f>"SO20015250"</f>
        <v>SO20015250</v>
      </c>
      <c r="P150">
        <v>72</v>
      </c>
      <c r="Q150">
        <v>1</v>
      </c>
      <c r="R150">
        <v>275.54399999999998</v>
      </c>
      <c r="S150">
        <v>74.815096389000004</v>
      </c>
    </row>
    <row r="151" spans="1:19" x14ac:dyDescent="0.2">
      <c r="A151" s="1">
        <v>43909</v>
      </c>
      <c r="B151" t="str">
        <f>"SH20016782"</f>
        <v>SH20016782</v>
      </c>
      <c r="C151" t="str">
        <f>"TTS238"</f>
        <v>TTS238</v>
      </c>
      <c r="D151" t="str">
        <f>"מבחנה PP תחתית עגולה 75*12מ""מ לא סטרילי-BN059-P"</f>
        <v>מבחנה PP תחתית עגולה 75*12מ"מ לא סטרילי-BN059-P</v>
      </c>
      <c r="E151" t="str">
        <f>"201237"</f>
        <v>201237</v>
      </c>
      <c r="F151" t="str">
        <f>"מעבדות הצבא-חר'פ 542"</f>
        <v>מעבדות הצבא-חר'פ 542</v>
      </c>
      <c r="G151" t="str">
        <f>"23101"</f>
        <v>23101</v>
      </c>
      <c r="H151" t="str">
        <f>"משרד הבטחון-מערכת אב'כ ורפואה"</f>
        <v>משרד הבטחון-מערכת אב'כ ורפואה</v>
      </c>
      <c r="I151" t="str">
        <f>"23101"</f>
        <v>23101</v>
      </c>
      <c r="J151" t="str">
        <f>"משרד הבטחון-מערכת אב'כ ורפואה"</f>
        <v>משרד הבטחון-מערכת אב'כ ורפואה</v>
      </c>
      <c r="L151" t="str">
        <f>"N"</f>
        <v>N</v>
      </c>
      <c r="M151" t="str">
        <f>"UI"</f>
        <v>UI</v>
      </c>
      <c r="N151" t="str">
        <f>"SO20015250"</f>
        <v>SO20015250</v>
      </c>
      <c r="P151">
        <v>0.04</v>
      </c>
      <c r="Q151" s="2">
        <v>1000</v>
      </c>
      <c r="R151">
        <v>153.08000000000001</v>
      </c>
      <c r="S151">
        <v>41.563942437999998</v>
      </c>
    </row>
    <row r="152" spans="1:19" x14ac:dyDescent="0.2">
      <c r="A152" s="1">
        <v>43909</v>
      </c>
      <c r="B152" t="str">
        <f>"SH20016804"</f>
        <v>SH20016804</v>
      </c>
      <c r="C152" t="str">
        <f>"IMTCS0803"</f>
        <v>IMTCS0803</v>
      </c>
      <c r="D152" t="str">
        <f>"OPTICAL FLAT CAPS FOR 0.2ML 120X8"</f>
        <v>OPTICAL FLAT CAPS FOR 0.2ML 120X8</v>
      </c>
      <c r="E152" t="str">
        <f>"201144"</f>
        <v>201144</v>
      </c>
      <c r="F152" t="str">
        <f>"ד""ר ציפורה לזרוביץ - אסף הרופא"</f>
        <v>ד"ר ציפורה לזרוביץ - אסף הרופא</v>
      </c>
      <c r="G152" t="str">
        <f>"27027"</f>
        <v>27027</v>
      </c>
      <c r="H152" t="str">
        <f>"שראל-פתרונות לוגיסטיים ומוצרים"</f>
        <v>שראל-פתרונות לוגיסטיים ומוצרים</v>
      </c>
      <c r="I152" t="str">
        <f>"27027"</f>
        <v>27027</v>
      </c>
      <c r="J152" t="str">
        <f>"שראל-פתרונות לוגיסטיים ומוצרים"</f>
        <v>שראל-פתרונות לוגיסטיים ומוצרים</v>
      </c>
      <c r="L152" t="str">
        <f>"N"</f>
        <v>N</v>
      </c>
      <c r="M152" t="str">
        <f>"IMPORT"</f>
        <v>IMPORT</v>
      </c>
      <c r="N152" t="str">
        <f>"SO20014524"</f>
        <v>SO20014524</v>
      </c>
      <c r="P152">
        <v>219</v>
      </c>
      <c r="Q152">
        <v>2</v>
      </c>
      <c r="R152">
        <v>438</v>
      </c>
      <c r="S152">
        <v>118.924789574</v>
      </c>
    </row>
    <row r="153" spans="1:19" x14ac:dyDescent="0.2">
      <c r="A153" s="1">
        <v>43909</v>
      </c>
      <c r="B153" t="str">
        <f>"SH20016812"</f>
        <v>SH20016812</v>
      </c>
      <c r="C153" t="str">
        <f>"IMTCS0803"</f>
        <v>IMTCS0803</v>
      </c>
      <c r="D153" t="str">
        <f>"OPTICAL FLAT CAPS FOR 0.2ML 120X8"</f>
        <v>OPTICAL FLAT CAPS FOR 0.2ML 120X8</v>
      </c>
      <c r="E153" t="str">
        <f>"201144"</f>
        <v>201144</v>
      </c>
      <c r="F153" t="str">
        <f>"ד""ר ציפורה לזרוביץ - אסף הרופא"</f>
        <v>ד"ר ציפורה לזרוביץ - אסף הרופא</v>
      </c>
      <c r="G153" t="str">
        <f>"27027"</f>
        <v>27027</v>
      </c>
      <c r="H153" t="str">
        <f>"שראל-פתרונות לוגיסטיים ומוצרים"</f>
        <v>שראל-פתרונות לוגיסטיים ומוצרים</v>
      </c>
      <c r="I153" t="str">
        <f>"27027"</f>
        <v>27027</v>
      </c>
      <c r="J153" t="str">
        <f>"שראל-פתרונות לוגיסטיים ומוצרים"</f>
        <v>שראל-פתרונות לוגיסטיים ומוצרים</v>
      </c>
      <c r="L153" t="str">
        <f>"N"</f>
        <v>N</v>
      </c>
      <c r="M153" t="str">
        <f>"IMPORT"</f>
        <v>IMPORT</v>
      </c>
      <c r="N153" t="str">
        <f>"SO20015200"</f>
        <v>SO20015200</v>
      </c>
      <c r="P153">
        <v>219</v>
      </c>
      <c r="Q153">
        <v>10</v>
      </c>
      <c r="R153" s="2">
        <v>2190</v>
      </c>
      <c r="S153">
        <v>594.62394786899995</v>
      </c>
    </row>
    <row r="154" spans="1:19" x14ac:dyDescent="0.2">
      <c r="A154" s="1">
        <v>43910</v>
      </c>
      <c r="B154" t="str">
        <f>"SH20016834"</f>
        <v>SH20016834</v>
      </c>
      <c r="C154" t="str">
        <f>"IMRP10243X"</f>
        <v>IMRP10243X</v>
      </c>
      <c r="D154" t="str">
        <f>"Allplex 2019-nCoV 100T - RP10243X"</f>
        <v>Allplex 2019-nCoV 100T - RP10243X</v>
      </c>
      <c r="E154" t="str">
        <f>"27027"</f>
        <v>27027</v>
      </c>
      <c r="F154" t="str">
        <f>"שראל-פתרונות לוגיסטיים ומוצרים"</f>
        <v>שראל-פתרונות לוגיסטיים ומוצרים</v>
      </c>
      <c r="K154" t="str">
        <f>"ד""ר אורית טרייגרמן - מאוחדת"</f>
        <v>ד"ר אורית טרייגרמן - מאוחדת</v>
      </c>
      <c r="L154" t="str">
        <f>"Y"</f>
        <v>Y</v>
      </c>
      <c r="M154" t="str">
        <f>"IMPORT"</f>
        <v>IMPORT</v>
      </c>
      <c r="N154" t="str">
        <f>"SO20015317"</f>
        <v>SO20015317</v>
      </c>
      <c r="P154">
        <v>679</v>
      </c>
      <c r="Q154">
        <v>2</v>
      </c>
      <c r="R154" s="2">
        <v>5001.5140000000001</v>
      </c>
      <c r="S154" s="2">
        <v>1390.4681679180001</v>
      </c>
    </row>
    <row r="155" spans="1:19" x14ac:dyDescent="0.2">
      <c r="A155" s="1">
        <v>43910</v>
      </c>
      <c r="B155" t="str">
        <f>"SH20016835"</f>
        <v>SH20016835</v>
      </c>
      <c r="C155" t="str">
        <f>"IMRP10243X"</f>
        <v>IMRP10243X</v>
      </c>
      <c r="D155" t="str">
        <f>"Allplex 2019-nCoV 100T - RP10243X"</f>
        <v>Allplex 2019-nCoV 100T - RP10243X</v>
      </c>
      <c r="E155" t="str">
        <f>"27027"</f>
        <v>27027</v>
      </c>
      <c r="F155" t="str">
        <f>"שראל-פתרונות לוגיסטיים ומוצרים"</f>
        <v>שראל-פתרונות לוגיסטיים ומוצרים</v>
      </c>
      <c r="K155" t="str">
        <f>"ד""ר אורנה שוורץ הררי - בי""ח וולפסון"</f>
        <v>ד"ר אורנה שוורץ הררי - בי"ח וולפסון</v>
      </c>
      <c r="L155" t="str">
        <f>"Y"</f>
        <v>Y</v>
      </c>
      <c r="M155" t="str">
        <f>"IMPORT"</f>
        <v>IMPORT</v>
      </c>
      <c r="N155" t="str">
        <f>"SO20015318"</f>
        <v>SO20015318</v>
      </c>
      <c r="P155">
        <v>679</v>
      </c>
      <c r="Q155">
        <v>2</v>
      </c>
      <c r="R155" s="2">
        <v>5001.5140000000001</v>
      </c>
      <c r="S155" s="2">
        <v>1390.4681679180001</v>
      </c>
    </row>
    <row r="156" spans="1:19" x14ac:dyDescent="0.2">
      <c r="A156" s="1">
        <v>43910</v>
      </c>
      <c r="B156" t="str">
        <f>"SH20016836"</f>
        <v>SH20016836</v>
      </c>
      <c r="C156" t="str">
        <f>"IMRP10243X"</f>
        <v>IMRP10243X</v>
      </c>
      <c r="D156" t="str">
        <f>"Allplex 2019-nCoV 100T - RP10243X"</f>
        <v>Allplex 2019-nCoV 100T - RP10243X</v>
      </c>
      <c r="E156" t="str">
        <f>"27027"</f>
        <v>27027</v>
      </c>
      <c r="F156" t="str">
        <f>"שראל-פתרונות לוגיסטיים ומוצרים"</f>
        <v>שראל-פתרונות לוגיסטיים ומוצרים</v>
      </c>
      <c r="K156" t="str">
        <f>"ד""ר ציפורה לזרוביץ - אסף הרופא"</f>
        <v>ד"ר ציפורה לזרוביץ - אסף הרופא</v>
      </c>
      <c r="L156" t="str">
        <f>"Y"</f>
        <v>Y</v>
      </c>
      <c r="M156" t="str">
        <f>"IMPORT"</f>
        <v>IMPORT</v>
      </c>
      <c r="N156" t="str">
        <f>"SO20015321"</f>
        <v>SO20015321</v>
      </c>
      <c r="P156">
        <v>679</v>
      </c>
      <c r="Q156">
        <v>2</v>
      </c>
      <c r="R156" s="2">
        <v>5001.5140000000001</v>
      </c>
      <c r="S156" s="2">
        <v>1390.4681679180001</v>
      </c>
    </row>
    <row r="157" spans="1:19" x14ac:dyDescent="0.2">
      <c r="A157" s="1">
        <v>43912</v>
      </c>
      <c r="B157" t="str">
        <f>"SH20016839"</f>
        <v>SH20016839</v>
      </c>
      <c r="C157" t="str">
        <f>"TTS238"</f>
        <v>TTS238</v>
      </c>
      <c r="D157" t="str">
        <f>"מבחנה PP תחתית עגולה 75*12מ""מ לא סטרילי-BN059-P"</f>
        <v>מבחנה PP תחתית עגולה 75*12מ"מ לא סטרילי-BN059-P</v>
      </c>
      <c r="E157" t="str">
        <f>"200172"</f>
        <v>200172</v>
      </c>
      <c r="F157" t="str">
        <f>"פרופ' יונת שמר - בי""ח סורוקה"</f>
        <v>פרופ' יונת שמר - בי"ח סורוקה</v>
      </c>
      <c r="G157" t="str">
        <f>"22100"</f>
        <v>22100</v>
      </c>
      <c r="H157" t="str">
        <f>"שרותי בריאות כללית-מנהל אספקה"</f>
        <v>שרותי בריאות כללית-מנהל אספקה</v>
      </c>
      <c r="I157" t="str">
        <f>"27027"</f>
        <v>27027</v>
      </c>
      <c r="J157" t="str">
        <f>"שראל-פתרונות לוגיסטיים ומוצרים"</f>
        <v>שראל-פתרונות לוגיסטיים ומוצרים</v>
      </c>
      <c r="L157" t="str">
        <f>"N"</f>
        <v>N</v>
      </c>
      <c r="M157" t="str">
        <f>"UI"</f>
        <v>UI</v>
      </c>
      <c r="N157" t="str">
        <f>"SO20015358"</f>
        <v>SO20015358</v>
      </c>
      <c r="P157">
        <v>0.04</v>
      </c>
      <c r="Q157" s="2">
        <v>2000</v>
      </c>
      <c r="R157">
        <v>287.76</v>
      </c>
      <c r="S157">
        <v>80</v>
      </c>
    </row>
    <row r="158" spans="1:19" x14ac:dyDescent="0.2">
      <c r="A158" s="1">
        <v>43912</v>
      </c>
      <c r="B158" t="str">
        <f>"SH20016840"</f>
        <v>SH20016840</v>
      </c>
      <c r="C158" t="str">
        <f>"IMTCS0803"</f>
        <v>IMTCS0803</v>
      </c>
      <c r="D158" t="str">
        <f>"OPTICAL FLAT CAPS FOR 0.2ML 120X8"</f>
        <v>OPTICAL FLAT CAPS FOR 0.2ML 120X8</v>
      </c>
      <c r="E158" t="str">
        <f>"27027"</f>
        <v>27027</v>
      </c>
      <c r="F158" t="str">
        <f>"שראל-פתרונות לוגיסטיים ומוצרים"</f>
        <v>שראל-פתרונות לוגיסטיים ומוצרים</v>
      </c>
      <c r="K158" t="str">
        <f>"לאומית מעבדה אור יהודה"</f>
        <v>לאומית מעבדה אור יהודה</v>
      </c>
      <c r="L158" t="str">
        <f>"Y"</f>
        <v>Y</v>
      </c>
      <c r="M158" t="str">
        <f>"IMPORT"</f>
        <v>IMPORT</v>
      </c>
      <c r="N158" t="str">
        <f>"SO20015371"</f>
        <v>SO20015371</v>
      </c>
      <c r="P158">
        <v>96.03</v>
      </c>
      <c r="Q158">
        <v>2</v>
      </c>
      <c r="R158">
        <v>690.83982000000003</v>
      </c>
      <c r="S158">
        <v>192.06</v>
      </c>
    </row>
    <row r="159" spans="1:19" x14ac:dyDescent="0.2">
      <c r="A159" s="1">
        <v>43912</v>
      </c>
      <c r="B159" t="str">
        <f>"SH20016841"</f>
        <v>SH20016841</v>
      </c>
      <c r="C159" t="str">
        <f>"IMTCS0803"</f>
        <v>IMTCS0803</v>
      </c>
      <c r="D159" t="str">
        <f>"OPTICAL FLAT CAPS FOR 0.2ML 120X8"</f>
        <v>OPTICAL FLAT CAPS FOR 0.2ML 120X8</v>
      </c>
      <c r="E159" t="str">
        <f>"27027"</f>
        <v>27027</v>
      </c>
      <c r="F159" t="str">
        <f>"שראל-פתרונות לוגיסטיים ומוצרים"</f>
        <v>שראל-פתרונות לוגיסטיים ומוצרים</v>
      </c>
      <c r="K159" t="str">
        <f>"ד""ר אורית טרייגרמן - מאוחדת"</f>
        <v>ד"ר אורית טרייגרמן - מאוחדת</v>
      </c>
      <c r="L159" t="str">
        <f>"Y"</f>
        <v>Y</v>
      </c>
      <c r="M159" t="str">
        <f>"IMPORT"</f>
        <v>IMPORT</v>
      </c>
      <c r="N159" t="str">
        <f>"SO20015367"</f>
        <v>SO20015367</v>
      </c>
      <c r="P159">
        <v>96.03</v>
      </c>
      <c r="Q159">
        <v>2</v>
      </c>
      <c r="R159">
        <v>690.83982000000003</v>
      </c>
      <c r="S159">
        <v>192.06</v>
      </c>
    </row>
    <row r="160" spans="1:19" x14ac:dyDescent="0.2">
      <c r="A160" s="1">
        <v>43912</v>
      </c>
      <c r="B160" t="str">
        <f>"SH20016842"</f>
        <v>SH20016842</v>
      </c>
      <c r="C160" t="str">
        <f>"IMTCS0803"</f>
        <v>IMTCS0803</v>
      </c>
      <c r="D160" t="str">
        <f>"OPTICAL FLAT CAPS FOR 0.2ML 120X8"</f>
        <v>OPTICAL FLAT CAPS FOR 0.2ML 120X8</v>
      </c>
      <c r="E160" t="str">
        <f>"27027"</f>
        <v>27027</v>
      </c>
      <c r="F160" t="str">
        <f>"שראל-פתרונות לוגיסטיים ומוצרים"</f>
        <v>שראל-פתרונות לוגיסטיים ומוצרים</v>
      </c>
      <c r="K160" t="str">
        <f>"מכבי מגה לאב -מעב מרכזית"</f>
        <v>מכבי מגה לאב -מעב מרכזית</v>
      </c>
      <c r="L160" t="str">
        <f>"Y"</f>
        <v>Y</v>
      </c>
      <c r="M160" t="str">
        <f>"IMPORT"</f>
        <v>IMPORT</v>
      </c>
      <c r="N160" t="str">
        <f>"SO20015362"</f>
        <v>SO20015362</v>
      </c>
      <c r="P160">
        <v>96.03</v>
      </c>
      <c r="Q160">
        <v>2</v>
      </c>
      <c r="R160">
        <v>690.83982000000003</v>
      </c>
      <c r="S160">
        <v>192.06</v>
      </c>
    </row>
    <row r="161" spans="1:19" x14ac:dyDescent="0.2">
      <c r="A161" s="1">
        <v>43912</v>
      </c>
      <c r="B161" t="str">
        <f>"SH20016843"</f>
        <v>SH20016843</v>
      </c>
      <c r="C161" t="str">
        <f>"TTS238"</f>
        <v>TTS238</v>
      </c>
      <c r="D161" t="str">
        <f>"מבחנה PP תחתית עגולה 75*12מ""מ לא סטרילי-BN059-P"</f>
        <v>מבחנה PP תחתית עגולה 75*12מ"מ לא סטרילי-BN059-P</v>
      </c>
      <c r="E161" t="str">
        <f>"200147"</f>
        <v>200147</v>
      </c>
      <c r="F161" t="str">
        <f>"מכבי מגה לאב -מעב מרכזית"</f>
        <v>מכבי מגה לאב -מעב מרכזית</v>
      </c>
      <c r="G161" t="str">
        <f>"22101"</f>
        <v>22101</v>
      </c>
      <c r="H161" t="str">
        <f>"מכבי -שרותי בריאות ריכוזי סניפ"</f>
        <v>מכבי -שרותי בריאות ריכוזי סניפ</v>
      </c>
      <c r="I161" t="str">
        <f>"22101"</f>
        <v>22101</v>
      </c>
      <c r="J161" t="str">
        <f>"מכבי -שרותי בריאות ריכוזי סניפ"</f>
        <v>מכבי -שרותי בריאות ריכוזי סניפ</v>
      </c>
      <c r="L161" t="str">
        <f>"N"</f>
        <v>N</v>
      </c>
      <c r="M161" t="str">
        <f>"UI"</f>
        <v>UI</v>
      </c>
      <c r="N161" t="str">
        <f>"SO20015364"</f>
        <v>SO20015364</v>
      </c>
      <c r="P161">
        <v>0.04</v>
      </c>
      <c r="Q161" s="2">
        <v>5000</v>
      </c>
      <c r="R161">
        <v>719.4</v>
      </c>
      <c r="S161">
        <v>200</v>
      </c>
    </row>
    <row r="162" spans="1:19" x14ac:dyDescent="0.2">
      <c r="A162" s="1">
        <v>43912</v>
      </c>
      <c r="B162" t="str">
        <f>"SH20016844"</f>
        <v>SH20016844</v>
      </c>
      <c r="C162" t="str">
        <f>"IMTCS0803"</f>
        <v>IMTCS0803</v>
      </c>
      <c r="D162" t="str">
        <f>"OPTICAL FLAT CAPS FOR 0.2ML 120X8"</f>
        <v>OPTICAL FLAT CAPS FOR 0.2ML 120X8</v>
      </c>
      <c r="E162" t="str">
        <f>"200893"</f>
        <v>200893</v>
      </c>
      <c r="F162" t="str">
        <f>"ד""ר שרון עמית - בי""ח תה""ש"</f>
        <v>ד"ר שרון עמית - בי"ח תה"ש</v>
      </c>
      <c r="G162" t="str">
        <f>"21133"</f>
        <v>21133</v>
      </c>
      <c r="H162" t="str">
        <f>"מרכז רפואי שיבא- תל השומר רכש ריאגנטים"</f>
        <v>מרכז רפואי שיבא- תל השומר רכש ריאגנטים</v>
      </c>
      <c r="I162" t="str">
        <f>"21133"</f>
        <v>21133</v>
      </c>
      <c r="J162" t="str">
        <f>"מרכז רפואי שיבא- תל השומר רכש ריאגנטים"</f>
        <v>מרכז רפואי שיבא- תל השומר רכש ריאגנטים</v>
      </c>
      <c r="L162" t="str">
        <f>"N"</f>
        <v>N</v>
      </c>
      <c r="M162" t="str">
        <f>"IMPORT"</f>
        <v>IMPORT</v>
      </c>
      <c r="N162" t="str">
        <f>"SO20015359"</f>
        <v>SO20015359</v>
      </c>
      <c r="P162">
        <v>72</v>
      </c>
      <c r="Q162">
        <v>2</v>
      </c>
      <c r="R162">
        <v>517.96799999999996</v>
      </c>
      <c r="S162">
        <v>144</v>
      </c>
    </row>
    <row r="163" spans="1:19" x14ac:dyDescent="0.2">
      <c r="A163" s="1">
        <v>43912</v>
      </c>
      <c r="B163" t="str">
        <f>"SH20016845"</f>
        <v>SH20016845</v>
      </c>
      <c r="C163" t="str">
        <f>"TTS238"</f>
        <v>TTS238</v>
      </c>
      <c r="D163" t="str">
        <f>"מבחנה PP תחתית עגולה 75*12מ""מ לא סטרילי-BN059-P"</f>
        <v>מבחנה PP תחתית עגולה 75*12מ"מ לא סטרילי-BN059-P</v>
      </c>
      <c r="E163" t="str">
        <f>"201181"</f>
        <v>201181</v>
      </c>
      <c r="F163" t="str">
        <f>"לאומית מעבדה אור יהודה"</f>
        <v>לאומית מעבדה אור יהודה</v>
      </c>
      <c r="G163" t="str">
        <f>"22103"</f>
        <v>22103</v>
      </c>
      <c r="H163" t="str">
        <f>"קופ'ח לאומית אור יהודה)פ'ת לשע"</f>
        <v>קופ'ח לאומית אור יהודה)פ'ת לשע</v>
      </c>
      <c r="I163" t="str">
        <f>"22103"</f>
        <v>22103</v>
      </c>
      <c r="J163" t="str">
        <f>"קופ'ח לאומית אור יהודה)פ'ת לשע"</f>
        <v>קופ'ח לאומית אור יהודה)פ'ת לשע</v>
      </c>
      <c r="L163" t="str">
        <f>"N"</f>
        <v>N</v>
      </c>
      <c r="M163" t="str">
        <f>"UI"</f>
        <v>UI</v>
      </c>
      <c r="N163" t="str">
        <f>"SO20015370"</f>
        <v>SO20015370</v>
      </c>
      <c r="P163">
        <v>0.14399999999999999</v>
      </c>
      <c r="Q163" s="2">
        <v>2000</v>
      </c>
      <c r="R163">
        <v>288</v>
      </c>
      <c r="S163">
        <v>80.066722268999996</v>
      </c>
    </row>
    <row r="164" spans="1:19" x14ac:dyDescent="0.2">
      <c r="A164" s="1">
        <v>43912</v>
      </c>
      <c r="B164" t="str">
        <f>"SH20016846"</f>
        <v>SH20016846</v>
      </c>
      <c r="C164" t="str">
        <f>"IMTCS0803"</f>
        <v>IMTCS0803</v>
      </c>
      <c r="D164" t="str">
        <f>"OPTICAL FLAT CAPS FOR 0.2ML 120X8"</f>
        <v>OPTICAL FLAT CAPS FOR 0.2ML 120X8</v>
      </c>
      <c r="E164" t="str">
        <f>"27027"</f>
        <v>27027</v>
      </c>
      <c r="F164" t="str">
        <f>"שראל-פתרונות לוגיסטיים ומוצרים"</f>
        <v>שראל-פתרונות לוגיסטיים ומוצרים</v>
      </c>
      <c r="K164" t="str">
        <f>"פרופ' יונת שמר - בי""ח סורוקה"</f>
        <v>פרופ' יונת שמר - בי"ח סורוקה</v>
      </c>
      <c r="L164" t="str">
        <f>"Y"</f>
        <v>Y</v>
      </c>
      <c r="M164" t="str">
        <f>"IMPORT"</f>
        <v>IMPORT</v>
      </c>
      <c r="N164" t="str">
        <f>"SO20015356"</f>
        <v>SO20015356</v>
      </c>
      <c r="P164">
        <v>96.03</v>
      </c>
      <c r="Q164">
        <v>2</v>
      </c>
      <c r="R164">
        <v>690.83982000000003</v>
      </c>
      <c r="S164">
        <v>192.06</v>
      </c>
    </row>
    <row r="165" spans="1:19" x14ac:dyDescent="0.2">
      <c r="A165" s="1">
        <v>43912</v>
      </c>
      <c r="B165" t="str">
        <f>"SH20016848"</f>
        <v>SH20016848</v>
      </c>
      <c r="C165" t="str">
        <f>"TTS238"</f>
        <v>TTS238</v>
      </c>
      <c r="D165" t="str">
        <f>"מבחנה PP תחתית עגולה 75*12מ""מ לא סטרילי-BN059-P"</f>
        <v>מבחנה PP תחתית עגולה 75*12מ"מ לא סטרילי-BN059-P</v>
      </c>
      <c r="E165" t="str">
        <f>"200737"</f>
        <v>200737</v>
      </c>
      <c r="F165" t="str">
        <f>"ד""ר חיים בן צבי - בי""ח בלינסון"</f>
        <v>ד"ר חיים בן צבי - בי"ח בלינסון</v>
      </c>
      <c r="G165" t="str">
        <f>"22100"</f>
        <v>22100</v>
      </c>
      <c r="H165" t="str">
        <f>"שרותי בריאות כללית-מנהל אספקה"</f>
        <v>שרותי בריאות כללית-מנהל אספקה</v>
      </c>
      <c r="I165" t="str">
        <f>"22100"</f>
        <v>22100</v>
      </c>
      <c r="J165" t="str">
        <f>"שרותי בריאות כללית-מנהל אספקה"</f>
        <v>שרותי בריאות כללית-מנהל אספקה</v>
      </c>
      <c r="L165" t="str">
        <f>"N"</f>
        <v>N</v>
      </c>
      <c r="M165" t="str">
        <f>"UI"</f>
        <v>UI</v>
      </c>
      <c r="N165" t="str">
        <f>"SO20015353"</f>
        <v>SO20015353</v>
      </c>
      <c r="P165">
        <v>0.04</v>
      </c>
      <c r="Q165" s="2">
        <v>1000</v>
      </c>
      <c r="R165">
        <v>143.88</v>
      </c>
      <c r="S165">
        <v>40</v>
      </c>
    </row>
    <row r="166" spans="1:19" x14ac:dyDescent="0.2">
      <c r="A166" s="1">
        <v>43912</v>
      </c>
      <c r="B166" t="str">
        <f>"SH20016849"</f>
        <v>SH20016849</v>
      </c>
      <c r="C166" t="str">
        <f>"TTS238"</f>
        <v>TTS238</v>
      </c>
      <c r="D166" t="str">
        <f>"מבחנה PP תחתית עגולה 75*12מ""מ לא סטרילי-BN059-P"</f>
        <v>מבחנה PP תחתית עגולה 75*12מ"מ לא סטרילי-BN059-P</v>
      </c>
      <c r="E166" t="str">
        <f>"201297"</f>
        <v>201297</v>
      </c>
      <c r="F166" t="str">
        <f>"ד""ר אורית טרייגרמן - מאוחדת"</f>
        <v>ד"ר אורית טרייגרמן - מאוחדת</v>
      </c>
      <c r="G166" t="str">
        <f>"22102"</f>
        <v>22102</v>
      </c>
      <c r="H166" t="str">
        <f>"קופ'ח מאוחדת"</f>
        <v>קופ'ח מאוחדת</v>
      </c>
      <c r="I166" t="str">
        <f>"22102"</f>
        <v>22102</v>
      </c>
      <c r="J166" t="str">
        <f>"קופ'ח מאוחדת"</f>
        <v>קופ'ח מאוחדת</v>
      </c>
      <c r="L166" t="str">
        <f>"N"</f>
        <v>N</v>
      </c>
      <c r="M166" t="str">
        <f>"UI"</f>
        <v>UI</v>
      </c>
      <c r="N166" t="str">
        <f>"SO20015369"</f>
        <v>SO20015369</v>
      </c>
      <c r="P166">
        <v>0.04</v>
      </c>
      <c r="Q166" s="2">
        <v>2000</v>
      </c>
      <c r="R166">
        <v>258.98399999999998</v>
      </c>
      <c r="S166">
        <v>72</v>
      </c>
    </row>
    <row r="167" spans="1:19" x14ac:dyDescent="0.2">
      <c r="A167" s="1">
        <v>43912</v>
      </c>
      <c r="B167" t="str">
        <f>"SH20016850"</f>
        <v>SH20016850</v>
      </c>
      <c r="C167" t="str">
        <f>"IMRP10243X"</f>
        <v>IMRP10243X</v>
      </c>
      <c r="D167" t="str">
        <f>"Allplex 2019-nCoV 100T - RP10243X"</f>
        <v>Allplex 2019-nCoV 100T - RP10243X</v>
      </c>
      <c r="E167" t="str">
        <f>"27027"</f>
        <v>27027</v>
      </c>
      <c r="F167" t="str">
        <f>"שראל-פתרונות לוגיסטיים ומוצרים"</f>
        <v>שראל-פתרונות לוגיסטיים ומוצרים</v>
      </c>
      <c r="K167" t="str">
        <f>"פרופ' יונת שמר - בי""ח סורוקה"</f>
        <v>פרופ' יונת שמר - בי"ח סורוקה</v>
      </c>
      <c r="L167" t="str">
        <f>"Y"</f>
        <v>Y</v>
      </c>
      <c r="M167" t="str">
        <f>"IMPORT"</f>
        <v>IMPORT</v>
      </c>
      <c r="N167" t="str">
        <f>"SO20015357"</f>
        <v>SO20015357</v>
      </c>
      <c r="P167">
        <v>679</v>
      </c>
      <c r="Q167">
        <v>20</v>
      </c>
      <c r="R167" s="2">
        <v>48847.26</v>
      </c>
      <c r="S167" s="2">
        <v>13580</v>
      </c>
    </row>
    <row r="168" spans="1:19" x14ac:dyDescent="0.2">
      <c r="A168" s="1">
        <v>43912</v>
      </c>
      <c r="B168" t="str">
        <f>"SH20016851"</f>
        <v>SH20016851</v>
      </c>
      <c r="C168" t="str">
        <f>"IMRP10243X"</f>
        <v>IMRP10243X</v>
      </c>
      <c r="D168" t="str">
        <f>"Allplex 2019-nCoV 100T - RP10243X"</f>
        <v>Allplex 2019-nCoV 100T - RP10243X</v>
      </c>
      <c r="E168" t="str">
        <f>"27027"</f>
        <v>27027</v>
      </c>
      <c r="F168" t="str">
        <f>"שראל-פתרונות לוגיסטיים ומוצרים"</f>
        <v>שראל-פתרונות לוגיסטיים ומוצרים</v>
      </c>
      <c r="K168" t="str">
        <f>"ד""ר אורית טרייגרמן - מאוחדת"</f>
        <v>ד"ר אורית טרייגרמן - מאוחדת</v>
      </c>
      <c r="L168" t="str">
        <f>"Y"</f>
        <v>Y</v>
      </c>
      <c r="M168" t="str">
        <f>"IMPORT"</f>
        <v>IMPORT</v>
      </c>
      <c r="N168" t="str">
        <f>"SO20015368"</f>
        <v>SO20015368</v>
      </c>
      <c r="P168">
        <v>679</v>
      </c>
      <c r="Q168">
        <v>15</v>
      </c>
      <c r="R168" s="2">
        <v>36635.445</v>
      </c>
      <c r="S168" s="2">
        <v>10185</v>
      </c>
    </row>
    <row r="169" spans="1:19" x14ac:dyDescent="0.2">
      <c r="A169" s="1">
        <v>43912</v>
      </c>
      <c r="B169" t="str">
        <f>"SH20016852"</f>
        <v>SH20016852</v>
      </c>
      <c r="C169" t="str">
        <f>"IMRP10243X"</f>
        <v>IMRP10243X</v>
      </c>
      <c r="D169" t="str">
        <f>"Allplex 2019-nCoV 100T - RP10243X"</f>
        <v>Allplex 2019-nCoV 100T - RP10243X</v>
      </c>
      <c r="E169" t="str">
        <f>"27027"</f>
        <v>27027</v>
      </c>
      <c r="F169" t="str">
        <f>"שראל-פתרונות לוגיסטיים ומוצרים"</f>
        <v>שראל-פתרונות לוגיסטיים ומוצרים</v>
      </c>
      <c r="K169" t="str">
        <f>"ד""ר שרון עמית - בי""ח תה""ש"</f>
        <v>ד"ר שרון עמית - בי"ח תה"ש</v>
      </c>
      <c r="L169" t="str">
        <f>"Y"</f>
        <v>Y</v>
      </c>
      <c r="M169" t="str">
        <f>"IMPORT"</f>
        <v>IMPORT</v>
      </c>
      <c r="N169" t="str">
        <f>"SO20015360"</f>
        <v>SO20015360</v>
      </c>
      <c r="P169">
        <v>679</v>
      </c>
      <c r="Q169">
        <v>10</v>
      </c>
      <c r="R169" s="2">
        <v>24423.63</v>
      </c>
      <c r="S169" s="2">
        <v>6790</v>
      </c>
    </row>
    <row r="170" spans="1:19" x14ac:dyDescent="0.2">
      <c r="A170" s="1">
        <v>43912</v>
      </c>
      <c r="B170" t="str">
        <f>"SH20016853"</f>
        <v>SH20016853</v>
      </c>
      <c r="C170" t="str">
        <f>"IMRP10243X"</f>
        <v>IMRP10243X</v>
      </c>
      <c r="D170" t="str">
        <f>"Allplex 2019-nCoV 100T - RP10243X"</f>
        <v>Allplex 2019-nCoV 100T - RP10243X</v>
      </c>
      <c r="E170" t="str">
        <f>"27027"</f>
        <v>27027</v>
      </c>
      <c r="F170" t="str">
        <f>"שראל-פתרונות לוגיסטיים ומוצרים"</f>
        <v>שראל-פתרונות לוגיסטיים ומוצרים</v>
      </c>
      <c r="K170" t="str">
        <f>"מכבי מגה לאב -מעב מרכזית"</f>
        <v>מכבי מגה לאב -מעב מרכזית</v>
      </c>
      <c r="L170" t="str">
        <f>"Y"</f>
        <v>Y</v>
      </c>
      <c r="M170" t="str">
        <f>"IMPORT"</f>
        <v>IMPORT</v>
      </c>
      <c r="N170" t="str">
        <f>"SO20015363"</f>
        <v>SO20015363</v>
      </c>
      <c r="P170">
        <v>679</v>
      </c>
      <c r="Q170">
        <v>10</v>
      </c>
      <c r="R170" s="2">
        <v>24423.63</v>
      </c>
      <c r="S170" s="2">
        <v>6790</v>
      </c>
    </row>
    <row r="171" spans="1:19" x14ac:dyDescent="0.2">
      <c r="A171" s="1">
        <v>43912</v>
      </c>
      <c r="B171" t="str">
        <f>"SH20016854"</f>
        <v>SH20016854</v>
      </c>
      <c r="C171" t="str">
        <f>"IMRP10243X"</f>
        <v>IMRP10243X</v>
      </c>
      <c r="D171" t="str">
        <f>"Allplex 2019-nCoV 100T - RP10243X"</f>
        <v>Allplex 2019-nCoV 100T - RP10243X</v>
      </c>
      <c r="E171" t="str">
        <f>"200869"</f>
        <v>200869</v>
      </c>
      <c r="F171" t="str">
        <f>"ד""ר פנינית שקד - משען בקטר' כרמל"</f>
        <v>ד"ר פנינית שקד - משען בקטר' כרמל</v>
      </c>
      <c r="G171" t="str">
        <f>"22100"</f>
        <v>22100</v>
      </c>
      <c r="H171" t="str">
        <f>"שרותי בריאות כללית-מנהל אספקה"</f>
        <v>שרותי בריאות כללית-מנהל אספקה</v>
      </c>
      <c r="I171" t="str">
        <f>"22100"</f>
        <v>22100</v>
      </c>
      <c r="J171" t="str">
        <f>"שרותי בריאות כללית-מנהל אספקה"</f>
        <v>שרותי בריאות כללית-מנהל אספקה</v>
      </c>
      <c r="L171" t="str">
        <f>"N"</f>
        <v>N</v>
      </c>
      <c r="M171" t="str">
        <f>"IMPORT"</f>
        <v>IMPORT</v>
      </c>
      <c r="N171" t="str">
        <f>"SO20015366"</f>
        <v>SO20015366</v>
      </c>
      <c r="P171">
        <v>700</v>
      </c>
      <c r="Q171">
        <v>10</v>
      </c>
      <c r="R171" s="2">
        <v>25179</v>
      </c>
      <c r="S171" s="2">
        <v>7000</v>
      </c>
    </row>
    <row r="172" spans="1:19" x14ac:dyDescent="0.2">
      <c r="A172" s="1">
        <v>43912</v>
      </c>
      <c r="B172" t="str">
        <f>"SH20016855"</f>
        <v>SH20016855</v>
      </c>
      <c r="C172" t="str">
        <f>"IMRP10243X"</f>
        <v>IMRP10243X</v>
      </c>
      <c r="D172" t="str">
        <f>"Allplex 2019-nCoV 100T - RP10243X"</f>
        <v>Allplex 2019-nCoV 100T - RP10243X</v>
      </c>
      <c r="E172" t="str">
        <f>"27027"</f>
        <v>27027</v>
      </c>
      <c r="F172" t="str">
        <f>"שראל-פתרונות לוגיסטיים ומוצרים"</f>
        <v>שראל-פתרונות לוגיסטיים ומוצרים</v>
      </c>
      <c r="K172" t="str">
        <f>"לאומית מעבדה אור יהודה"</f>
        <v>לאומית מעבדה אור יהודה</v>
      </c>
      <c r="L172" t="str">
        <f>"Y"</f>
        <v>Y</v>
      </c>
      <c r="M172" t="str">
        <f>"IMPORT"</f>
        <v>IMPORT</v>
      </c>
      <c r="N172" t="str">
        <f>"SO20015372"</f>
        <v>SO20015372</v>
      </c>
      <c r="P172">
        <v>679</v>
      </c>
      <c r="Q172">
        <v>15</v>
      </c>
      <c r="R172" s="2">
        <v>36635.445</v>
      </c>
      <c r="S172" s="2">
        <v>10185</v>
      </c>
    </row>
    <row r="173" spans="1:19" x14ac:dyDescent="0.2">
      <c r="A173" s="1">
        <v>43912</v>
      </c>
      <c r="B173" t="str">
        <f>"SH20016856"</f>
        <v>SH20016856</v>
      </c>
      <c r="C173" t="str">
        <f>"IMRP10243X"</f>
        <v>IMRP10243X</v>
      </c>
      <c r="D173" t="str">
        <f>"Allplex 2019-nCoV 100T - RP10243X"</f>
        <v>Allplex 2019-nCoV 100T - RP10243X</v>
      </c>
      <c r="E173" t="str">
        <f>"200737"</f>
        <v>200737</v>
      </c>
      <c r="F173" t="str">
        <f>"ד""ר חיים בן צבי - בי""ח בלינסון"</f>
        <v>ד"ר חיים בן צבי - בי"ח בלינסון</v>
      </c>
      <c r="G173" t="str">
        <f>"22100"</f>
        <v>22100</v>
      </c>
      <c r="H173" t="str">
        <f>"שרותי בריאות כללית-מנהל אספקה"</f>
        <v>שרותי בריאות כללית-מנהל אספקה</v>
      </c>
      <c r="I173" t="str">
        <f>"22100"</f>
        <v>22100</v>
      </c>
      <c r="J173" t="str">
        <f>"שרותי בריאות כללית-מנהל אספקה"</f>
        <v>שרותי בריאות כללית-מנהל אספקה</v>
      </c>
      <c r="L173" t="str">
        <f>"Y"</f>
        <v>Y</v>
      </c>
      <c r="M173" t="str">
        <f>"IMPORT"</f>
        <v>IMPORT</v>
      </c>
      <c r="N173" t="str">
        <f>"SO20015354"</f>
        <v>SO20015354</v>
      </c>
      <c r="P173">
        <v>700</v>
      </c>
      <c r="Q173">
        <v>20</v>
      </c>
      <c r="R173" s="2">
        <v>50358</v>
      </c>
      <c r="S173" s="2">
        <v>14000</v>
      </c>
    </row>
    <row r="174" spans="1:19" x14ac:dyDescent="0.2">
      <c r="A174" s="1">
        <v>43912</v>
      </c>
      <c r="B174" t="str">
        <f>"SH20016857"</f>
        <v>SH20016857</v>
      </c>
      <c r="C174" t="str">
        <f>"IMRP10243X"</f>
        <v>IMRP10243X</v>
      </c>
      <c r="D174" t="str">
        <f>"Allplex 2019-nCoV 100T - RP10243X"</f>
        <v>Allplex 2019-nCoV 100T - RP10243X</v>
      </c>
      <c r="E174" t="str">
        <f>"27027"</f>
        <v>27027</v>
      </c>
      <c r="F174" t="str">
        <f>"שראל-פתרונות לוגיסטיים ומוצרים"</f>
        <v>שראל-פתרונות לוגיסטיים ומוצרים</v>
      </c>
      <c r="K174" t="str">
        <f>"ד""ר עמוס אדלר - בי""ח איכילוב"</f>
        <v>ד"ר עמוס אדלר - בי"ח איכילוב</v>
      </c>
      <c r="L174" t="str">
        <f>"Y"</f>
        <v>Y</v>
      </c>
      <c r="M174" t="str">
        <f>"IMPORT"</f>
        <v>IMPORT</v>
      </c>
      <c r="N174" t="str">
        <f>"SO20015355"</f>
        <v>SO20015355</v>
      </c>
      <c r="P174">
        <v>679</v>
      </c>
      <c r="Q174">
        <v>10</v>
      </c>
      <c r="R174" s="2">
        <v>24423.63</v>
      </c>
      <c r="S174" s="2">
        <v>6790</v>
      </c>
    </row>
    <row r="175" spans="1:19" x14ac:dyDescent="0.2">
      <c r="A175" s="1">
        <v>43912</v>
      </c>
      <c r="B175" t="str">
        <f>"SH20016859"</f>
        <v>SH20016859</v>
      </c>
      <c r="C175" t="str">
        <f>"IMRP10243X"</f>
        <v>IMRP10243X</v>
      </c>
      <c r="D175" t="str">
        <f>"Allplex 2019-nCoV 100T - RP10243X"</f>
        <v>Allplex 2019-nCoV 100T - RP10243X</v>
      </c>
      <c r="E175" t="str">
        <f>"27504"</f>
        <v>27504</v>
      </c>
      <c r="F175" t="str">
        <f>"ד""ר פייטן יוסף - בי""ח מאיר"</f>
        <v>ד"ר פייטן יוסף - בי"ח מאיר</v>
      </c>
      <c r="G175" t="str">
        <f>"22100"</f>
        <v>22100</v>
      </c>
      <c r="H175" t="str">
        <f>"שרותי בריאות כללית-מנהל אספקה"</f>
        <v>שרותי בריאות כללית-מנהל אספקה</v>
      </c>
      <c r="I175" t="str">
        <f>"22100"</f>
        <v>22100</v>
      </c>
      <c r="J175" t="str">
        <f>"שרותי בריאות כללית-מנהל אספקה"</f>
        <v>שרותי בריאות כללית-מנהל אספקה</v>
      </c>
      <c r="L175" t="str">
        <f>"N"</f>
        <v>N</v>
      </c>
      <c r="M175" t="str">
        <f>"IMPORT"</f>
        <v>IMPORT</v>
      </c>
      <c r="N175" t="str">
        <f>"SO20015365"</f>
        <v>SO20015365</v>
      </c>
      <c r="P175">
        <v>700</v>
      </c>
      <c r="Q175">
        <v>10</v>
      </c>
      <c r="R175" s="2">
        <v>25179</v>
      </c>
      <c r="S175" s="2">
        <v>7000</v>
      </c>
    </row>
    <row r="176" spans="1:19" x14ac:dyDescent="0.2">
      <c r="A176" s="1">
        <v>43912</v>
      </c>
      <c r="B176" t="str">
        <f>"SH20016859"</f>
        <v>SH20016859</v>
      </c>
      <c r="C176" t="str">
        <f>"IMTCS0803"</f>
        <v>IMTCS0803</v>
      </c>
      <c r="D176" t="str">
        <f>"OPTICAL FLAT CAPS FOR 0.2ML 120X8"</f>
        <v>OPTICAL FLAT CAPS FOR 0.2ML 120X8</v>
      </c>
      <c r="E176" t="str">
        <f>"27504"</f>
        <v>27504</v>
      </c>
      <c r="F176" t="str">
        <f>"ד""ר פייטן יוסף - בי""ח מאיר"</f>
        <v>ד"ר פייטן יוסף - בי"ח מאיר</v>
      </c>
      <c r="G176" t="str">
        <f>"22100"</f>
        <v>22100</v>
      </c>
      <c r="H176" t="str">
        <f>"שרותי בריאות כללית-מנהל אספקה"</f>
        <v>שרותי בריאות כללית-מנהל אספקה</v>
      </c>
      <c r="I176" t="str">
        <f>"22100"</f>
        <v>22100</v>
      </c>
      <c r="J176" t="str">
        <f>"שרותי בריאות כללית-מנהל אספקה"</f>
        <v>שרותי בריאות כללית-מנהל אספקה</v>
      </c>
      <c r="L176" t="str">
        <f>"N"</f>
        <v>N</v>
      </c>
      <c r="M176" t="str">
        <f>"IMPORT"</f>
        <v>IMPORT</v>
      </c>
      <c r="N176" t="str">
        <f>"SO20015365"</f>
        <v>SO20015365</v>
      </c>
      <c r="P176">
        <v>62</v>
      </c>
      <c r="Q176">
        <v>1</v>
      </c>
      <c r="R176">
        <v>223.01400000000001</v>
      </c>
      <c r="S176">
        <v>62</v>
      </c>
    </row>
    <row r="177" spans="1:19" x14ac:dyDescent="0.2">
      <c r="A177" s="1">
        <v>43912</v>
      </c>
      <c r="B177" t="str">
        <f>"SH20016859"</f>
        <v>SH20016859</v>
      </c>
      <c r="C177" t="str">
        <f>"TTS238"</f>
        <v>TTS238</v>
      </c>
      <c r="D177" t="str">
        <f>"מבחנה PP תחתית עגולה 75*12מ""מ לא סטרילי-BN059-P"</f>
        <v>מבחנה PP תחתית עגולה 75*12מ"מ לא סטרילי-BN059-P</v>
      </c>
      <c r="E177" t="str">
        <f>"27504"</f>
        <v>27504</v>
      </c>
      <c r="F177" t="str">
        <f>"ד""ר פייטן יוסף - בי""ח מאיר"</f>
        <v>ד"ר פייטן יוסף - בי"ח מאיר</v>
      </c>
      <c r="G177" t="str">
        <f>"22100"</f>
        <v>22100</v>
      </c>
      <c r="H177" t="str">
        <f>"שרותי בריאות כללית-מנהל אספקה"</f>
        <v>שרותי בריאות כללית-מנהל אספקה</v>
      </c>
      <c r="I177" t="str">
        <f>"22100"</f>
        <v>22100</v>
      </c>
      <c r="J177" t="str">
        <f>"שרותי בריאות כללית-מנהל אספקה"</f>
        <v>שרותי בריאות כללית-מנהל אספקה</v>
      </c>
      <c r="L177" t="str">
        <f>"N"</f>
        <v>N</v>
      </c>
      <c r="M177" t="str">
        <f>"UI"</f>
        <v>UI</v>
      </c>
      <c r="N177" t="str">
        <f>"SO20015365"</f>
        <v>SO20015365</v>
      </c>
      <c r="P177">
        <v>0.04</v>
      </c>
      <c r="Q177" s="2">
        <v>1000</v>
      </c>
      <c r="R177">
        <v>143.88</v>
      </c>
      <c r="S177">
        <v>40</v>
      </c>
    </row>
    <row r="178" spans="1:19" x14ac:dyDescent="0.2">
      <c r="A178" s="1">
        <v>43912</v>
      </c>
      <c r="B178" t="str">
        <f>"SH20016860"</f>
        <v>SH20016860</v>
      </c>
      <c r="C178" t="str">
        <f>"IMRP10243X"</f>
        <v>IMRP10243X</v>
      </c>
      <c r="D178" t="str">
        <f>"Allplex 2019-nCoV 100T - RP10243X"</f>
        <v>Allplex 2019-nCoV 100T - RP10243X</v>
      </c>
      <c r="E178" t="str">
        <f>"201284"</f>
        <v>201284</v>
      </c>
      <c r="F178" t="str">
        <f>"ד""ר מירב שטראוס - בי""ח העמק"</f>
        <v>ד"ר מירב שטראוס - בי"ח העמק</v>
      </c>
      <c r="G178" t="str">
        <f>"22100"</f>
        <v>22100</v>
      </c>
      <c r="H178" t="str">
        <f>"שרותי בריאות כללית-מנהל אספקה"</f>
        <v>שרותי בריאות כללית-מנהל אספקה</v>
      </c>
      <c r="I178" t="str">
        <f>"22100"</f>
        <v>22100</v>
      </c>
      <c r="J178" t="str">
        <f>"שרותי בריאות כללית-מנהל אספקה"</f>
        <v>שרותי בריאות כללית-מנהל אספקה</v>
      </c>
      <c r="L178" t="str">
        <f>"N"</f>
        <v>N</v>
      </c>
      <c r="M178" t="str">
        <f>"IMPORT"</f>
        <v>IMPORT</v>
      </c>
      <c r="N178" t="str">
        <f>"SO20014749"</f>
        <v>SO20014749</v>
      </c>
      <c r="P178">
        <v>700</v>
      </c>
      <c r="Q178">
        <v>20</v>
      </c>
      <c r="R178" s="2">
        <v>50358</v>
      </c>
      <c r="S178" s="2">
        <v>14000</v>
      </c>
    </row>
    <row r="179" spans="1:19" x14ac:dyDescent="0.2">
      <c r="A179" s="1">
        <v>43912</v>
      </c>
      <c r="B179" t="str">
        <f>"SH20016861"</f>
        <v>SH20016861</v>
      </c>
      <c r="C179" t="str">
        <f>"IMHSP9655"</f>
        <v>IMHSP9655</v>
      </c>
      <c r="D179" t="str">
        <f>"PLATE WELL 96(WHITE)50EA/BOX-HSP9655"</f>
        <v>PLATE WELL 96(WHITE)50EA/BOX-HSP9655</v>
      </c>
      <c r="E179" t="str">
        <f>"201284"</f>
        <v>201284</v>
      </c>
      <c r="F179" t="str">
        <f>"ד""ר מירב שטראוס - בי""ח העמק"</f>
        <v>ד"ר מירב שטראוס - בי"ח העמק</v>
      </c>
      <c r="G179" t="str">
        <f>"22100"</f>
        <v>22100</v>
      </c>
      <c r="H179" t="str">
        <f>"שרותי בריאות כללית-מנהל אספקה"</f>
        <v>שרותי בריאות כללית-מנהל אספקה</v>
      </c>
      <c r="I179" t="str">
        <f>"22100"</f>
        <v>22100</v>
      </c>
      <c r="J179" t="str">
        <f>"שרותי בריאות כללית-מנהל אספקה"</f>
        <v>שרותי בריאות כללית-מנהל אספקה</v>
      </c>
      <c r="L179" t="str">
        <f>"N"</f>
        <v>N</v>
      </c>
      <c r="M179" t="str">
        <f>"IMPORT"</f>
        <v>IMPORT</v>
      </c>
      <c r="N179" t="str">
        <f>"SO20015350"</f>
        <v>SO20015350</v>
      </c>
      <c r="P179">
        <v>357</v>
      </c>
      <c r="Q179">
        <v>1</v>
      </c>
      <c r="R179" s="2">
        <v>1284.1289999999999</v>
      </c>
      <c r="S179">
        <v>357</v>
      </c>
    </row>
    <row r="180" spans="1:19" x14ac:dyDescent="0.2">
      <c r="A180" s="1">
        <v>43912</v>
      </c>
      <c r="B180" t="str">
        <f>"SH20016861"</f>
        <v>SH20016861</v>
      </c>
      <c r="C180" t="str">
        <f>"IMTCS0803"</f>
        <v>IMTCS0803</v>
      </c>
      <c r="D180" t="str">
        <f>"OPTICAL FLAT CAPS FOR 0.2ML 120X8"</f>
        <v>OPTICAL FLAT CAPS FOR 0.2ML 120X8</v>
      </c>
      <c r="E180" t="str">
        <f>"201284"</f>
        <v>201284</v>
      </c>
      <c r="F180" t="str">
        <f>"ד""ר מירב שטראוס - בי""ח העמק"</f>
        <v>ד"ר מירב שטראוס - בי"ח העמק</v>
      </c>
      <c r="G180" t="str">
        <f>"22100"</f>
        <v>22100</v>
      </c>
      <c r="H180" t="str">
        <f>"שרותי בריאות כללית-מנהל אספקה"</f>
        <v>שרותי בריאות כללית-מנהל אספקה</v>
      </c>
      <c r="I180" t="str">
        <f>"22100"</f>
        <v>22100</v>
      </c>
      <c r="J180" t="str">
        <f>"שרותי בריאות כללית-מנהל אספקה"</f>
        <v>שרותי בריאות כללית-מנהל אספקה</v>
      </c>
      <c r="L180" t="str">
        <f>"N"</f>
        <v>N</v>
      </c>
      <c r="M180" t="str">
        <f>"IMPORT"</f>
        <v>IMPORT</v>
      </c>
      <c r="N180" t="str">
        <f>"SO20015350"</f>
        <v>SO20015350</v>
      </c>
      <c r="P180">
        <v>62</v>
      </c>
      <c r="Q180">
        <v>3</v>
      </c>
      <c r="R180">
        <v>669.04200000000003</v>
      </c>
      <c r="S180">
        <v>186</v>
      </c>
    </row>
    <row r="181" spans="1:19" x14ac:dyDescent="0.2">
      <c r="A181" s="1">
        <v>43912</v>
      </c>
      <c r="B181" t="str">
        <f>"SH20016862"</f>
        <v>SH20016862</v>
      </c>
      <c r="C181" t="str">
        <f>"TTS238"</f>
        <v>TTS238</v>
      </c>
      <c r="D181" t="str">
        <f>"מבחנה PP תחתית עגולה 75*12מ""מ לא סטרילי-BN059-P"</f>
        <v>מבחנה PP תחתית עגולה 75*12מ"מ לא סטרילי-BN059-P</v>
      </c>
      <c r="E181" t="str">
        <f>"201284"</f>
        <v>201284</v>
      </c>
      <c r="F181" t="str">
        <f>"ד""ר מירב שטראוס - בי""ח העמק"</f>
        <v>ד"ר מירב שטראוס - בי"ח העמק</v>
      </c>
      <c r="G181" t="str">
        <f>"22100"</f>
        <v>22100</v>
      </c>
      <c r="H181" t="str">
        <f>"שרותי בריאות כללית-מנהל אספקה"</f>
        <v>שרותי בריאות כללית-מנהל אספקה</v>
      </c>
      <c r="I181" t="str">
        <f>"22100"</f>
        <v>22100</v>
      </c>
      <c r="J181" t="str">
        <f>"שרותי בריאות כללית-מנהל אספקה"</f>
        <v>שרותי בריאות כללית-מנהל אספקה</v>
      </c>
      <c r="L181" t="str">
        <f>"N"</f>
        <v>N</v>
      </c>
      <c r="M181" t="str">
        <f>"UI"</f>
        <v>UI</v>
      </c>
      <c r="N181" t="str">
        <f>"SO20015351"</f>
        <v>SO20015351</v>
      </c>
      <c r="P181">
        <v>0.04</v>
      </c>
      <c r="Q181" s="2">
        <v>2000</v>
      </c>
      <c r="R181">
        <v>287.76</v>
      </c>
      <c r="S181">
        <v>80</v>
      </c>
    </row>
    <row r="182" spans="1:19" x14ac:dyDescent="0.2">
      <c r="A182" s="1">
        <v>43912</v>
      </c>
      <c r="B182" t="str">
        <f>"SH20016863"</f>
        <v>SH20016863</v>
      </c>
      <c r="C182" t="str">
        <f>"IM7443004U"</f>
        <v>IM7443004U</v>
      </c>
      <c r="D182" t="str">
        <f>"STARMAG 96*4 UNIVERSAL -744300.4.UC384"</f>
        <v>STARMAG 96*4 UNIVERSAL -744300.4.UC384</v>
      </c>
      <c r="E182" t="str">
        <f>"201284"</f>
        <v>201284</v>
      </c>
      <c r="F182" t="str">
        <f>"ד""ר מירב שטראוס - בי""ח העמק"</f>
        <v>ד"ר מירב שטראוס - בי"ח העמק</v>
      </c>
      <c r="G182" t="str">
        <f>"22100"</f>
        <v>22100</v>
      </c>
      <c r="H182" t="str">
        <f>"שרותי בריאות כללית-מנהל אספקה"</f>
        <v>שרותי בריאות כללית-מנהל אספקה</v>
      </c>
      <c r="I182" t="str">
        <f>"22100"</f>
        <v>22100</v>
      </c>
      <c r="J182" t="str">
        <f>"שרותי בריאות כללית-מנהל אספקה"</f>
        <v>שרותי בריאות כללית-מנהל אספקה</v>
      </c>
      <c r="L182" t="str">
        <f>"N"</f>
        <v>N</v>
      </c>
      <c r="M182" t="str">
        <f>"IMPORT"</f>
        <v>IMPORT</v>
      </c>
      <c r="N182" t="str">
        <f>"SO20015350"</f>
        <v>SO20015350</v>
      </c>
      <c r="P182" s="2">
        <v>1006.8</v>
      </c>
      <c r="Q182">
        <v>2</v>
      </c>
      <c r="R182" s="2">
        <v>7242.9192000000003</v>
      </c>
      <c r="S182" s="2">
        <v>2013.6</v>
      </c>
    </row>
    <row r="183" spans="1:19" x14ac:dyDescent="0.2">
      <c r="A183" s="1">
        <v>43912</v>
      </c>
      <c r="B183" t="str">
        <f>"SH20016863"</f>
        <v>SH20016863</v>
      </c>
      <c r="C183" t="str">
        <f>"IMSDP0096"</f>
        <v>IMSDP0096</v>
      </c>
      <c r="D183" t="str">
        <f>"NIMBUS-96 DEEP WELL MICRO PLATE SDP0096"</f>
        <v>NIMBUS-96 DEEP WELL MICRO PLATE SDP0096</v>
      </c>
      <c r="E183" t="str">
        <f>"201284"</f>
        <v>201284</v>
      </c>
      <c r="F183" t="str">
        <f>"ד""ר מירב שטראוס - בי""ח העמק"</f>
        <v>ד"ר מירב שטראוס - בי"ח העמק</v>
      </c>
      <c r="G183" t="str">
        <f>"22100"</f>
        <v>22100</v>
      </c>
      <c r="H183" t="str">
        <f>"שרותי בריאות כללית-מנהל אספקה"</f>
        <v>שרותי בריאות כללית-מנהל אספקה</v>
      </c>
      <c r="I183" t="str">
        <f>"22100"</f>
        <v>22100</v>
      </c>
      <c r="J183" t="str">
        <f>"שרותי בריאות כללית-מנהל אספקה"</f>
        <v>שרותי בריאות כללית-מנהל אספקה</v>
      </c>
      <c r="L183" t="str">
        <f>"N"</f>
        <v>N</v>
      </c>
      <c r="M183" t="str">
        <f>"IMPORT"</f>
        <v>IMPORT</v>
      </c>
      <c r="N183" t="str">
        <f>"SO20015350"</f>
        <v>SO20015350</v>
      </c>
      <c r="P183">
        <v>384</v>
      </c>
      <c r="Q183">
        <v>1</v>
      </c>
      <c r="R183" s="2">
        <v>1381.248</v>
      </c>
      <c r="S183">
        <v>384</v>
      </c>
    </row>
    <row r="184" spans="1:19" x14ac:dyDescent="0.2">
      <c r="A184" s="1">
        <v>43912</v>
      </c>
      <c r="B184" t="str">
        <f>"SH20016864"</f>
        <v>SH20016864</v>
      </c>
      <c r="C184" t="str">
        <f>"IM235905"</f>
        <v>IM235905</v>
      </c>
      <c r="D184" t="str">
        <f>"HIGH VOLUME TIPS(1000UL)- 235905"</f>
        <v>HIGH VOLUME TIPS(1000UL)- 235905</v>
      </c>
      <c r="E184" t="str">
        <f>"200893"</f>
        <v>200893</v>
      </c>
      <c r="F184" t="str">
        <f>"ד""ר שרון עמית - בי""ח תה""ש"</f>
        <v>ד"ר שרון עמית - בי"ח תה"ש</v>
      </c>
      <c r="G184" t="str">
        <f>"21133"</f>
        <v>21133</v>
      </c>
      <c r="H184" t="str">
        <f>"מרכז רפואי שיבא- תל השומר רכש ריאגנטים"</f>
        <v>מרכז רפואי שיבא- תל השומר רכש ריאגנטים</v>
      </c>
      <c r="I184" t="str">
        <f>"21133"</f>
        <v>21133</v>
      </c>
      <c r="J184" t="str">
        <f>"מרכז רפואי שיבא- תל השומר רכש ריאגנטים"</f>
        <v>מרכז רפואי שיבא- תל השומר רכש ריאגנטים</v>
      </c>
      <c r="L184" t="str">
        <f>"N"</f>
        <v>N</v>
      </c>
      <c r="M184" t="str">
        <f>"IMPORT"</f>
        <v>IMPORT</v>
      </c>
      <c r="N184" t="str">
        <f>"SO20015359"</f>
        <v>SO20015359</v>
      </c>
      <c r="P184">
        <v>700</v>
      </c>
      <c r="Q184">
        <v>3</v>
      </c>
      <c r="R184" s="2">
        <v>7553.7</v>
      </c>
      <c r="S184" s="2">
        <v>2100</v>
      </c>
    </row>
    <row r="185" spans="1:19" x14ac:dyDescent="0.2">
      <c r="A185" s="1">
        <v>43912</v>
      </c>
      <c r="B185" t="str">
        <f>"SH20016864"</f>
        <v>SH20016864</v>
      </c>
      <c r="C185" t="str">
        <f>"IM7443004U"</f>
        <v>IM7443004U</v>
      </c>
      <c r="D185" t="str">
        <f>"STARMAG 96*4 UNIVERSAL -744300.4.UC384"</f>
        <v>STARMAG 96*4 UNIVERSAL -744300.4.UC384</v>
      </c>
      <c r="E185" t="str">
        <f>"200893"</f>
        <v>200893</v>
      </c>
      <c r="F185" t="str">
        <f>"ד""ר שרון עמית - בי""ח תה""ש"</f>
        <v>ד"ר שרון עמית - בי"ח תה"ש</v>
      </c>
      <c r="G185" t="str">
        <f>"21133"</f>
        <v>21133</v>
      </c>
      <c r="H185" t="str">
        <f>"מרכז רפואי שיבא- תל השומר רכש ריאגנטים"</f>
        <v>מרכז רפואי שיבא- תל השומר רכש ריאגנטים</v>
      </c>
      <c r="I185" t="str">
        <f>"21133"</f>
        <v>21133</v>
      </c>
      <c r="J185" t="str">
        <f>"מרכז רפואי שיבא- תל השומר רכש ריאגנטים"</f>
        <v>מרכז רפואי שיבא- תל השומר רכש ריאגנטים</v>
      </c>
      <c r="L185" t="str">
        <f>"N"</f>
        <v>N</v>
      </c>
      <c r="M185" t="str">
        <f>"IMPORT"</f>
        <v>IMPORT</v>
      </c>
      <c r="N185" t="str">
        <f>"SO20015359"</f>
        <v>SO20015359</v>
      </c>
      <c r="P185" s="2">
        <v>1230</v>
      </c>
      <c r="Q185">
        <v>5</v>
      </c>
      <c r="R185" s="2">
        <v>18803.317500000001</v>
      </c>
      <c r="S185" s="2">
        <v>5227.5</v>
      </c>
    </row>
    <row r="186" spans="1:19" x14ac:dyDescent="0.2">
      <c r="A186" s="1">
        <v>43912</v>
      </c>
      <c r="B186" t="str">
        <f>"SH20016865"</f>
        <v>SH20016865</v>
      </c>
      <c r="C186" t="str">
        <f>"IMHSP9655"</f>
        <v>IMHSP9655</v>
      </c>
      <c r="D186" t="str">
        <f>"PLATE WELL 96(WHITE)50EA/BOX-HSP9655"</f>
        <v>PLATE WELL 96(WHITE)50EA/BOX-HSP9655</v>
      </c>
      <c r="E186" t="str">
        <f>"201284"</f>
        <v>201284</v>
      </c>
      <c r="F186" t="str">
        <f>"ד""ר מירב שטראוס - בי""ח העמק"</f>
        <v>ד"ר מירב שטראוס - בי"ח העמק</v>
      </c>
      <c r="G186" t="str">
        <f>"22100"</f>
        <v>22100</v>
      </c>
      <c r="H186" t="str">
        <f>"שרותי בריאות כללית-מנהל אספקה"</f>
        <v>שרותי בריאות כללית-מנהל אספקה</v>
      </c>
      <c r="I186" t="str">
        <f>"22100"</f>
        <v>22100</v>
      </c>
      <c r="J186" t="str">
        <f>"שרותי בריאות כללית-מנהל אספקה"</f>
        <v>שרותי בריאות כללית-מנהל אספקה</v>
      </c>
      <c r="L186" t="str">
        <f>"N"</f>
        <v>N</v>
      </c>
      <c r="M186" t="str">
        <f>"IMPORT"</f>
        <v>IMPORT</v>
      </c>
      <c r="N186" t="str">
        <f>"SO20015350"</f>
        <v>SO20015350</v>
      </c>
      <c r="P186">
        <v>357</v>
      </c>
      <c r="Q186">
        <v>2</v>
      </c>
      <c r="R186" s="2">
        <v>2568.2579999999998</v>
      </c>
      <c r="S186">
        <v>714</v>
      </c>
    </row>
    <row r="187" spans="1:19" x14ac:dyDescent="0.2">
      <c r="A187" s="1">
        <v>43912</v>
      </c>
      <c r="B187" t="str">
        <f>"SH20016865"</f>
        <v>SH20016865</v>
      </c>
      <c r="C187" t="str">
        <f>"IMTCS0803"</f>
        <v>IMTCS0803</v>
      </c>
      <c r="D187" t="str">
        <f>"OPTICAL FLAT CAPS FOR 0.2ML 120X8"</f>
        <v>OPTICAL FLAT CAPS FOR 0.2ML 120X8</v>
      </c>
      <c r="E187" t="str">
        <f>"201284"</f>
        <v>201284</v>
      </c>
      <c r="F187" t="str">
        <f>"ד""ר מירב שטראוס - בי""ח העמק"</f>
        <v>ד"ר מירב שטראוס - בי"ח העמק</v>
      </c>
      <c r="G187" t="str">
        <f>"22100"</f>
        <v>22100</v>
      </c>
      <c r="H187" t="str">
        <f>"שרותי בריאות כללית-מנהל אספקה"</f>
        <v>שרותי בריאות כללית-מנהל אספקה</v>
      </c>
      <c r="I187" t="str">
        <f>"22100"</f>
        <v>22100</v>
      </c>
      <c r="J187" t="str">
        <f>"שרותי בריאות כללית-מנהל אספקה"</f>
        <v>שרותי בריאות כללית-מנהל אספקה</v>
      </c>
      <c r="L187" t="str">
        <f>"N"</f>
        <v>N</v>
      </c>
      <c r="M187" t="str">
        <f>"IMPORT"</f>
        <v>IMPORT</v>
      </c>
      <c r="N187" t="str">
        <f>"SO20015350"</f>
        <v>SO20015350</v>
      </c>
      <c r="P187">
        <v>62</v>
      </c>
      <c r="Q187">
        <v>7</v>
      </c>
      <c r="R187" s="2">
        <v>1561.098</v>
      </c>
      <c r="S187">
        <v>434</v>
      </c>
    </row>
    <row r="188" spans="1:19" x14ac:dyDescent="0.2">
      <c r="A188" s="1">
        <v>43912</v>
      </c>
      <c r="B188" t="str">
        <f>"SH20016868"</f>
        <v>SH20016868</v>
      </c>
      <c r="C188" t="str">
        <f>"IM235905"</f>
        <v>IM235905</v>
      </c>
      <c r="D188" t="str">
        <f>"HIGH VOLUME TIPS(1000UL)- 235905"</f>
        <v>HIGH VOLUME TIPS(1000UL)- 235905</v>
      </c>
      <c r="E188" t="str">
        <f>"27027"</f>
        <v>27027</v>
      </c>
      <c r="F188" t="str">
        <f>"שראל-פתרונות לוגיסטיים ומוצרים"</f>
        <v>שראל-פתרונות לוגיסטיים ומוצרים</v>
      </c>
      <c r="K188" t="str">
        <f>"פרופ' יונת שמר - בי""ח סורוקה"</f>
        <v>פרופ' יונת שמר - בי"ח סורוקה</v>
      </c>
      <c r="L188" t="str">
        <f>"Y"</f>
        <v>Y</v>
      </c>
      <c r="M188" t="str">
        <f>"IMPORT"</f>
        <v>IMPORT</v>
      </c>
      <c r="N188" t="str">
        <f>"SO20015356"</f>
        <v>SO20015356</v>
      </c>
      <c r="P188">
        <v>700.34</v>
      </c>
      <c r="Q188">
        <v>3</v>
      </c>
      <c r="R188" s="2">
        <v>7557.3689400000003</v>
      </c>
      <c r="S188" s="2">
        <v>2101.02</v>
      </c>
    </row>
    <row r="189" spans="1:19" x14ac:dyDescent="0.2">
      <c r="A189" s="1">
        <v>43912</v>
      </c>
      <c r="B189" t="str">
        <f>"SH20016868"</f>
        <v>SH20016868</v>
      </c>
      <c r="C189" t="str">
        <f>"IM7443004U"</f>
        <v>IM7443004U</v>
      </c>
      <c r="D189" t="str">
        <f>"STARMAG 96*4 UNIVERSAL -744300.4.UC384"</f>
        <v>STARMAG 96*4 UNIVERSAL -744300.4.UC384</v>
      </c>
      <c r="E189" t="str">
        <f>"27027"</f>
        <v>27027</v>
      </c>
      <c r="F189" t="str">
        <f>"שראל-פתרונות לוגיסטיים ומוצרים"</f>
        <v>שראל-פתרונות לוגיסטיים ומוצרים</v>
      </c>
      <c r="K189" t="str">
        <f>"פרופ' יונת שמר - בי""ח סורוקה"</f>
        <v>פרופ' יונת שמר - בי"ח סורוקה</v>
      </c>
      <c r="L189" t="str">
        <f>"Y"</f>
        <v>Y</v>
      </c>
      <c r="M189" t="str">
        <f>"IMPORT"</f>
        <v>IMPORT</v>
      </c>
      <c r="N189" t="str">
        <f>"SO20015356"</f>
        <v>SO20015356</v>
      </c>
      <c r="P189" s="2">
        <v>1045.6600000000001</v>
      </c>
      <c r="Q189">
        <v>5</v>
      </c>
      <c r="R189" s="2">
        <v>18806.195100000001</v>
      </c>
      <c r="S189" s="2">
        <v>5228.3</v>
      </c>
    </row>
    <row r="190" spans="1:19" x14ac:dyDescent="0.2">
      <c r="A190" s="1">
        <v>43912</v>
      </c>
      <c r="B190" t="str">
        <f>"SH20016870"</f>
        <v>SH20016870</v>
      </c>
      <c r="C190" t="str">
        <f>"IM235905"</f>
        <v>IM235905</v>
      </c>
      <c r="D190" t="str">
        <f>"HIGH VOLUME TIPS(1000UL)- 235905"</f>
        <v>HIGH VOLUME TIPS(1000UL)- 235905</v>
      </c>
      <c r="E190" t="str">
        <f>"27027"</f>
        <v>27027</v>
      </c>
      <c r="F190" t="str">
        <f>"שראל-פתרונות לוגיסטיים ומוצרים"</f>
        <v>שראל-פתרונות לוגיסטיים ומוצרים</v>
      </c>
      <c r="K190" t="str">
        <f>"מכבי מגה לאב -מעב מרכזית"</f>
        <v>מכבי מגה לאב -מעב מרכזית</v>
      </c>
      <c r="L190" t="str">
        <f>"Y"</f>
        <v>Y</v>
      </c>
      <c r="M190" t="str">
        <f>"IMPORT"</f>
        <v>IMPORT</v>
      </c>
      <c r="N190" t="str">
        <f>"SO20015362"</f>
        <v>SO20015362</v>
      </c>
      <c r="P190">
        <v>700.34</v>
      </c>
      <c r="Q190">
        <v>3</v>
      </c>
      <c r="R190" s="2">
        <v>7557.3689400000003</v>
      </c>
      <c r="S190" s="2">
        <v>2101.02</v>
      </c>
    </row>
    <row r="191" spans="1:19" x14ac:dyDescent="0.2">
      <c r="A191" s="1">
        <v>43912</v>
      </c>
      <c r="B191" t="str">
        <f>"SH20016870"</f>
        <v>SH20016870</v>
      </c>
      <c r="C191" t="str">
        <f>"IM7443004U"</f>
        <v>IM7443004U</v>
      </c>
      <c r="D191" t="str">
        <f>"STARMAG 96*4 UNIVERSAL -744300.4.UC384"</f>
        <v>STARMAG 96*4 UNIVERSAL -744300.4.UC384</v>
      </c>
      <c r="E191" t="str">
        <f>"27027"</f>
        <v>27027</v>
      </c>
      <c r="F191" t="str">
        <f>"שראל-פתרונות לוגיסטיים ומוצרים"</f>
        <v>שראל-פתרונות לוגיסטיים ומוצרים</v>
      </c>
      <c r="K191" t="str">
        <f>"מכבי מגה לאב -מעב מרכזית"</f>
        <v>מכבי מגה לאב -מעב מרכזית</v>
      </c>
      <c r="L191" t="str">
        <f>"Y"</f>
        <v>Y</v>
      </c>
      <c r="M191" t="str">
        <f>"IMPORT"</f>
        <v>IMPORT</v>
      </c>
      <c r="N191" t="str">
        <f>"SO20015362"</f>
        <v>SO20015362</v>
      </c>
      <c r="P191" s="2">
        <v>1045.6600000000001</v>
      </c>
      <c r="Q191">
        <v>5</v>
      </c>
      <c r="R191" s="2">
        <v>18806.195100000001</v>
      </c>
      <c r="S191" s="2">
        <v>5228.3</v>
      </c>
    </row>
    <row r="192" spans="1:19" x14ac:dyDescent="0.2">
      <c r="A192" s="1">
        <v>43912</v>
      </c>
      <c r="B192" t="str">
        <f>"SH20016871"</f>
        <v>SH20016871</v>
      </c>
      <c r="C192" t="str">
        <f>"TTS238"</f>
        <v>TTS238</v>
      </c>
      <c r="D192" t="str">
        <f>"מבחנה PP תחתית עגולה 75*12מ""מ לא סטרילי-BN059-P"</f>
        <v>מבחנה PP תחתית עגולה 75*12מ"מ לא סטרילי-BN059-P</v>
      </c>
      <c r="E192" t="str">
        <f>"201201"</f>
        <v>201201</v>
      </c>
      <c r="F192" t="str">
        <f>"כללית נשר בקטריולוגית - חיפה"</f>
        <v>כללית נשר בקטריולוגית - חיפה</v>
      </c>
      <c r="G192" t="str">
        <f>"22100"</f>
        <v>22100</v>
      </c>
      <c r="H192" t="str">
        <f>"שרותי בריאות כללית-מנהל אספקה"</f>
        <v>שרותי בריאות כללית-מנהל אספקה</v>
      </c>
      <c r="I192" t="str">
        <f>"22100"</f>
        <v>22100</v>
      </c>
      <c r="J192" t="str">
        <f>"שרותי בריאות כללית-מנהל אספקה"</f>
        <v>שרותי בריאות כללית-מנהל אספקה</v>
      </c>
      <c r="L192" t="str">
        <f>"N"</f>
        <v>N</v>
      </c>
      <c r="M192" t="str">
        <f>"UI"</f>
        <v>UI</v>
      </c>
      <c r="N192" t="str">
        <f>"SO20015295"</f>
        <v>SO20015295</v>
      </c>
      <c r="P192">
        <v>0.04</v>
      </c>
      <c r="Q192" s="2">
        <v>2000</v>
      </c>
      <c r="R192">
        <v>287.76</v>
      </c>
      <c r="S192">
        <v>80</v>
      </c>
    </row>
    <row r="193" spans="1:19" x14ac:dyDescent="0.2">
      <c r="A193" s="1">
        <v>43912</v>
      </c>
      <c r="B193" t="str">
        <f>"SH20016874"</f>
        <v>SH20016874</v>
      </c>
      <c r="C193" t="str">
        <f>"IM235905"</f>
        <v>IM235905</v>
      </c>
      <c r="D193" t="str">
        <f>"HIGH VOLUME TIPS(1000UL)- 235905"</f>
        <v>HIGH VOLUME TIPS(1000UL)- 235905</v>
      </c>
      <c r="E193" t="str">
        <f>"27027"</f>
        <v>27027</v>
      </c>
      <c r="F193" t="str">
        <f>"שראל-פתרונות לוגיסטיים ומוצרים"</f>
        <v>שראל-פתרונות לוגיסטיים ומוצרים</v>
      </c>
      <c r="K193" t="str">
        <f>"לאומית מעבדה אור יהודה"</f>
        <v>לאומית מעבדה אור יהודה</v>
      </c>
      <c r="L193" t="str">
        <f>"Y"</f>
        <v>Y</v>
      </c>
      <c r="M193" t="str">
        <f>"IMPORT"</f>
        <v>IMPORT</v>
      </c>
      <c r="N193" t="str">
        <f>"SO20015371"</f>
        <v>SO20015371</v>
      </c>
      <c r="P193">
        <v>700.34</v>
      </c>
      <c r="Q193">
        <v>3</v>
      </c>
      <c r="R193" s="2">
        <v>7557.3689400000003</v>
      </c>
      <c r="S193" s="2">
        <v>2101.02</v>
      </c>
    </row>
    <row r="194" spans="1:19" x14ac:dyDescent="0.2">
      <c r="A194" s="1">
        <v>43912</v>
      </c>
      <c r="B194" t="str">
        <f>"SH20016874"</f>
        <v>SH20016874</v>
      </c>
      <c r="C194" t="str">
        <f>"IM7443004U"</f>
        <v>IM7443004U</v>
      </c>
      <c r="D194" t="str">
        <f>"STARMAG 96*4 UNIVERSAL -744300.4.UC384"</f>
        <v>STARMAG 96*4 UNIVERSAL -744300.4.UC384</v>
      </c>
      <c r="E194" t="str">
        <f>"27027"</f>
        <v>27027</v>
      </c>
      <c r="F194" t="str">
        <f>"שראל-פתרונות לוגיסטיים ומוצרים"</f>
        <v>שראל-פתרונות לוגיסטיים ומוצרים</v>
      </c>
      <c r="K194" t="str">
        <f>"לאומית מעבדה אור יהודה"</f>
        <v>לאומית מעבדה אור יהודה</v>
      </c>
      <c r="L194" t="str">
        <f>"Y"</f>
        <v>Y</v>
      </c>
      <c r="M194" t="str">
        <f>"IMPORT"</f>
        <v>IMPORT</v>
      </c>
      <c r="N194" t="str">
        <f>"SO20015371"</f>
        <v>SO20015371</v>
      </c>
      <c r="P194" s="2">
        <v>1045.6600000000001</v>
      </c>
      <c r="Q194">
        <v>5</v>
      </c>
      <c r="R194" s="2">
        <v>18806.195100000001</v>
      </c>
      <c r="S194" s="2">
        <v>5228.3</v>
      </c>
    </row>
    <row r="195" spans="1:19" x14ac:dyDescent="0.2">
      <c r="A195" s="1">
        <v>43912</v>
      </c>
      <c r="B195" t="str">
        <f>"SH20016877"</f>
        <v>SH20016877</v>
      </c>
      <c r="C195" t="str">
        <f>"IM235905"</f>
        <v>IM235905</v>
      </c>
      <c r="D195" t="str">
        <f>"HIGH VOLUME TIPS(1000UL)- 235905"</f>
        <v>HIGH VOLUME TIPS(1000UL)- 235905</v>
      </c>
      <c r="E195" t="str">
        <f>"27027"</f>
        <v>27027</v>
      </c>
      <c r="F195" t="str">
        <f>"שראל-פתרונות לוגיסטיים ומוצרים"</f>
        <v>שראל-פתרונות לוגיסטיים ומוצרים</v>
      </c>
      <c r="K195" t="str">
        <f>"ד""ר אורית טרייגרמן - מאוחדת"</f>
        <v>ד"ר אורית טרייגרמן - מאוחדת</v>
      </c>
      <c r="L195" t="str">
        <f>"Y"</f>
        <v>Y</v>
      </c>
      <c r="M195" t="str">
        <f>"IMPORT"</f>
        <v>IMPORT</v>
      </c>
      <c r="N195" t="str">
        <f>"SO20015367"</f>
        <v>SO20015367</v>
      </c>
      <c r="P195">
        <v>700.34</v>
      </c>
      <c r="Q195">
        <v>1</v>
      </c>
      <c r="R195" s="2">
        <v>2519.1229800000001</v>
      </c>
      <c r="S195">
        <v>700.34</v>
      </c>
    </row>
    <row r="196" spans="1:19" x14ac:dyDescent="0.2">
      <c r="A196" s="1">
        <v>43912</v>
      </c>
      <c r="B196" t="str">
        <f>"SH20016877"</f>
        <v>SH20016877</v>
      </c>
      <c r="C196" t="str">
        <f>"IM7443004U"</f>
        <v>IM7443004U</v>
      </c>
      <c r="D196" t="str">
        <f>"STARMAG 96*4 UNIVERSAL -744300.4.UC384"</f>
        <v>STARMAG 96*4 UNIVERSAL -744300.4.UC384</v>
      </c>
      <c r="E196" t="str">
        <f>"27027"</f>
        <v>27027</v>
      </c>
      <c r="F196" t="str">
        <f>"שראל-פתרונות לוגיסטיים ומוצרים"</f>
        <v>שראל-פתרונות לוגיסטיים ומוצרים</v>
      </c>
      <c r="K196" t="str">
        <f>"ד""ר אורית טרייגרמן - מאוחדת"</f>
        <v>ד"ר אורית טרייגרמן - מאוחדת</v>
      </c>
      <c r="L196" t="str">
        <f>"Y"</f>
        <v>Y</v>
      </c>
      <c r="M196" t="str">
        <f>"IMPORT"</f>
        <v>IMPORT</v>
      </c>
      <c r="N196" t="str">
        <f>"SO20015367"</f>
        <v>SO20015367</v>
      </c>
      <c r="P196" s="2">
        <v>1045.6600000000001</v>
      </c>
      <c r="Q196">
        <v>2</v>
      </c>
      <c r="R196" s="2">
        <v>7522.47804</v>
      </c>
      <c r="S196" s="2">
        <v>2091.3200000000002</v>
      </c>
    </row>
    <row r="197" spans="1:19" x14ac:dyDescent="0.2">
      <c r="A197" s="1">
        <v>43912</v>
      </c>
      <c r="B197" t="str">
        <f>"SH20016877"</f>
        <v>SH20016877</v>
      </c>
      <c r="C197" t="str">
        <f>"IMSDP0096"</f>
        <v>IMSDP0096</v>
      </c>
      <c r="D197" t="str">
        <f>"NIMBUS-96 DEEP WELL MICRO PLATE SDP0096"</f>
        <v>NIMBUS-96 DEEP WELL MICRO PLATE SDP0096</v>
      </c>
      <c r="E197" t="str">
        <f>"27027"</f>
        <v>27027</v>
      </c>
      <c r="F197" t="str">
        <f>"שראל-פתרונות לוגיסטיים ומוצרים"</f>
        <v>שראל-פתרונות לוגיסטיים ומוצרים</v>
      </c>
      <c r="K197" t="str">
        <f>"ד""ר אורית טרייגרמן - מאוחדת"</f>
        <v>ד"ר אורית טרייגרמן - מאוחדת</v>
      </c>
      <c r="L197" t="str">
        <f>"Y"</f>
        <v>Y</v>
      </c>
      <c r="M197" t="str">
        <f>"IMPORT"</f>
        <v>IMPORT</v>
      </c>
      <c r="N197" t="str">
        <f>"SO20015367"</f>
        <v>SO20015367</v>
      </c>
      <c r="P197">
        <v>460.75</v>
      </c>
      <c r="Q197">
        <v>1</v>
      </c>
      <c r="R197" s="2">
        <v>1657.3177499999999</v>
      </c>
      <c r="S197">
        <v>460.75</v>
      </c>
    </row>
    <row r="198" spans="1:19" x14ac:dyDescent="0.2">
      <c r="A198" s="1">
        <v>43912</v>
      </c>
      <c r="B198" t="str">
        <f>"SH20016882"</f>
        <v>SH20016882</v>
      </c>
      <c r="C198" t="str">
        <f>"IM235905"</f>
        <v>IM235905</v>
      </c>
      <c r="D198" t="str">
        <f>"HIGH VOLUME TIPS(1000UL)- 235905"</f>
        <v>HIGH VOLUME TIPS(1000UL)- 235905</v>
      </c>
      <c r="E198" t="str">
        <f>"27504"</f>
        <v>27504</v>
      </c>
      <c r="F198" t="str">
        <f>"ד""ר פייטן יוסף - בי""ח מאיר"</f>
        <v>ד"ר פייטן יוסף - בי"ח מאיר</v>
      </c>
      <c r="G198" t="str">
        <f>"22100"</f>
        <v>22100</v>
      </c>
      <c r="H198" t="str">
        <f>"שרותי בריאות כללית-מנהל אספקה"</f>
        <v>שרותי בריאות כללית-מנהל אספקה</v>
      </c>
      <c r="I198" t="str">
        <f>"22100"</f>
        <v>22100</v>
      </c>
      <c r="J198" t="str">
        <f>"שרותי בריאות כללית-מנהל אספקה"</f>
        <v>שרותי בריאות כללית-מנהל אספקה</v>
      </c>
      <c r="L198" t="str">
        <f>"N"</f>
        <v>N</v>
      </c>
      <c r="M198" t="str">
        <f>"IMPORT"</f>
        <v>IMPORT</v>
      </c>
      <c r="N198" t="str">
        <f>"SO20015365"</f>
        <v>SO20015365</v>
      </c>
      <c r="P198">
        <v>594</v>
      </c>
      <c r="Q198">
        <v>1</v>
      </c>
      <c r="R198" s="2">
        <v>2136.6179999999999</v>
      </c>
      <c r="S198">
        <v>594</v>
      </c>
    </row>
    <row r="199" spans="1:19" x14ac:dyDescent="0.2">
      <c r="A199" s="1">
        <v>43912</v>
      </c>
      <c r="B199" t="str">
        <f>"SH20016882"</f>
        <v>SH20016882</v>
      </c>
      <c r="C199" t="str">
        <f>"IM7443004U"</f>
        <v>IM7443004U</v>
      </c>
      <c r="D199" t="str">
        <f>"STARMAG 96*4 UNIVERSAL -744300.4.UC384"</f>
        <v>STARMAG 96*4 UNIVERSAL -744300.4.UC384</v>
      </c>
      <c r="E199" t="str">
        <f>"27504"</f>
        <v>27504</v>
      </c>
      <c r="F199" t="str">
        <f>"ד""ר פייטן יוסף - בי""ח מאיר"</f>
        <v>ד"ר פייטן יוסף - בי"ח מאיר</v>
      </c>
      <c r="G199" t="str">
        <f>"22100"</f>
        <v>22100</v>
      </c>
      <c r="H199" t="str">
        <f>"שרותי בריאות כללית-מנהל אספקה"</f>
        <v>שרותי בריאות כללית-מנהל אספקה</v>
      </c>
      <c r="I199" t="str">
        <f>"22100"</f>
        <v>22100</v>
      </c>
      <c r="J199" t="str">
        <f>"שרותי בריאות כללית-מנהל אספקה"</f>
        <v>שרותי בריאות כללית-מנהל אספקה</v>
      </c>
      <c r="L199" t="str">
        <f>"N"</f>
        <v>N</v>
      </c>
      <c r="M199" t="str">
        <f>"IMPORT"</f>
        <v>IMPORT</v>
      </c>
      <c r="N199" t="str">
        <f>"SO20015365"</f>
        <v>SO20015365</v>
      </c>
      <c r="P199" s="2">
        <v>1006.8</v>
      </c>
      <c r="Q199">
        <v>1</v>
      </c>
      <c r="R199" s="2">
        <v>3621.4596000000001</v>
      </c>
      <c r="S199" s="2">
        <v>1006.8</v>
      </c>
    </row>
    <row r="200" spans="1:19" x14ac:dyDescent="0.2">
      <c r="A200" s="1">
        <v>43912</v>
      </c>
      <c r="B200" t="str">
        <f>"SH20016886"</f>
        <v>SH20016886</v>
      </c>
      <c r="C200" t="str">
        <f>"IMRP10243X"</f>
        <v>IMRP10243X</v>
      </c>
      <c r="D200" t="str">
        <f>"Allplex 2019-nCoV 100T - RP10243X"</f>
        <v>Allplex 2019-nCoV 100T - RP10243X</v>
      </c>
      <c r="E200" t="str">
        <f>"27027"</f>
        <v>27027</v>
      </c>
      <c r="F200" t="str">
        <f>"שראל-פתרונות לוגיסטיים ומוצרים"</f>
        <v>שראל-פתרונות לוגיסטיים ומוצרים</v>
      </c>
      <c r="K200" t="str">
        <f>"בי""ח פוריה - אבי פרץ"</f>
        <v>בי"ח פוריה - אבי פרץ</v>
      </c>
      <c r="L200" t="str">
        <f>"N"</f>
        <v>N</v>
      </c>
      <c r="M200" t="str">
        <f>"IMPORT"</f>
        <v>IMPORT</v>
      </c>
      <c r="N200" t="str">
        <f>"SO20015417"</f>
        <v>SO20015417</v>
      </c>
      <c r="P200">
        <v>679</v>
      </c>
      <c r="Q200">
        <v>10</v>
      </c>
      <c r="R200" s="2">
        <v>24423.63</v>
      </c>
      <c r="S200" s="2">
        <v>6790</v>
      </c>
    </row>
    <row r="201" spans="1:19" x14ac:dyDescent="0.2">
      <c r="A201" s="1">
        <v>43912</v>
      </c>
      <c r="B201" t="str">
        <f>"SH20016889"</f>
        <v>SH20016889</v>
      </c>
      <c r="C201" t="str">
        <f>"IMRP10243X"</f>
        <v>IMRP10243X</v>
      </c>
      <c r="D201" t="str">
        <f>"Allplex 2019-nCoV 100T - RP10243X"</f>
        <v>Allplex 2019-nCoV 100T - RP10243X</v>
      </c>
      <c r="E201" t="str">
        <f>"27027"</f>
        <v>27027</v>
      </c>
      <c r="F201" t="str">
        <f>"שראל-פתרונות לוגיסטיים ומוצרים"</f>
        <v>שראל-פתרונות לוגיסטיים ומוצרים</v>
      </c>
      <c r="K201" t="str">
        <f>"מרכז רפואי מעייני הישועה"</f>
        <v>מרכז רפואי מעייני הישועה</v>
      </c>
      <c r="L201" t="str">
        <f>"N"</f>
        <v>N</v>
      </c>
      <c r="M201" t="str">
        <f>"IMPORT"</f>
        <v>IMPORT</v>
      </c>
      <c r="N201" t="str">
        <f>"SO20015091"</f>
        <v>SO20015091</v>
      </c>
      <c r="P201">
        <v>679</v>
      </c>
      <c r="Q201">
        <v>1</v>
      </c>
      <c r="R201" s="2">
        <v>2442.3629999999998</v>
      </c>
      <c r="S201">
        <v>679</v>
      </c>
    </row>
    <row r="202" spans="1:19" x14ac:dyDescent="0.2">
      <c r="A202" s="1">
        <v>43912</v>
      </c>
      <c r="B202" t="str">
        <f>"SH20016894"</f>
        <v>SH20016894</v>
      </c>
      <c r="C202" t="str">
        <f>"IM235905"</f>
        <v>IM235905</v>
      </c>
      <c r="D202" t="str">
        <f>"HIGH VOLUME TIPS(1000UL)- 235905"</f>
        <v>HIGH VOLUME TIPS(1000UL)- 235905</v>
      </c>
      <c r="E202" t="str">
        <f>"200163"</f>
        <v>200163</v>
      </c>
      <c r="F202" t="str">
        <f>"ד""ר ריטה ברנשטיין - בי""ח קפלן"</f>
        <v>ד"ר ריטה ברנשטיין - בי"ח קפלן</v>
      </c>
      <c r="G202" t="str">
        <f>"22100"</f>
        <v>22100</v>
      </c>
      <c r="H202" t="str">
        <f>"שרותי בריאות כללית-מנהל אספקה"</f>
        <v>שרותי בריאות כללית-מנהל אספקה</v>
      </c>
      <c r="I202" t="str">
        <f>"22100"</f>
        <v>22100</v>
      </c>
      <c r="J202" t="str">
        <f>"שרותי בריאות כללית-מנהל אספקה"</f>
        <v>שרותי בריאות כללית-מנהל אספקה</v>
      </c>
      <c r="L202" t="str">
        <f>"N"</f>
        <v>N</v>
      </c>
      <c r="M202" t="str">
        <f>"IMPORT"</f>
        <v>IMPORT</v>
      </c>
      <c r="N202" t="str">
        <f>"SO20015373"</f>
        <v>SO20015373</v>
      </c>
      <c r="P202">
        <v>594</v>
      </c>
      <c r="Q202">
        <v>1</v>
      </c>
      <c r="R202" s="2">
        <v>2136.6179999999999</v>
      </c>
      <c r="S202">
        <v>594</v>
      </c>
    </row>
    <row r="203" spans="1:19" x14ac:dyDescent="0.2">
      <c r="A203" s="1">
        <v>43912</v>
      </c>
      <c r="B203" t="str">
        <f>"SH20016895"</f>
        <v>SH20016895</v>
      </c>
      <c r="C203" t="str">
        <f>"IM7443004U"</f>
        <v>IM7443004U</v>
      </c>
      <c r="D203" t="str">
        <f>"STARMAG 96*4 UNIVERSAL -744300.4.UC384"</f>
        <v>STARMAG 96*4 UNIVERSAL -744300.4.UC384</v>
      </c>
      <c r="E203" t="str">
        <f>"201284"</f>
        <v>201284</v>
      </c>
      <c r="F203" t="str">
        <f>"ד""ר מירב שטראוס - בי""ח העמק"</f>
        <v>ד"ר מירב שטראוס - בי"ח העמק</v>
      </c>
      <c r="G203" t="str">
        <f>"22100"</f>
        <v>22100</v>
      </c>
      <c r="H203" t="str">
        <f>"שרותי בריאות כללית-מנהל אספקה"</f>
        <v>שרותי בריאות כללית-מנהל אספקה</v>
      </c>
      <c r="I203" t="str">
        <f>"22100"</f>
        <v>22100</v>
      </c>
      <c r="J203" t="str">
        <f>"שרותי בריאות כללית-מנהל אספקה"</f>
        <v>שרותי בריאות כללית-מנהל אספקה</v>
      </c>
      <c r="L203" t="str">
        <f>"N"</f>
        <v>N</v>
      </c>
      <c r="M203" t="str">
        <f>"IMPORT"</f>
        <v>IMPORT</v>
      </c>
      <c r="N203" t="str">
        <f>"SO20015350"</f>
        <v>SO20015350</v>
      </c>
      <c r="P203" s="2">
        <v>1006.8</v>
      </c>
      <c r="Q203">
        <v>6</v>
      </c>
      <c r="R203" s="2">
        <v>21728.757600000001</v>
      </c>
      <c r="S203" s="2">
        <v>6040.8</v>
      </c>
    </row>
    <row r="204" spans="1:19" x14ac:dyDescent="0.2">
      <c r="A204" s="1">
        <v>43912</v>
      </c>
      <c r="B204" t="str">
        <f>"SH20016895"</f>
        <v>SH20016895</v>
      </c>
      <c r="C204" t="str">
        <f>"IMSDP0096"</f>
        <v>IMSDP0096</v>
      </c>
      <c r="D204" t="str">
        <f>"NIMBUS-96 DEEP WELL MICRO PLATE SDP0096"</f>
        <v>NIMBUS-96 DEEP WELL MICRO PLATE SDP0096</v>
      </c>
      <c r="E204" t="str">
        <f>"201284"</f>
        <v>201284</v>
      </c>
      <c r="F204" t="str">
        <f>"ד""ר מירב שטראוס - בי""ח העמק"</f>
        <v>ד"ר מירב שטראוס - בי"ח העמק</v>
      </c>
      <c r="G204" t="str">
        <f>"22100"</f>
        <v>22100</v>
      </c>
      <c r="H204" t="str">
        <f>"שרותי בריאות כללית-מנהל אספקה"</f>
        <v>שרותי בריאות כללית-מנהל אספקה</v>
      </c>
      <c r="I204" t="str">
        <f>"22100"</f>
        <v>22100</v>
      </c>
      <c r="J204" t="str">
        <f>"שרותי בריאות כללית-מנהל אספקה"</f>
        <v>שרותי בריאות כללית-מנהל אספקה</v>
      </c>
      <c r="L204" t="str">
        <f>"N"</f>
        <v>N</v>
      </c>
      <c r="M204" t="str">
        <f>"IMPORT"</f>
        <v>IMPORT</v>
      </c>
      <c r="N204" t="str">
        <f>"SO20015350"</f>
        <v>SO20015350</v>
      </c>
      <c r="P204">
        <v>384</v>
      </c>
      <c r="Q204">
        <v>1</v>
      </c>
      <c r="R204" s="2">
        <v>1381.248</v>
      </c>
      <c r="S204">
        <v>384</v>
      </c>
    </row>
    <row r="205" spans="1:19" x14ac:dyDescent="0.2">
      <c r="A205" s="1">
        <v>43912</v>
      </c>
      <c r="B205" t="str">
        <f>"SH20016914"</f>
        <v>SH20016914</v>
      </c>
      <c r="C205" t="str">
        <f>"IM7443004U"</f>
        <v>IM7443004U</v>
      </c>
      <c r="D205" t="str">
        <f>"STARMAG 96*4 UNIVERSAL -744300.4.UC384"</f>
        <v>STARMAG 96*4 UNIVERSAL -744300.4.UC384</v>
      </c>
      <c r="E205" t="str">
        <f>"200163"</f>
        <v>200163</v>
      </c>
      <c r="F205" t="str">
        <f>"ד""ר ריטה ברנשטיין - בי""ח קפלן"</f>
        <v>ד"ר ריטה ברנשטיין - בי"ח קפלן</v>
      </c>
      <c r="G205" t="str">
        <f>"22100"</f>
        <v>22100</v>
      </c>
      <c r="H205" t="str">
        <f>"שרותי בריאות כללית-מנהל אספקה"</f>
        <v>שרותי בריאות כללית-מנהל אספקה</v>
      </c>
      <c r="I205" t="str">
        <f>"22100"</f>
        <v>22100</v>
      </c>
      <c r="J205" t="str">
        <f>"שרותי בריאות כללית-מנהל אספקה"</f>
        <v>שרותי בריאות כללית-מנהל אספקה</v>
      </c>
      <c r="L205" t="str">
        <f>"N"</f>
        <v>N</v>
      </c>
      <c r="M205" t="str">
        <f>"IMPORT"</f>
        <v>IMPORT</v>
      </c>
      <c r="N205" t="str">
        <f>"SO20015444"</f>
        <v>SO20015444</v>
      </c>
      <c r="P205" s="2">
        <v>1006.8</v>
      </c>
      <c r="Q205">
        <v>1</v>
      </c>
      <c r="R205" s="2">
        <v>3621.4596000000001</v>
      </c>
      <c r="S205" s="2">
        <v>1006.8</v>
      </c>
    </row>
    <row r="206" spans="1:19" x14ac:dyDescent="0.2">
      <c r="A206" s="1">
        <v>43912</v>
      </c>
      <c r="B206" t="str">
        <f>"SH20016914"</f>
        <v>SH20016914</v>
      </c>
      <c r="C206" t="str">
        <f>"IMSDP0096"</f>
        <v>IMSDP0096</v>
      </c>
      <c r="D206" t="str">
        <f>"NIMBUS-96 DEEP WELL MICRO PLATE SDP0096"</f>
        <v>NIMBUS-96 DEEP WELL MICRO PLATE SDP0096</v>
      </c>
      <c r="E206" t="str">
        <f>"200163"</f>
        <v>200163</v>
      </c>
      <c r="F206" t="str">
        <f>"ד""ר ריטה ברנשטיין - בי""ח קפלן"</f>
        <v>ד"ר ריטה ברנשטיין - בי"ח קפלן</v>
      </c>
      <c r="G206" t="str">
        <f>"22100"</f>
        <v>22100</v>
      </c>
      <c r="H206" t="str">
        <f>"שרותי בריאות כללית-מנהל אספקה"</f>
        <v>שרותי בריאות כללית-מנהל אספקה</v>
      </c>
      <c r="I206" t="str">
        <f>"22100"</f>
        <v>22100</v>
      </c>
      <c r="J206" t="str">
        <f>"שרותי בריאות כללית-מנהל אספקה"</f>
        <v>שרותי בריאות כללית-מנהל אספקה</v>
      </c>
      <c r="L206" t="str">
        <f>"N"</f>
        <v>N</v>
      </c>
      <c r="M206" t="str">
        <f>"IMPORT"</f>
        <v>IMPORT</v>
      </c>
      <c r="N206" t="str">
        <f>"SO20015444"</f>
        <v>SO20015444</v>
      </c>
      <c r="P206">
        <v>384</v>
      </c>
      <c r="Q206">
        <v>1</v>
      </c>
      <c r="R206" s="2">
        <v>1381.248</v>
      </c>
      <c r="S206">
        <v>384</v>
      </c>
    </row>
    <row r="207" spans="1:19" x14ac:dyDescent="0.2">
      <c r="A207" s="1">
        <v>43912</v>
      </c>
      <c r="B207" t="str">
        <f>"SH20016915"</f>
        <v>SH20016915</v>
      </c>
      <c r="C207" t="str">
        <f>"IMRP10243X"</f>
        <v>IMRP10243X</v>
      </c>
      <c r="D207" t="str">
        <f>"Allplex 2019-nCoV 100T - RP10243X"</f>
        <v>Allplex 2019-nCoV 100T - RP10243X</v>
      </c>
      <c r="E207" t="str">
        <f>"200163"</f>
        <v>200163</v>
      </c>
      <c r="F207" t="str">
        <f>"ד""ר ריטה ברנשטיין - בי""ח קפלן"</f>
        <v>ד"ר ריטה ברנשטיין - בי"ח קפלן</v>
      </c>
      <c r="G207" t="str">
        <f>"22100"</f>
        <v>22100</v>
      </c>
      <c r="H207" t="str">
        <f>"שרותי בריאות כללית-מנהל אספקה"</f>
        <v>שרותי בריאות כללית-מנהל אספקה</v>
      </c>
      <c r="I207" t="str">
        <f>"22100"</f>
        <v>22100</v>
      </c>
      <c r="J207" t="str">
        <f>"שרותי בריאות כללית-מנהל אספקה"</f>
        <v>שרותי בריאות כללית-מנהל אספקה</v>
      </c>
      <c r="L207" t="str">
        <f>"Y"</f>
        <v>Y</v>
      </c>
      <c r="M207" t="str">
        <f>"IMPORT"</f>
        <v>IMPORT</v>
      </c>
      <c r="N207" t="str">
        <f>"SO20015141"</f>
        <v>SO20015141</v>
      </c>
      <c r="P207">
        <v>700</v>
      </c>
      <c r="Q207">
        <v>1</v>
      </c>
      <c r="R207" s="2">
        <v>2517.9</v>
      </c>
      <c r="S207">
        <v>700</v>
      </c>
    </row>
    <row r="208" spans="1:19" x14ac:dyDescent="0.2">
      <c r="A208" s="1">
        <v>43912</v>
      </c>
      <c r="B208" t="str">
        <f>"SH20016932"</f>
        <v>SH20016932</v>
      </c>
      <c r="C208" t="str">
        <f>"IMRP10243X"</f>
        <v>IMRP10243X</v>
      </c>
      <c r="D208" t="str">
        <f>"Allplex 2019-nCoV 100T - RP10243X"</f>
        <v>Allplex 2019-nCoV 100T - RP10243X</v>
      </c>
      <c r="E208" t="str">
        <f>"200163"</f>
        <v>200163</v>
      </c>
      <c r="F208" t="str">
        <f>"ד""ר ריטה ברנשטיין - בי""ח קפלן"</f>
        <v>ד"ר ריטה ברנשטיין - בי"ח קפלן</v>
      </c>
      <c r="G208" t="str">
        <f>"22100"</f>
        <v>22100</v>
      </c>
      <c r="H208" t="str">
        <f>"שרותי בריאות כללית-מנהל אספקה"</f>
        <v>שרותי בריאות כללית-מנהל אספקה</v>
      </c>
      <c r="I208" t="str">
        <f>"22100"</f>
        <v>22100</v>
      </c>
      <c r="J208" t="str">
        <f>"שרותי בריאות כללית-מנהל אספקה"</f>
        <v>שרותי בריאות כללית-מנהל אספקה</v>
      </c>
      <c r="L208" t="str">
        <f>"Y"</f>
        <v>Y</v>
      </c>
      <c r="M208" t="str">
        <f>"IMPORT"</f>
        <v>IMPORT</v>
      </c>
      <c r="N208" t="str">
        <f>"SO20015141"</f>
        <v>SO20015141</v>
      </c>
      <c r="P208">
        <v>700</v>
      </c>
      <c r="Q208">
        <v>4</v>
      </c>
      <c r="R208" s="2">
        <v>10071.6</v>
      </c>
      <c r="S208" s="2">
        <v>2800</v>
      </c>
    </row>
    <row r="209" spans="1:19" x14ac:dyDescent="0.2">
      <c r="A209" s="1">
        <v>43912</v>
      </c>
      <c r="B209" t="str">
        <f>"SH20016980"</f>
        <v>SH20016980</v>
      </c>
      <c r="C209" t="str">
        <f>"IMRP10243X"</f>
        <v>IMRP10243X</v>
      </c>
      <c r="D209" t="str">
        <f>"Allplex 2019-nCoV 100T - RP10243X"</f>
        <v>Allplex 2019-nCoV 100T - RP10243X</v>
      </c>
      <c r="E209" t="str">
        <f>"27027"</f>
        <v>27027</v>
      </c>
      <c r="F209" t="str">
        <f>"שראל-פתרונות לוגיסטיים ומוצרים"</f>
        <v>שראל-פתרונות לוגיסטיים ומוצרים</v>
      </c>
      <c r="K209" t="str">
        <f>"ד""ר שרית פרימן - דרך שראל"</f>
        <v>ד"ר שרית פרימן - דרך שראל</v>
      </c>
      <c r="L209" t="str">
        <f>"Y"</f>
        <v>Y</v>
      </c>
      <c r="M209" t="str">
        <f>"IMPORT"</f>
        <v>IMPORT</v>
      </c>
      <c r="N209" t="str">
        <f>"SO20015468"</f>
        <v>SO20015468</v>
      </c>
      <c r="P209">
        <v>679</v>
      </c>
      <c r="Q209">
        <v>3</v>
      </c>
      <c r="R209" s="2">
        <v>7327.0889999999999</v>
      </c>
      <c r="S209" s="2">
        <v>2037</v>
      </c>
    </row>
    <row r="210" spans="1:19" x14ac:dyDescent="0.2">
      <c r="A210" s="1">
        <v>43912</v>
      </c>
      <c r="B210" t="str">
        <f>"SH20016991"</f>
        <v>SH20016991</v>
      </c>
      <c r="C210" t="str">
        <f>"IM235905"</f>
        <v>IM235905</v>
      </c>
      <c r="D210" t="str">
        <f>"HIGH VOLUME TIPS(1000UL)- 235905"</f>
        <v>HIGH VOLUME TIPS(1000UL)- 235905</v>
      </c>
      <c r="E210" t="str">
        <f>"201201"</f>
        <v>201201</v>
      </c>
      <c r="F210" t="str">
        <f>"כללית נשר בקטריולוגית - חיפה"</f>
        <v>כללית נשר בקטריולוגית - חיפה</v>
      </c>
      <c r="G210" t="str">
        <f>"22100"</f>
        <v>22100</v>
      </c>
      <c r="H210" t="str">
        <f>"שרותי בריאות כללית-מנהל אספקה"</f>
        <v>שרותי בריאות כללית-מנהל אספקה</v>
      </c>
      <c r="I210" t="str">
        <f>"22100"</f>
        <v>22100</v>
      </c>
      <c r="J210" t="str">
        <f>"שרותי בריאות כללית-מנהל אספקה"</f>
        <v>שרותי בריאות כללית-מנהל אספקה</v>
      </c>
      <c r="L210" t="str">
        <f>"N"</f>
        <v>N</v>
      </c>
      <c r="M210" t="str">
        <f>"IMPORT"</f>
        <v>IMPORT</v>
      </c>
      <c r="N210" t="str">
        <f>"SO20015298"</f>
        <v>SO20015298</v>
      </c>
      <c r="P210">
        <v>594</v>
      </c>
      <c r="Q210">
        <v>1</v>
      </c>
      <c r="R210" s="2">
        <v>2136.6179999999999</v>
      </c>
      <c r="S210">
        <v>594</v>
      </c>
    </row>
    <row r="211" spans="1:19" x14ac:dyDescent="0.2">
      <c r="A211" s="1">
        <v>43912</v>
      </c>
      <c r="B211" t="str">
        <f>"SH20016991"</f>
        <v>SH20016991</v>
      </c>
      <c r="C211" t="str">
        <f>"IM7443004U"</f>
        <v>IM7443004U</v>
      </c>
      <c r="D211" t="str">
        <f>"STARMAG 96*4 UNIVERSAL -744300.4.UC384"</f>
        <v>STARMAG 96*4 UNIVERSAL -744300.4.UC384</v>
      </c>
      <c r="E211" t="str">
        <f>"201201"</f>
        <v>201201</v>
      </c>
      <c r="F211" t="str">
        <f>"כללית נשר בקטריולוגית - חיפה"</f>
        <v>כללית נשר בקטריולוגית - חיפה</v>
      </c>
      <c r="G211" t="str">
        <f>"22100"</f>
        <v>22100</v>
      </c>
      <c r="H211" t="str">
        <f>"שרותי בריאות כללית-מנהל אספקה"</f>
        <v>שרותי בריאות כללית-מנהל אספקה</v>
      </c>
      <c r="I211" t="str">
        <f>"22100"</f>
        <v>22100</v>
      </c>
      <c r="J211" t="str">
        <f>"שרותי בריאות כללית-מנהל אספקה"</f>
        <v>שרותי בריאות כללית-מנהל אספקה</v>
      </c>
      <c r="L211" t="str">
        <f>"N"</f>
        <v>N</v>
      </c>
      <c r="M211" t="str">
        <f>"IMPORT"</f>
        <v>IMPORT</v>
      </c>
      <c r="N211" t="str">
        <f>"SO20015298"</f>
        <v>SO20015298</v>
      </c>
      <c r="P211" s="2">
        <v>1006.8</v>
      </c>
      <c r="Q211">
        <v>2</v>
      </c>
      <c r="R211" s="2">
        <v>7242.9192000000003</v>
      </c>
      <c r="S211" s="2">
        <v>2013.6</v>
      </c>
    </row>
    <row r="212" spans="1:19" x14ac:dyDescent="0.2">
      <c r="A212" s="1">
        <v>43912</v>
      </c>
      <c r="B212" t="str">
        <f>"SH20017005"</f>
        <v>SH20017005</v>
      </c>
      <c r="C212" t="str">
        <f>"IMRP10243X"</f>
        <v>IMRP10243X</v>
      </c>
      <c r="D212" t="str">
        <f>"Allplex 2019-nCoV 100T - RP10243X"</f>
        <v>Allplex 2019-nCoV 100T - RP10243X</v>
      </c>
      <c r="E212" t="str">
        <f>"27027"</f>
        <v>27027</v>
      </c>
      <c r="F212" t="str">
        <f>"שראל-פתרונות לוגיסטיים ומוצרים"</f>
        <v>שראל-פתרונות לוגיסטיים ומוצרים</v>
      </c>
      <c r="K212" t="str">
        <f>"ד""ר שרון עמית - בי""ח תה""ש"</f>
        <v>ד"ר שרון עמית - בי"ח תה"ש</v>
      </c>
      <c r="L212" t="str">
        <f>"Y"</f>
        <v>Y</v>
      </c>
      <c r="M212" t="str">
        <f>"IMPORT"</f>
        <v>IMPORT</v>
      </c>
      <c r="N212" t="str">
        <f>"SO20015532"</f>
        <v>SO20015532</v>
      </c>
      <c r="P212">
        <v>679</v>
      </c>
      <c r="Q212">
        <v>18</v>
      </c>
      <c r="R212" s="2">
        <v>43962.534</v>
      </c>
      <c r="S212" s="2">
        <v>12222</v>
      </c>
    </row>
    <row r="213" spans="1:19" x14ac:dyDescent="0.2">
      <c r="A213" s="1">
        <v>43912</v>
      </c>
      <c r="B213" t="str">
        <f>"SH20017014"</f>
        <v>SH20017014</v>
      </c>
      <c r="C213" t="str">
        <f>"IMRP10243X"</f>
        <v>IMRP10243X</v>
      </c>
      <c r="D213" t="str">
        <f>"Allplex 2019-nCoV 100T - RP10243X"</f>
        <v>Allplex 2019-nCoV 100T - RP10243X</v>
      </c>
      <c r="E213" t="str">
        <f>"27027"</f>
        <v>27027</v>
      </c>
      <c r="F213" t="str">
        <f>"שראל-פתרונות לוגיסטיים ומוצרים"</f>
        <v>שראל-פתרונות לוגיסטיים ומוצרים</v>
      </c>
      <c r="K213" t="str">
        <f>"ד""ר אורנה שוורץ הררי - בי""ח וולפסון"</f>
        <v>ד"ר אורנה שוורץ הררי - בי"ח וולפסון</v>
      </c>
      <c r="L213" t="str">
        <f>"Y"</f>
        <v>Y</v>
      </c>
      <c r="M213" t="str">
        <f>"IMPORT"</f>
        <v>IMPORT</v>
      </c>
      <c r="N213" t="str">
        <f>"SO20015558"</f>
        <v>SO20015558</v>
      </c>
      <c r="P213">
        <v>679</v>
      </c>
      <c r="Q213">
        <v>5</v>
      </c>
      <c r="R213" s="2">
        <v>12211.815000000001</v>
      </c>
      <c r="S213" s="2">
        <v>3395</v>
      </c>
    </row>
    <row r="214" spans="1:19" x14ac:dyDescent="0.2">
      <c r="A214" s="1">
        <v>43912</v>
      </c>
      <c r="B214" t="str">
        <f>"SH20017034"</f>
        <v>SH20017034</v>
      </c>
      <c r="C214" t="str">
        <f>"IMRP10243X"</f>
        <v>IMRP10243X</v>
      </c>
      <c r="D214" t="str">
        <f>"Allplex 2019-nCoV 100T - RP10243X"</f>
        <v>Allplex 2019-nCoV 100T - RP10243X</v>
      </c>
      <c r="E214" t="str">
        <f>"27027"</f>
        <v>27027</v>
      </c>
      <c r="F214" t="str">
        <f>"שראל-פתרונות לוגיסטיים ומוצרים"</f>
        <v>שראל-פתרונות לוגיסטיים ומוצרים</v>
      </c>
      <c r="K214" t="str">
        <f>"בי""ח אסותא אשדוד בע""מ - מעבדה"</f>
        <v>בי"ח אסותא אשדוד בע"מ - מעבדה</v>
      </c>
      <c r="L214" t="str">
        <f>"Y"</f>
        <v>Y</v>
      </c>
      <c r="M214" t="str">
        <f>"IMPORT"</f>
        <v>IMPORT</v>
      </c>
      <c r="N214" t="str">
        <f>"SO20015531"</f>
        <v>SO20015531</v>
      </c>
      <c r="P214">
        <v>679</v>
      </c>
      <c r="Q214">
        <v>5</v>
      </c>
      <c r="R214" s="2">
        <v>12211.815000000001</v>
      </c>
      <c r="S214" s="2">
        <v>3395</v>
      </c>
    </row>
    <row r="215" spans="1:19" x14ac:dyDescent="0.2">
      <c r="A215" s="1">
        <v>43912</v>
      </c>
      <c r="B215" t="str">
        <f>"SH20017036"</f>
        <v>SH20017036</v>
      </c>
      <c r="C215" t="str">
        <f>"IMRP10243X"</f>
        <v>IMRP10243X</v>
      </c>
      <c r="D215" t="str">
        <f>"Allplex 2019-nCoV 100T - RP10243X"</f>
        <v>Allplex 2019-nCoV 100T - RP10243X</v>
      </c>
      <c r="E215" t="str">
        <f>"27027"</f>
        <v>27027</v>
      </c>
      <c r="F215" t="str">
        <f>"שראל-פתרונות לוגיסטיים ומוצרים"</f>
        <v>שראל-פתרונות לוגיסטיים ומוצרים</v>
      </c>
      <c r="K215" t="str">
        <f>"ד""ר שרון עמית - בי""ח תה""ש"</f>
        <v>ד"ר שרון עמית - בי"ח תה"ש</v>
      </c>
      <c r="L215" t="str">
        <f>"Y"</f>
        <v>Y</v>
      </c>
      <c r="M215" t="str">
        <f>"IMPORT"</f>
        <v>IMPORT</v>
      </c>
      <c r="N215" t="str">
        <f>"SO20015533"</f>
        <v>SO20015533</v>
      </c>
      <c r="P215">
        <v>679</v>
      </c>
      <c r="Q215">
        <v>2</v>
      </c>
      <c r="R215" s="2">
        <v>4884.7259999999997</v>
      </c>
      <c r="S215" s="2">
        <v>1358</v>
      </c>
    </row>
    <row r="216" spans="1:19" x14ac:dyDescent="0.2">
      <c r="A216" s="1">
        <v>43912</v>
      </c>
      <c r="B216" t="str">
        <f>"SH20017050"</f>
        <v>SH20017050</v>
      </c>
      <c r="C216" t="str">
        <f>"IMHSP9655"</f>
        <v>IMHSP9655</v>
      </c>
      <c r="D216" t="str">
        <f>"PLATE WELL 96(WHITE)50EA/BOX-HSP9655"</f>
        <v>PLATE WELL 96(WHITE)50EA/BOX-HSP9655</v>
      </c>
      <c r="E216" t="str">
        <f>"200163"</f>
        <v>200163</v>
      </c>
      <c r="F216" t="str">
        <f>"ד""ר ריטה ברנשטיין - בי""ח קפלן"</f>
        <v>ד"ר ריטה ברנשטיין - בי"ח קפלן</v>
      </c>
      <c r="G216" t="str">
        <f>"22100"</f>
        <v>22100</v>
      </c>
      <c r="H216" t="str">
        <f>"שרותי בריאות כללית-מנהל אספקה"</f>
        <v>שרותי בריאות כללית-מנהל אספקה</v>
      </c>
      <c r="I216" t="str">
        <f>"22100"</f>
        <v>22100</v>
      </c>
      <c r="J216" t="str">
        <f>"שרותי בריאות כללית-מנהל אספקה"</f>
        <v>שרותי בריאות כללית-מנהל אספקה</v>
      </c>
      <c r="L216" t="str">
        <f>"N"</f>
        <v>N</v>
      </c>
      <c r="M216" t="str">
        <f>"IMPORT"</f>
        <v>IMPORT</v>
      </c>
      <c r="N216" t="str">
        <f>"SO20015570"</f>
        <v>SO20015570</v>
      </c>
      <c r="P216">
        <v>357</v>
      </c>
      <c r="Q216">
        <v>1</v>
      </c>
      <c r="R216" s="2">
        <v>1284.1289999999999</v>
      </c>
      <c r="S216">
        <v>357</v>
      </c>
    </row>
    <row r="217" spans="1:19" x14ac:dyDescent="0.2">
      <c r="A217" s="1">
        <v>43912</v>
      </c>
      <c r="B217" t="str">
        <f>"SH20017050"</f>
        <v>SH20017050</v>
      </c>
      <c r="C217" t="str">
        <f>"IMTCS0803"</f>
        <v>IMTCS0803</v>
      </c>
      <c r="D217" t="str">
        <f>"OPTICAL FLAT CAPS FOR 0.2ML 120X8"</f>
        <v>OPTICAL FLAT CAPS FOR 0.2ML 120X8</v>
      </c>
      <c r="E217" t="str">
        <f>"200163"</f>
        <v>200163</v>
      </c>
      <c r="F217" t="str">
        <f>"ד""ר ריטה ברנשטיין - בי""ח קפלן"</f>
        <v>ד"ר ריטה ברנשטיין - בי"ח קפלן</v>
      </c>
      <c r="G217" t="str">
        <f>"22100"</f>
        <v>22100</v>
      </c>
      <c r="H217" t="str">
        <f>"שרותי בריאות כללית-מנהל אספקה"</f>
        <v>שרותי בריאות כללית-מנהל אספקה</v>
      </c>
      <c r="I217" t="str">
        <f>"22100"</f>
        <v>22100</v>
      </c>
      <c r="J217" t="str">
        <f>"שרותי בריאות כללית-מנהל אספקה"</f>
        <v>שרותי בריאות כללית-מנהל אספקה</v>
      </c>
      <c r="L217" t="str">
        <f>"N"</f>
        <v>N</v>
      </c>
      <c r="M217" t="str">
        <f>"IMPORT"</f>
        <v>IMPORT</v>
      </c>
      <c r="N217" t="str">
        <f>"SO20015570"</f>
        <v>SO20015570</v>
      </c>
      <c r="P217">
        <v>62</v>
      </c>
      <c r="Q217">
        <v>1</v>
      </c>
      <c r="R217">
        <v>223.01400000000001</v>
      </c>
      <c r="S217">
        <v>62</v>
      </c>
    </row>
    <row r="218" spans="1:19" x14ac:dyDescent="0.2">
      <c r="A218" s="1">
        <v>43912</v>
      </c>
      <c r="B218" t="str">
        <f>"SH20017052"</f>
        <v>SH20017052</v>
      </c>
      <c r="C218" t="str">
        <f>"IMRP10243X"</f>
        <v>IMRP10243X</v>
      </c>
      <c r="D218" t="str">
        <f>"Allplex 2019-nCoV 100T - RP10243X"</f>
        <v>Allplex 2019-nCoV 100T - RP10243X</v>
      </c>
      <c r="E218" t="str">
        <f>"201201"</f>
        <v>201201</v>
      </c>
      <c r="F218" t="str">
        <f>"כללית נשר בקטריולוגית - חיפה"</f>
        <v>כללית נשר בקטריולוגית - חיפה</v>
      </c>
      <c r="G218" t="str">
        <f>"22100"</f>
        <v>22100</v>
      </c>
      <c r="H218" t="str">
        <f>"שרותי בריאות כללית-מנהל אספקה"</f>
        <v>שרותי בריאות כללית-מנהל אספקה</v>
      </c>
      <c r="I218" t="str">
        <f>"22100"</f>
        <v>22100</v>
      </c>
      <c r="J218" t="str">
        <f>"שרותי בריאות כללית-מנהל אספקה"</f>
        <v>שרותי בריאות כללית-מנהל אספקה</v>
      </c>
      <c r="L218" t="str">
        <f>"N"</f>
        <v>N</v>
      </c>
      <c r="M218" t="str">
        <f>"IMPORT"</f>
        <v>IMPORT</v>
      </c>
      <c r="N218" t="str">
        <f>"SO20015574"</f>
        <v>SO20015574</v>
      </c>
      <c r="P218">
        <v>700</v>
      </c>
      <c r="Q218">
        <v>10</v>
      </c>
      <c r="R218" s="2">
        <v>25179</v>
      </c>
      <c r="S218" s="2">
        <v>7000</v>
      </c>
    </row>
    <row r="219" spans="1:19" x14ac:dyDescent="0.2">
      <c r="A219" s="1">
        <v>43912</v>
      </c>
      <c r="B219" t="str">
        <f>"SH20017065"</f>
        <v>SH20017065</v>
      </c>
      <c r="C219" t="str">
        <f>"IMHSP9655"</f>
        <v>IMHSP9655</v>
      </c>
      <c r="D219" t="str">
        <f>"PLATE WELL 96(WHITE)50EA/BOX-HSP9655"</f>
        <v>PLATE WELL 96(WHITE)50EA/BOX-HSP9655</v>
      </c>
      <c r="E219" t="str">
        <f>"27504"</f>
        <v>27504</v>
      </c>
      <c r="F219" t="str">
        <f>"ד""ר פייטן יוסף - בי""ח מאיר"</f>
        <v>ד"ר פייטן יוסף - בי"ח מאיר</v>
      </c>
      <c r="G219" t="str">
        <f>"22100"</f>
        <v>22100</v>
      </c>
      <c r="H219" t="str">
        <f>"שרותי בריאות כללית-מנהל אספקה"</f>
        <v>שרותי בריאות כללית-מנהל אספקה</v>
      </c>
      <c r="I219" t="str">
        <f>"22100"</f>
        <v>22100</v>
      </c>
      <c r="J219" t="str">
        <f>"שרותי בריאות כללית-מנהל אספקה"</f>
        <v>שרותי בריאות כללית-מנהל אספקה</v>
      </c>
      <c r="L219" t="str">
        <f>"N"</f>
        <v>N</v>
      </c>
      <c r="M219" t="str">
        <f>"IMPORT"</f>
        <v>IMPORT</v>
      </c>
      <c r="N219" t="str">
        <f>"SO20015597"</f>
        <v>SO20015597</v>
      </c>
      <c r="P219">
        <v>357</v>
      </c>
      <c r="Q219">
        <v>1</v>
      </c>
      <c r="R219" s="2">
        <v>1284.1289999999999</v>
      </c>
      <c r="S219">
        <v>357</v>
      </c>
    </row>
    <row r="220" spans="1:19" x14ac:dyDescent="0.2">
      <c r="A220" s="1">
        <v>43912</v>
      </c>
      <c r="B220" t="str">
        <f>"SH20017068"</f>
        <v>SH20017068</v>
      </c>
      <c r="C220" t="str">
        <f>"IMTCS0803"</f>
        <v>IMTCS0803</v>
      </c>
      <c r="D220" t="str">
        <f>"OPTICAL FLAT CAPS FOR 0.2ML 120X8"</f>
        <v>OPTICAL FLAT CAPS FOR 0.2ML 120X8</v>
      </c>
      <c r="E220" t="str">
        <f>"200846"</f>
        <v>200846</v>
      </c>
      <c r="F220" t="str">
        <f>"ד""ר אורנה שוורץ הררי - בי""ח וולפסון"</f>
        <v>ד"ר אורנה שוורץ הררי - בי"ח וולפסון</v>
      </c>
      <c r="G220" t="str">
        <f>"21110"</f>
        <v>21110</v>
      </c>
      <c r="H220" t="str">
        <f>"מרכז רפואי וולפסון בחולון"</f>
        <v>מרכז רפואי וולפסון בחולון</v>
      </c>
      <c r="I220" t="str">
        <f>"27027"</f>
        <v>27027</v>
      </c>
      <c r="J220" t="str">
        <f>"שראל-פתרונות לוגיסטיים ומוצרים"</f>
        <v>שראל-פתרונות לוגיסטיים ומוצרים</v>
      </c>
      <c r="L220" t="str">
        <f>"N"</f>
        <v>N</v>
      </c>
      <c r="M220" t="str">
        <f>"IMPORT"</f>
        <v>IMPORT</v>
      </c>
      <c r="N220" t="str">
        <f>"SO20015590"</f>
        <v>SO20015590</v>
      </c>
      <c r="P220">
        <v>83</v>
      </c>
      <c r="Q220">
        <v>1</v>
      </c>
      <c r="R220">
        <v>298.55099999999999</v>
      </c>
      <c r="S220">
        <v>83</v>
      </c>
    </row>
    <row r="221" spans="1:19" x14ac:dyDescent="0.2">
      <c r="A221" s="1">
        <v>43913</v>
      </c>
      <c r="B221" t="str">
        <f>"SH20017079"</f>
        <v>SH20017079</v>
      </c>
      <c r="C221" t="str">
        <f>"IM7443004U"</f>
        <v>IM7443004U</v>
      </c>
      <c r="D221" t="str">
        <f>"STARMAG 96*4 UNIVERSAL -744300.4.UC384"</f>
        <v>STARMAG 96*4 UNIVERSAL -744300.4.UC384</v>
      </c>
      <c r="E221" t="str">
        <f>"200175"</f>
        <v>200175</v>
      </c>
      <c r="F221" t="str">
        <f>"פרוזנין ירושלים קופ""ח כללית"</f>
        <v>פרוזנין ירושלים קופ"ח כללית</v>
      </c>
      <c r="G221" t="str">
        <f>"22100"</f>
        <v>22100</v>
      </c>
      <c r="H221" t="str">
        <f>"שרותי בריאות כללית-מנהל אספקה"</f>
        <v>שרותי בריאות כללית-מנהל אספקה</v>
      </c>
      <c r="I221" t="str">
        <f>"22100"</f>
        <v>22100</v>
      </c>
      <c r="J221" t="str">
        <f>"שרותי בריאות כללית-מנהל אספקה"</f>
        <v>שרותי בריאות כללית-מנהל אספקה</v>
      </c>
      <c r="L221" t="str">
        <f>"N"</f>
        <v>N</v>
      </c>
      <c r="M221" t="str">
        <f>"IMPORT"</f>
        <v>IMPORT</v>
      </c>
      <c r="N221" t="str">
        <f>"SO20015602"</f>
        <v>SO20015602</v>
      </c>
      <c r="P221" s="2">
        <v>1006.8</v>
      </c>
      <c r="Q221">
        <v>10</v>
      </c>
      <c r="R221" s="2">
        <v>36214.595999999998</v>
      </c>
      <c r="S221" s="2">
        <v>9793.022174148</v>
      </c>
    </row>
    <row r="222" spans="1:19" x14ac:dyDescent="0.2">
      <c r="A222" s="1">
        <v>43913</v>
      </c>
      <c r="B222" t="str">
        <f>"SH20017095"</f>
        <v>SH20017095</v>
      </c>
      <c r="C222" t="str">
        <f>"IM235905"</f>
        <v>IM235905</v>
      </c>
      <c r="D222" t="str">
        <f>"HIGH VOLUME TIPS(1000UL)- 235905"</f>
        <v>HIGH VOLUME TIPS(1000UL)- 235905</v>
      </c>
      <c r="E222" t="str">
        <f>"200737"</f>
        <v>200737</v>
      </c>
      <c r="F222" t="str">
        <f>"ד""ר חיים בן צבי - בי""ח בלינסון"</f>
        <v>ד"ר חיים בן צבי - בי"ח בלינסון</v>
      </c>
      <c r="G222" t="str">
        <f>"22100"</f>
        <v>22100</v>
      </c>
      <c r="H222" t="str">
        <f>"שרותי בריאות כללית-מנהל אספקה"</f>
        <v>שרותי בריאות כללית-מנהל אספקה</v>
      </c>
      <c r="I222" t="str">
        <f>"22100"</f>
        <v>22100</v>
      </c>
      <c r="J222" t="str">
        <f>"שרותי בריאות כללית-מנהל אספקה"</f>
        <v>שרותי בריאות כללית-מנהל אספקה</v>
      </c>
      <c r="L222" t="str">
        <f>"N"</f>
        <v>N</v>
      </c>
      <c r="M222" t="str">
        <f>"IMPORT"</f>
        <v>IMPORT</v>
      </c>
      <c r="N222" t="str">
        <f>"SO20015029"</f>
        <v>SO20015029</v>
      </c>
      <c r="P222">
        <v>594</v>
      </c>
      <c r="Q222">
        <v>6</v>
      </c>
      <c r="R222" s="2">
        <v>12819.708000000001</v>
      </c>
      <c r="S222" s="2">
        <v>3466.659816117</v>
      </c>
    </row>
    <row r="223" spans="1:19" x14ac:dyDescent="0.2">
      <c r="A223" s="1">
        <v>43913</v>
      </c>
      <c r="B223" t="str">
        <f>"SH20017095"</f>
        <v>SH20017095</v>
      </c>
      <c r="C223" t="str">
        <f>"IM7443004U"</f>
        <v>IM7443004U</v>
      </c>
      <c r="D223" t="str">
        <f>"STARMAG 96*4 UNIVERSAL -744300.4.UC384"</f>
        <v>STARMAG 96*4 UNIVERSAL -744300.4.UC384</v>
      </c>
      <c r="E223" t="str">
        <f>"200737"</f>
        <v>200737</v>
      </c>
      <c r="F223" t="str">
        <f>"ד""ר חיים בן צבי - בי""ח בלינסון"</f>
        <v>ד"ר חיים בן צבי - בי"ח בלינסון</v>
      </c>
      <c r="G223" t="str">
        <f>"22100"</f>
        <v>22100</v>
      </c>
      <c r="H223" t="str">
        <f>"שרותי בריאות כללית-מנהל אספקה"</f>
        <v>שרותי בריאות כללית-מנהל אספקה</v>
      </c>
      <c r="I223" t="str">
        <f>"22100"</f>
        <v>22100</v>
      </c>
      <c r="J223" t="str">
        <f>"שרותי בריאות כללית-מנהל אספקה"</f>
        <v>שרותי בריאות כללית-מנהל אספקה</v>
      </c>
      <c r="L223" t="str">
        <f>"N"</f>
        <v>N</v>
      </c>
      <c r="M223" t="str">
        <f>"IMPORT"</f>
        <v>IMPORT</v>
      </c>
      <c r="N223" t="str">
        <f>"SO20015029"</f>
        <v>SO20015029</v>
      </c>
      <c r="P223" s="2">
        <v>1006.8</v>
      </c>
      <c r="Q223">
        <v>5</v>
      </c>
      <c r="R223" s="2">
        <v>18107.297999999999</v>
      </c>
      <c r="S223" s="2">
        <v>4896.511087074</v>
      </c>
    </row>
    <row r="224" spans="1:19" x14ac:dyDescent="0.2">
      <c r="A224" s="1">
        <v>43913</v>
      </c>
      <c r="B224" t="str">
        <f>"SH20017095"</f>
        <v>SH20017095</v>
      </c>
      <c r="C224" t="str">
        <f>"IMSDP0096"</f>
        <v>IMSDP0096</v>
      </c>
      <c r="D224" t="str">
        <f>"NIMBUS-96 DEEP WELL MICRO PLATE SDP0096"</f>
        <v>NIMBUS-96 DEEP WELL MICRO PLATE SDP0096</v>
      </c>
      <c r="E224" t="str">
        <f>"200737"</f>
        <v>200737</v>
      </c>
      <c r="F224" t="str">
        <f>"ד""ר חיים בן צבי - בי""ח בלינסון"</f>
        <v>ד"ר חיים בן צבי - בי"ח בלינסון</v>
      </c>
      <c r="G224" t="str">
        <f>"22100"</f>
        <v>22100</v>
      </c>
      <c r="H224" t="str">
        <f>"שרותי בריאות כללית-מנהל אספקה"</f>
        <v>שרותי בריאות כללית-מנהל אספקה</v>
      </c>
      <c r="I224" t="str">
        <f>"22100"</f>
        <v>22100</v>
      </c>
      <c r="J224" t="str">
        <f>"שרותי בריאות כללית-מנהל אספקה"</f>
        <v>שרותי בריאות כללית-מנהל אספקה</v>
      </c>
      <c r="L224" t="str">
        <f>"N"</f>
        <v>N</v>
      </c>
      <c r="M224" t="str">
        <f>"IMPORT"</f>
        <v>IMPORT</v>
      </c>
      <c r="N224" t="str">
        <f>"SO20015029"</f>
        <v>SO20015029</v>
      </c>
      <c r="P224">
        <v>384</v>
      </c>
      <c r="Q224">
        <v>1</v>
      </c>
      <c r="R224" s="2">
        <v>1381.248</v>
      </c>
      <c r="S224">
        <v>373.51216873999999</v>
      </c>
    </row>
    <row r="225" spans="1:19" x14ac:dyDescent="0.2">
      <c r="A225" s="1">
        <v>43913</v>
      </c>
      <c r="B225" t="str">
        <f>"SH20017096"</f>
        <v>SH20017096</v>
      </c>
      <c r="C225" t="str">
        <f>"IMRP10243X"</f>
        <v>IMRP10243X</v>
      </c>
      <c r="D225" t="str">
        <f>"Allplex 2019-nCoV 100T - RP10243X"</f>
        <v>Allplex 2019-nCoV 100T - RP10243X</v>
      </c>
      <c r="E225" t="str">
        <f>"27027"</f>
        <v>27027</v>
      </c>
      <c r="F225" t="str">
        <f>"שראל-פתרונות לוגיסטיים ומוצרים"</f>
        <v>שראל-פתרונות לוגיסטיים ומוצרים</v>
      </c>
      <c r="K225" t="str">
        <f>"ד""ר ציפורה לזרוביץ - אסף הרופא"</f>
        <v>ד"ר ציפורה לזרוביץ - אסף הרופא</v>
      </c>
      <c r="L225" t="str">
        <f>"Y"</f>
        <v>Y</v>
      </c>
      <c r="M225" t="str">
        <f>"IMPORT"</f>
        <v>IMPORT</v>
      </c>
      <c r="N225" t="str">
        <f>"SO20015631"</f>
        <v>SO20015631</v>
      </c>
      <c r="P225">
        <v>679</v>
      </c>
      <c r="Q225">
        <v>4</v>
      </c>
      <c r="R225" s="2">
        <v>9769.4519999999993</v>
      </c>
      <c r="S225" s="2">
        <v>2641.820443483</v>
      </c>
    </row>
    <row r="226" spans="1:19" x14ac:dyDescent="0.2">
      <c r="A226" s="1">
        <v>43913</v>
      </c>
      <c r="B226" t="str">
        <f>"SH20017097"</f>
        <v>SH20017097</v>
      </c>
      <c r="C226" t="str">
        <f>"IMRP10243X"</f>
        <v>IMRP10243X</v>
      </c>
      <c r="D226" t="str">
        <f>"Allplex 2019-nCoV 100T - RP10243X"</f>
        <v>Allplex 2019-nCoV 100T - RP10243X</v>
      </c>
      <c r="E226" t="str">
        <f>"27027"</f>
        <v>27027</v>
      </c>
      <c r="F226" t="str">
        <f>"שראל-פתרונות לוגיסטיים ומוצרים"</f>
        <v>שראל-פתרונות לוגיסטיים ומוצרים</v>
      </c>
      <c r="K226" t="str">
        <f>"ד""ר הילה בן עמרם - בי""ח זיו צפת"</f>
        <v>ד"ר הילה בן עמרם - בי"ח זיו צפת</v>
      </c>
      <c r="L226" t="str">
        <f>"Y"</f>
        <v>Y</v>
      </c>
      <c r="M226" t="str">
        <f>"IMPORT"</f>
        <v>IMPORT</v>
      </c>
      <c r="N226" t="str">
        <f>"SO20015630"</f>
        <v>SO20015630</v>
      </c>
      <c r="P226">
        <v>679</v>
      </c>
      <c r="Q226">
        <v>3</v>
      </c>
      <c r="R226" s="2">
        <v>7327.0889999999999</v>
      </c>
      <c r="S226" s="2">
        <v>1981.365332612</v>
      </c>
    </row>
    <row r="227" spans="1:19" x14ac:dyDescent="0.2">
      <c r="A227" s="1">
        <v>43913</v>
      </c>
      <c r="B227" t="str">
        <f>"SH20017101"</f>
        <v>SH20017101</v>
      </c>
      <c r="C227" t="str">
        <f>"IM235905"</f>
        <v>IM235905</v>
      </c>
      <c r="D227" t="str">
        <f>"HIGH VOLUME TIPS(1000UL)- 235905"</f>
        <v>HIGH VOLUME TIPS(1000UL)- 235905</v>
      </c>
      <c r="E227" t="str">
        <f>"27027"</f>
        <v>27027</v>
      </c>
      <c r="F227" t="str">
        <f>"שראל-פתרונות לוגיסטיים ומוצרים"</f>
        <v>שראל-פתרונות לוגיסטיים ומוצרים</v>
      </c>
      <c r="K227" t="str">
        <f>"ד""ר אורית טרייגרמן - מאוחדת"</f>
        <v>ד"ר אורית טרייגרמן - מאוחדת</v>
      </c>
      <c r="L227" t="str">
        <f>"Y"</f>
        <v>Y</v>
      </c>
      <c r="M227" t="str">
        <f>"IMPORT"</f>
        <v>IMPORT</v>
      </c>
      <c r="N227" t="str">
        <f>"SO20015367"</f>
        <v>SO20015367</v>
      </c>
      <c r="P227">
        <v>700.34</v>
      </c>
      <c r="Q227">
        <v>2</v>
      </c>
      <c r="R227" s="2">
        <v>5038.2459600000002</v>
      </c>
      <c r="S227" s="2">
        <v>1362.4245429959999</v>
      </c>
    </row>
    <row r="228" spans="1:19" x14ac:dyDescent="0.2">
      <c r="A228" s="1">
        <v>43913</v>
      </c>
      <c r="B228" t="str">
        <f>"SH20017101"</f>
        <v>SH20017101</v>
      </c>
      <c r="C228" t="str">
        <f>"IM7443004U"</f>
        <v>IM7443004U</v>
      </c>
      <c r="D228" t="str">
        <f>"STARMAG 96*4 UNIVERSAL -744300.4.UC384"</f>
        <v>STARMAG 96*4 UNIVERSAL -744300.4.UC384</v>
      </c>
      <c r="E228" t="str">
        <f>"27027"</f>
        <v>27027</v>
      </c>
      <c r="F228" t="str">
        <f>"שראל-פתרונות לוגיסטיים ומוצרים"</f>
        <v>שראל-פתרונות לוגיסטיים ומוצרים</v>
      </c>
      <c r="K228" t="str">
        <f>"ד""ר אורית טרייגרמן - מאוחדת"</f>
        <v>ד"ר אורית טרייגרמן - מאוחדת</v>
      </c>
      <c r="L228" t="str">
        <f>"Y"</f>
        <v>Y</v>
      </c>
      <c r="M228" t="str">
        <f>"IMPORT"</f>
        <v>IMPORT</v>
      </c>
      <c r="N228" t="str">
        <f>"SO20015367"</f>
        <v>SO20015367</v>
      </c>
      <c r="P228" s="2">
        <v>1045.6600000000001</v>
      </c>
      <c r="Q228">
        <v>3</v>
      </c>
      <c r="R228" s="2">
        <v>11283.717060000001</v>
      </c>
      <c r="S228" s="2">
        <v>3051.3026122229999</v>
      </c>
    </row>
    <row r="229" spans="1:19" x14ac:dyDescent="0.2">
      <c r="A229" s="1">
        <v>43913</v>
      </c>
      <c r="B229" t="str">
        <f>"SH20017111"</f>
        <v>SH20017111</v>
      </c>
      <c r="C229" t="str">
        <f>"IM235905"</f>
        <v>IM235905</v>
      </c>
      <c r="D229" t="str">
        <f>"HIGH VOLUME TIPS(1000UL)- 235905"</f>
        <v>HIGH VOLUME TIPS(1000UL)- 235905</v>
      </c>
      <c r="E229" t="str">
        <f>"200893"</f>
        <v>200893</v>
      </c>
      <c r="F229" t="str">
        <f>"ד""ר שרון עמית - בי""ח תה""ש"</f>
        <v>ד"ר שרון עמית - בי"ח תה"ש</v>
      </c>
      <c r="G229" t="str">
        <f>"21133"</f>
        <v>21133</v>
      </c>
      <c r="H229" t="str">
        <f>"מרכז רפואי שיבא- תל השומר רכש ריאגנטים"</f>
        <v>מרכז רפואי שיבא- תל השומר רכש ריאגנטים</v>
      </c>
      <c r="I229" t="str">
        <f>"21133"</f>
        <v>21133</v>
      </c>
      <c r="J229" t="str">
        <f>"מרכז רפואי שיבא- תל השומר רכש ריאגנטים"</f>
        <v>מרכז רפואי שיבא- תל השומר רכש ריאגנטים</v>
      </c>
      <c r="L229" t="str">
        <f>"N"</f>
        <v>N</v>
      </c>
      <c r="M229" t="str">
        <f>"IMPORT"</f>
        <v>IMPORT</v>
      </c>
      <c r="N229" t="str">
        <f>"SO20015655"</f>
        <v>SO20015655</v>
      </c>
      <c r="P229">
        <v>700</v>
      </c>
      <c r="Q229">
        <v>2</v>
      </c>
      <c r="R229" s="2">
        <v>5035.8</v>
      </c>
      <c r="S229" s="2">
        <v>1361.7631151969999</v>
      </c>
    </row>
    <row r="230" spans="1:19" x14ac:dyDescent="0.2">
      <c r="A230" s="1">
        <v>43913</v>
      </c>
      <c r="B230" t="str">
        <f>"SH20017111"</f>
        <v>SH20017111</v>
      </c>
      <c r="C230" t="str">
        <f>"IM7443004U"</f>
        <v>IM7443004U</v>
      </c>
      <c r="D230" t="str">
        <f>"STARMAG 96*4 UNIVERSAL -744300.4.UC384"</f>
        <v>STARMAG 96*4 UNIVERSAL -744300.4.UC384</v>
      </c>
      <c r="E230" t="str">
        <f>"200893"</f>
        <v>200893</v>
      </c>
      <c r="F230" t="str">
        <f>"ד""ר שרון עמית - בי""ח תה""ש"</f>
        <v>ד"ר שרון עמית - בי"ח תה"ש</v>
      </c>
      <c r="G230" t="str">
        <f>"21133"</f>
        <v>21133</v>
      </c>
      <c r="H230" t="str">
        <f>"מרכז רפואי שיבא- תל השומר רכש ריאגנטים"</f>
        <v>מרכז רפואי שיבא- תל השומר רכש ריאגנטים</v>
      </c>
      <c r="I230" t="str">
        <f>"21133"</f>
        <v>21133</v>
      </c>
      <c r="J230" t="str">
        <f>"מרכז רפואי שיבא- תל השומר רכש ריאגנטים"</f>
        <v>מרכז רפואי שיבא- תל השומר רכש ריאגנטים</v>
      </c>
      <c r="L230" t="str">
        <f>"N"</f>
        <v>N</v>
      </c>
      <c r="M230" t="str">
        <f>"IMPORT"</f>
        <v>IMPORT</v>
      </c>
      <c r="N230" t="str">
        <f>"SO20015655"</f>
        <v>SO20015655</v>
      </c>
      <c r="P230" s="2">
        <v>1230</v>
      </c>
      <c r="Q230">
        <v>5</v>
      </c>
      <c r="R230" s="2">
        <v>18803.317500000001</v>
      </c>
      <c r="S230" s="2">
        <v>5084.7262033529996</v>
      </c>
    </row>
    <row r="231" spans="1:19" x14ac:dyDescent="0.2">
      <c r="A231" s="1">
        <v>43913</v>
      </c>
      <c r="B231" t="str">
        <f>"SH20017118"</f>
        <v>SH20017118</v>
      </c>
      <c r="C231" t="str">
        <f>"IM235905"</f>
        <v>IM235905</v>
      </c>
      <c r="D231" t="str">
        <f>"HIGH VOLUME TIPS(1000UL)- 235905"</f>
        <v>HIGH VOLUME TIPS(1000UL)- 235905</v>
      </c>
      <c r="E231" t="str">
        <f>"27504"</f>
        <v>27504</v>
      </c>
      <c r="F231" t="str">
        <f>"ד""ר פייטן יוסף - בי""ח מאיר"</f>
        <v>ד"ר פייטן יוסף - בי"ח מאיר</v>
      </c>
      <c r="G231" t="str">
        <f>"22100"</f>
        <v>22100</v>
      </c>
      <c r="H231" t="str">
        <f>"שרותי בריאות כללית-מנהל אספקה"</f>
        <v>שרותי בריאות כללית-מנהל אספקה</v>
      </c>
      <c r="I231" t="str">
        <f>"22100"</f>
        <v>22100</v>
      </c>
      <c r="J231" t="str">
        <f>"שרותי בריאות כללית-מנהל אספקה"</f>
        <v>שרותי בריאות כללית-מנהל אספקה</v>
      </c>
      <c r="L231" t="str">
        <f>"N"</f>
        <v>N</v>
      </c>
      <c r="M231" t="str">
        <f>"IMPORT"</f>
        <v>IMPORT</v>
      </c>
      <c r="N231" t="str">
        <f>"SO20015365"</f>
        <v>SO20015365</v>
      </c>
      <c r="P231">
        <v>594</v>
      </c>
      <c r="Q231">
        <v>1</v>
      </c>
      <c r="R231" s="2">
        <v>2136.6179999999999</v>
      </c>
      <c r="S231">
        <v>577.77663601899997</v>
      </c>
    </row>
    <row r="232" spans="1:19" x14ac:dyDescent="0.2">
      <c r="A232" s="1">
        <v>43913</v>
      </c>
      <c r="B232" t="str">
        <f>"SH20017118"</f>
        <v>SH20017118</v>
      </c>
      <c r="C232" t="str">
        <f>"IM7443004U"</f>
        <v>IM7443004U</v>
      </c>
      <c r="D232" t="str">
        <f>"STARMAG 96*4 UNIVERSAL -744300.4.UC384"</f>
        <v>STARMAG 96*4 UNIVERSAL -744300.4.UC384</v>
      </c>
      <c r="E232" t="str">
        <f>"27504"</f>
        <v>27504</v>
      </c>
      <c r="F232" t="str">
        <f>"ד""ר פייטן יוסף - בי""ח מאיר"</f>
        <v>ד"ר פייטן יוסף - בי"ח מאיר</v>
      </c>
      <c r="G232" t="str">
        <f>"22100"</f>
        <v>22100</v>
      </c>
      <c r="H232" t="str">
        <f>"שרותי בריאות כללית-מנהל אספקה"</f>
        <v>שרותי בריאות כללית-מנהל אספקה</v>
      </c>
      <c r="I232" t="str">
        <f>"22100"</f>
        <v>22100</v>
      </c>
      <c r="J232" t="str">
        <f>"שרותי בריאות כללית-מנהל אספקה"</f>
        <v>שרותי בריאות כללית-מנהל אספקה</v>
      </c>
      <c r="L232" t="str">
        <f>"N"</f>
        <v>N</v>
      </c>
      <c r="M232" t="str">
        <f>"IMPORT"</f>
        <v>IMPORT</v>
      </c>
      <c r="N232" t="str">
        <f>"SO20015365"</f>
        <v>SO20015365</v>
      </c>
      <c r="P232" s="2">
        <v>1006.8</v>
      </c>
      <c r="Q232">
        <v>2</v>
      </c>
      <c r="R232" s="2">
        <v>7242.9192000000003</v>
      </c>
      <c r="S232" s="2">
        <v>1958.6044348299999</v>
      </c>
    </row>
    <row r="233" spans="1:19" x14ac:dyDescent="0.2">
      <c r="A233" s="1">
        <v>43913</v>
      </c>
      <c r="B233" t="str">
        <f>"SH20017120"</f>
        <v>SH20017120</v>
      </c>
      <c r="C233" t="str">
        <f>"IM7443004U"</f>
        <v>IM7443004U</v>
      </c>
      <c r="D233" t="str">
        <f>"STARMAG 96*4 UNIVERSAL -744300.4.UC384"</f>
        <v>STARMAG 96*4 UNIVERSAL -744300.4.UC384</v>
      </c>
      <c r="E233" t="str">
        <f>"200163"</f>
        <v>200163</v>
      </c>
      <c r="F233" t="str">
        <f>"ד""ר ריטה ברנשטיין - בי""ח קפלן"</f>
        <v>ד"ר ריטה ברנשטיין - בי"ח קפלן</v>
      </c>
      <c r="G233" t="str">
        <f>"22100"</f>
        <v>22100</v>
      </c>
      <c r="H233" t="str">
        <f>"שרותי בריאות כללית-מנהל אספקה"</f>
        <v>שרותי בריאות כללית-מנהל אספקה</v>
      </c>
      <c r="I233" t="str">
        <f>"22100"</f>
        <v>22100</v>
      </c>
      <c r="J233" t="str">
        <f>"שרותי בריאות כללית-מנהל אספקה"</f>
        <v>שרותי בריאות כללית-מנהל אספקה</v>
      </c>
      <c r="L233" t="str">
        <f>"N"</f>
        <v>N</v>
      </c>
      <c r="M233" t="str">
        <f>"IMPORT"</f>
        <v>IMPORT</v>
      </c>
      <c r="N233" t="str">
        <f>"SO20015570"</f>
        <v>SO20015570</v>
      </c>
      <c r="P233" s="2">
        <v>1006.8</v>
      </c>
      <c r="Q233">
        <v>7</v>
      </c>
      <c r="R233" s="2">
        <v>25350.217199999999</v>
      </c>
      <c r="S233" s="2">
        <v>6855.1155219040002</v>
      </c>
    </row>
    <row r="234" spans="1:19" x14ac:dyDescent="0.2">
      <c r="A234" s="1">
        <v>43913</v>
      </c>
      <c r="B234" t="str">
        <f>"SH20017122"</f>
        <v>SH20017122</v>
      </c>
      <c r="C234" t="str">
        <f>"IMRP10243X"</f>
        <v>IMRP10243X</v>
      </c>
      <c r="D234" t="str">
        <f>"Allplex 2019-nCoV 100T - RP10243X"</f>
        <v>Allplex 2019-nCoV 100T - RP10243X</v>
      </c>
      <c r="E234" t="str">
        <f>"27027"</f>
        <v>27027</v>
      </c>
      <c r="F234" t="str">
        <f>"שראל-פתרונות לוגיסטיים ומוצרים"</f>
        <v>שראל-פתרונות לוגיסטיים ומוצרים</v>
      </c>
      <c r="K234" t="str">
        <f>"ד""ר סרוגו יצחק - בי""ח בני ציון"</f>
        <v>ד"ר סרוגו יצחק - בי"ח בני ציון</v>
      </c>
      <c r="L234" t="str">
        <f>"Y"</f>
        <v>Y</v>
      </c>
      <c r="M234" t="str">
        <f>"IMPORT"</f>
        <v>IMPORT</v>
      </c>
      <c r="N234" t="str">
        <f>"SO20015679"</f>
        <v>SO20015679</v>
      </c>
      <c r="P234">
        <v>679</v>
      </c>
      <c r="Q234">
        <v>4</v>
      </c>
      <c r="R234" s="2">
        <v>9769.4519999999993</v>
      </c>
      <c r="S234" s="2">
        <v>2641.820443483</v>
      </c>
    </row>
    <row r="235" spans="1:19" x14ac:dyDescent="0.2">
      <c r="A235" s="1">
        <v>43913</v>
      </c>
      <c r="B235" t="str">
        <f>"SH20017125"</f>
        <v>SH20017125</v>
      </c>
      <c r="C235" t="str">
        <f>"IMRP10243X"</f>
        <v>IMRP10243X</v>
      </c>
      <c r="D235" t="str">
        <f>"Allplex 2019-nCoV 100T - RP10243X"</f>
        <v>Allplex 2019-nCoV 100T - RP10243X</v>
      </c>
      <c r="E235" t="str">
        <f>"27027"</f>
        <v>27027</v>
      </c>
      <c r="F235" t="str">
        <f>"שראל-פתרונות לוגיסטיים ומוצרים"</f>
        <v>שראל-פתרונות לוגיסטיים ומוצרים</v>
      </c>
      <c r="K235" t="str">
        <f>"ד""ר עמוס אדלר - בי""ח איכילוב"</f>
        <v>ד"ר עמוס אדלר - בי"ח איכילוב</v>
      </c>
      <c r="L235" t="str">
        <f>"Y"</f>
        <v>Y</v>
      </c>
      <c r="M235" t="str">
        <f>"IMPORT"</f>
        <v>IMPORT</v>
      </c>
      <c r="N235" t="str">
        <f>"SO20015645"</f>
        <v>SO20015645</v>
      </c>
      <c r="P235">
        <v>679</v>
      </c>
      <c r="Q235">
        <v>10</v>
      </c>
      <c r="R235" s="2">
        <v>24423.63</v>
      </c>
      <c r="S235" s="2">
        <v>6604.5511087069999</v>
      </c>
    </row>
    <row r="236" spans="1:19" x14ac:dyDescent="0.2">
      <c r="A236" s="1">
        <v>43913</v>
      </c>
      <c r="B236" t="str">
        <f>"SH20017153"</f>
        <v>SH20017153</v>
      </c>
      <c r="C236" t="str">
        <f>"TTS238"</f>
        <v>TTS238</v>
      </c>
      <c r="D236" t="str">
        <f>"מבחנה PP תחתית עגולה 75*12מ""מ לא סטרילי-BN059-P"</f>
        <v>מבחנה PP תחתית עגולה 75*12מ"מ לא סטרילי-BN059-P</v>
      </c>
      <c r="E236" t="str">
        <f>"200163"</f>
        <v>200163</v>
      </c>
      <c r="F236" t="str">
        <f>"ד""ר ריטה ברנשטיין - בי""ח קפלן"</f>
        <v>ד"ר ריטה ברנשטיין - בי"ח קפלן</v>
      </c>
      <c r="G236" t="str">
        <f>"22100"</f>
        <v>22100</v>
      </c>
      <c r="H236" t="str">
        <f>"שרותי בריאות כללית-מנהל אספקה"</f>
        <v>שרותי בריאות כללית-מנהל אספקה</v>
      </c>
      <c r="I236" t="str">
        <f>"22100"</f>
        <v>22100</v>
      </c>
      <c r="J236" t="str">
        <f>"שרותי בריאות כללית-מנהל אספקה"</f>
        <v>שרותי בריאות כללית-מנהל אספקה</v>
      </c>
      <c r="L236" t="str">
        <f>"N"</f>
        <v>N</v>
      </c>
      <c r="M236" t="str">
        <f>"UI"</f>
        <v>UI</v>
      </c>
      <c r="N236" t="str">
        <f>"SO20015572"</f>
        <v>SO20015572</v>
      </c>
      <c r="P236">
        <v>0.04</v>
      </c>
      <c r="Q236" s="2">
        <v>3000</v>
      </c>
      <c r="R236">
        <v>431.64</v>
      </c>
      <c r="S236">
        <v>116.72255273099999</v>
      </c>
    </row>
    <row r="237" spans="1:19" x14ac:dyDescent="0.2">
      <c r="A237" s="1">
        <v>43913</v>
      </c>
      <c r="B237" t="str">
        <f>"SH20017159"</f>
        <v>SH20017159</v>
      </c>
      <c r="C237" t="str">
        <f>"IMRP10243X"</f>
        <v>IMRP10243X</v>
      </c>
      <c r="D237" t="str">
        <f>"Allplex 2019-nCoV 100T - RP10243X"</f>
        <v>Allplex 2019-nCoV 100T - RP10243X</v>
      </c>
      <c r="E237" t="str">
        <f>"25335"</f>
        <v>25335</v>
      </c>
      <c r="F237" t="str">
        <f>"המעבדה המרכזית שרותי בריאות"</f>
        <v>המעבדה המרכזית שרותי בריאות</v>
      </c>
      <c r="G237" t="str">
        <f>"22100"</f>
        <v>22100</v>
      </c>
      <c r="H237" t="str">
        <f>"שרותי בריאות כללית-מנהל אספקה"</f>
        <v>שרותי בריאות כללית-מנהל אספקה</v>
      </c>
      <c r="I237" t="str">
        <f>"22100"</f>
        <v>22100</v>
      </c>
      <c r="J237" t="str">
        <f>"שרותי בריאות כללית-מנהל אספקה"</f>
        <v>שרותי בריאות כללית-מנהל אספקה</v>
      </c>
      <c r="L237" t="str">
        <f>"N"</f>
        <v>N</v>
      </c>
      <c r="M237" t="str">
        <f>"IMPORT"</f>
        <v>IMPORT</v>
      </c>
      <c r="N237" t="str">
        <f>"SO20015733"</f>
        <v>SO20015733</v>
      </c>
      <c r="P237">
        <v>700</v>
      </c>
      <c r="Q237">
        <v>10</v>
      </c>
      <c r="R237" s="2">
        <v>25179</v>
      </c>
      <c r="S237" s="2">
        <v>6808.8155759869996</v>
      </c>
    </row>
    <row r="238" spans="1:19" x14ac:dyDescent="0.2">
      <c r="A238" s="1">
        <v>43913</v>
      </c>
      <c r="B238" t="str">
        <f>"SH20017170"</f>
        <v>SH20017170</v>
      </c>
      <c r="C238" t="str">
        <f>"IM235905"</f>
        <v>IM235905</v>
      </c>
      <c r="D238" t="str">
        <f>"HIGH VOLUME TIPS(1000UL)- 235905"</f>
        <v>HIGH VOLUME TIPS(1000UL)- 235905</v>
      </c>
      <c r="E238" t="str">
        <f>"200893"</f>
        <v>200893</v>
      </c>
      <c r="F238" t="str">
        <f>"ד""ר שרון עמית - בי""ח תה""ש"</f>
        <v>ד"ר שרון עמית - בי"ח תה"ש</v>
      </c>
      <c r="G238" t="str">
        <f>"21133"</f>
        <v>21133</v>
      </c>
      <c r="H238" t="str">
        <f>"מרכז רפואי שיבא- תל השומר רכש ריאגנטים"</f>
        <v>מרכז רפואי שיבא- תל השומר רכש ריאגנטים</v>
      </c>
      <c r="I238" t="str">
        <f>"21133"</f>
        <v>21133</v>
      </c>
      <c r="J238" t="str">
        <f>"מרכז רפואי שיבא- תל השומר רכש ריאגנטים"</f>
        <v>מרכז רפואי שיבא- תל השומר רכש ריאגנטים</v>
      </c>
      <c r="L238" t="str">
        <f>"N"</f>
        <v>N</v>
      </c>
      <c r="M238" t="str">
        <f>"IMPORT"</f>
        <v>IMPORT</v>
      </c>
      <c r="N238" t="str">
        <f>"SO20015759"</f>
        <v>SO20015759</v>
      </c>
      <c r="P238">
        <v>700</v>
      </c>
      <c r="Q238">
        <v>5</v>
      </c>
      <c r="R238" s="2">
        <v>12589.5</v>
      </c>
      <c r="S238" s="2">
        <v>3404.407787994</v>
      </c>
    </row>
    <row r="239" spans="1:19" x14ac:dyDescent="0.2">
      <c r="A239" s="1">
        <v>43913</v>
      </c>
      <c r="B239" t="str">
        <f>"SH20017170"</f>
        <v>SH20017170</v>
      </c>
      <c r="C239" t="str">
        <f>"IM7443004U"</f>
        <v>IM7443004U</v>
      </c>
      <c r="D239" t="str">
        <f>"STARMAG 96*4 UNIVERSAL -744300.4.UC384"</f>
        <v>STARMAG 96*4 UNIVERSAL -744300.4.UC384</v>
      </c>
      <c r="E239" t="str">
        <f>"200893"</f>
        <v>200893</v>
      </c>
      <c r="F239" t="str">
        <f>"ד""ר שרון עמית - בי""ח תה""ש"</f>
        <v>ד"ר שרון עמית - בי"ח תה"ש</v>
      </c>
      <c r="G239" t="str">
        <f>"21133"</f>
        <v>21133</v>
      </c>
      <c r="H239" t="str">
        <f>"מרכז רפואי שיבא- תל השומר רכש ריאגנטים"</f>
        <v>מרכז רפואי שיבא- תל השומר רכש ריאגנטים</v>
      </c>
      <c r="I239" t="str">
        <f>"21133"</f>
        <v>21133</v>
      </c>
      <c r="J239" t="str">
        <f>"מרכז רפואי שיבא- תל השומר רכש ריאגנטים"</f>
        <v>מרכז רפואי שיבא- תל השומר רכש ריאגנטים</v>
      </c>
      <c r="L239" t="str">
        <f>"N"</f>
        <v>N</v>
      </c>
      <c r="M239" t="str">
        <f>"IMPORT"</f>
        <v>IMPORT</v>
      </c>
      <c r="N239" t="str">
        <f>"SO20015759"</f>
        <v>SO20015759</v>
      </c>
      <c r="P239" s="2">
        <v>1230</v>
      </c>
      <c r="Q239">
        <v>5</v>
      </c>
      <c r="R239" s="2">
        <v>18803.317500000001</v>
      </c>
      <c r="S239" s="2">
        <v>5084.7262033529996</v>
      </c>
    </row>
    <row r="240" spans="1:19" x14ac:dyDescent="0.2">
      <c r="A240" s="1">
        <v>43913</v>
      </c>
      <c r="B240" t="str">
        <f>"SH20017170"</f>
        <v>SH20017170</v>
      </c>
      <c r="C240" t="str">
        <f>"IMSDP0096"</f>
        <v>IMSDP0096</v>
      </c>
      <c r="D240" t="str">
        <f>"NIMBUS-96 DEEP WELL MICRO PLATE SDP0096"</f>
        <v>NIMBUS-96 DEEP WELL MICRO PLATE SDP0096</v>
      </c>
      <c r="E240" t="str">
        <f>"200893"</f>
        <v>200893</v>
      </c>
      <c r="F240" t="str">
        <f>"ד""ר שרון עמית - בי""ח תה""ש"</f>
        <v>ד"ר שרון עמית - בי"ח תה"ש</v>
      </c>
      <c r="G240" t="str">
        <f>"21133"</f>
        <v>21133</v>
      </c>
      <c r="H240" t="str">
        <f>"מרכז רפואי שיבא- תל השומר רכש ריאגנטים"</f>
        <v>מרכז רפואי שיבא- תל השומר רכש ריאגנטים</v>
      </c>
      <c r="I240" t="str">
        <f>"21133"</f>
        <v>21133</v>
      </c>
      <c r="J240" t="str">
        <f>"מרכז רפואי שיבא- תל השומר רכש ריאגנטים"</f>
        <v>מרכז רפואי שיבא- תל השומר רכש ריאגנטים</v>
      </c>
      <c r="L240" t="str">
        <f>"N"</f>
        <v>N</v>
      </c>
      <c r="M240" t="str">
        <f>"IMPORT"</f>
        <v>IMPORT</v>
      </c>
      <c r="N240" t="str">
        <f>"SO20015759"</f>
        <v>SO20015759</v>
      </c>
      <c r="P240">
        <v>460</v>
      </c>
      <c r="Q240">
        <v>5</v>
      </c>
      <c r="R240" s="2">
        <v>8273.1</v>
      </c>
      <c r="S240" s="2">
        <v>2237.1822606810001</v>
      </c>
    </row>
    <row r="241" spans="1:19" x14ac:dyDescent="0.2">
      <c r="A241" s="1">
        <v>43913</v>
      </c>
      <c r="B241" t="str">
        <f>"SH20017174"</f>
        <v>SH20017174</v>
      </c>
      <c r="C241" t="str">
        <f>"IMHSP9655"</f>
        <v>IMHSP9655</v>
      </c>
      <c r="D241" t="str">
        <f>"PLATE WELL 96(WHITE)50EA/BOX-HSP9655"</f>
        <v>PLATE WELL 96(WHITE)50EA/BOX-HSP9655</v>
      </c>
      <c r="E241" t="str">
        <f>"200893"</f>
        <v>200893</v>
      </c>
      <c r="F241" t="str">
        <f>"ד""ר שרון עמית - בי""ח תה""ש"</f>
        <v>ד"ר שרון עמית - בי"ח תה"ש</v>
      </c>
      <c r="G241" t="str">
        <f>"21133"</f>
        <v>21133</v>
      </c>
      <c r="H241" t="str">
        <f>"מרכז רפואי שיבא- תל השומר רכש ריאגנטים"</f>
        <v>מרכז רפואי שיבא- תל השומר רכש ריאגנטים</v>
      </c>
      <c r="I241" t="str">
        <f>"21133"</f>
        <v>21133</v>
      </c>
      <c r="J241" t="str">
        <f>"מרכז רפואי שיבא- תל השומר רכש ריאגנטים"</f>
        <v>מרכז רפואי שיבא- תל השומר רכש ריאגנטים</v>
      </c>
      <c r="L241" t="str">
        <f>"N"</f>
        <v>N</v>
      </c>
      <c r="M241" t="str">
        <f>"IMPORT"</f>
        <v>IMPORT</v>
      </c>
      <c r="N241" t="str">
        <f>"SO20015759"</f>
        <v>SO20015759</v>
      </c>
      <c r="P241" s="2">
        <v>1264</v>
      </c>
      <c r="Q241">
        <v>10</v>
      </c>
      <c r="R241" s="2">
        <v>45466.080000000002</v>
      </c>
      <c r="S241" s="2">
        <v>12294.775554350001</v>
      </c>
    </row>
    <row r="242" spans="1:19" x14ac:dyDescent="0.2">
      <c r="A242" s="1">
        <v>43913</v>
      </c>
      <c r="B242" t="str">
        <f>"SH20017174"</f>
        <v>SH20017174</v>
      </c>
      <c r="C242" t="str">
        <f>"IMTCS0803"</f>
        <v>IMTCS0803</v>
      </c>
      <c r="D242" t="str">
        <f>"OPTICAL FLAT CAPS FOR 0.2ML 120X8"</f>
        <v>OPTICAL FLAT CAPS FOR 0.2ML 120X8</v>
      </c>
      <c r="E242" t="str">
        <f>"200893"</f>
        <v>200893</v>
      </c>
      <c r="F242" t="str">
        <f>"ד""ר שרון עמית - בי""ח תה""ש"</f>
        <v>ד"ר שרון עמית - בי"ח תה"ש</v>
      </c>
      <c r="G242" t="str">
        <f>"21133"</f>
        <v>21133</v>
      </c>
      <c r="H242" t="str">
        <f>"מרכז רפואי שיבא- תל השומר רכש ריאגנטים"</f>
        <v>מרכז רפואי שיבא- תל השומר רכש ריאגנטים</v>
      </c>
      <c r="I242" t="str">
        <f>"21133"</f>
        <v>21133</v>
      </c>
      <c r="J242" t="str">
        <f>"מרכז רפואי שיבא- תל השומר רכש ריאגנטים"</f>
        <v>מרכז רפואי שיבא- תל השומר רכש ריאגנטים</v>
      </c>
      <c r="L242" t="str">
        <f>"N"</f>
        <v>N</v>
      </c>
      <c r="M242" t="str">
        <f>"IMPORT"</f>
        <v>IMPORT</v>
      </c>
      <c r="N242" t="str">
        <f>"SO20015759"</f>
        <v>SO20015759</v>
      </c>
      <c r="P242">
        <v>72</v>
      </c>
      <c r="Q242">
        <v>10</v>
      </c>
      <c r="R242" s="2">
        <v>2589.84</v>
      </c>
      <c r="S242">
        <v>700.33531638700003</v>
      </c>
    </row>
    <row r="243" spans="1:19" x14ac:dyDescent="0.2">
      <c r="A243" s="1">
        <v>43913</v>
      </c>
      <c r="B243" t="str">
        <f>"SH20017186"</f>
        <v>SH20017186</v>
      </c>
      <c r="C243" t="str">
        <f>"IMRP10243X"</f>
        <v>IMRP10243X</v>
      </c>
      <c r="D243" t="str">
        <f>"Allplex 2019-nCoV 100T - RP10243X"</f>
        <v>Allplex 2019-nCoV 100T - RP10243X</v>
      </c>
      <c r="E243" t="str">
        <f>"201237"</f>
        <v>201237</v>
      </c>
      <c r="F243" t="str">
        <f>"מעבדות הצבא-חר'פ 542"</f>
        <v>מעבדות הצבא-חר'פ 542</v>
      </c>
      <c r="G243" t="str">
        <f>"23101"</f>
        <v>23101</v>
      </c>
      <c r="H243" t="str">
        <f>"משרד הבטחון-מערכת אב'כ ורפואה"</f>
        <v>משרד הבטחון-מערכת אב'כ ורפואה</v>
      </c>
      <c r="I243" t="str">
        <f>"23101"</f>
        <v>23101</v>
      </c>
      <c r="J243" t="str">
        <f>"משרד הבטחון-מערכת אב'כ ורפואה"</f>
        <v>משרד הבטחון-מערכת אב'כ ורפואה</v>
      </c>
      <c r="L243" t="str">
        <f>"N"</f>
        <v>N</v>
      </c>
      <c r="M243" t="str">
        <f>"IMPORT"</f>
        <v>IMPORT</v>
      </c>
      <c r="N243" t="str">
        <f>"SO20015800"</f>
        <v>SO20015800</v>
      </c>
      <c r="P243">
        <v>700</v>
      </c>
      <c r="Q243">
        <v>1</v>
      </c>
      <c r="R243" s="2">
        <v>2517.9</v>
      </c>
      <c r="S243">
        <v>680.88155759899996</v>
      </c>
    </row>
    <row r="244" spans="1:19" x14ac:dyDescent="0.2">
      <c r="A244" s="1">
        <v>43914</v>
      </c>
      <c r="B244" t="str">
        <f>"RT20000191"</f>
        <v>RT20000191</v>
      </c>
      <c r="C244" t="str">
        <f>"IMRP10243X"</f>
        <v>IMRP10243X</v>
      </c>
      <c r="D244" t="str">
        <f>"Allplex 2019-nCoV 100T - RP10243X"</f>
        <v>Allplex 2019-nCoV 100T - RP10243X</v>
      </c>
      <c r="E244" t="str">
        <f>"29283"</f>
        <v>29283</v>
      </c>
      <c r="F244" t="str">
        <f>"ד""ר מורן שוורצוורט - רמב""ם"</f>
        <v>ד"ר מורן שוורצוורט - רמב"ם</v>
      </c>
      <c r="G244" t="str">
        <f>"21138"</f>
        <v>21138</v>
      </c>
      <c r="H244" t="str">
        <f>"תאגיד הבריאות - רמב'ם)ע'ר"</f>
        <v>תאגיד הבריאות - רמב'ם)ע'ר</v>
      </c>
      <c r="I244" t="str">
        <f>"27027"</f>
        <v>27027</v>
      </c>
      <c r="J244" t="str">
        <f>"שראל-פתרונות לוגיסטיים ומוצרים"</f>
        <v>שראל-פתרונות לוגיסטיים ומוצרים</v>
      </c>
      <c r="L244" t="str">
        <f>"N"</f>
        <v>N</v>
      </c>
      <c r="M244" t="str">
        <f>"IMPORT"</f>
        <v>IMPORT</v>
      </c>
      <c r="N244" t="str">
        <f>"SO20013239"</f>
        <v>SO20013239</v>
      </c>
      <c r="P244">
        <v>700</v>
      </c>
      <c r="Q244">
        <v>-18</v>
      </c>
      <c r="R244" s="2">
        <v>-44634.743999999999</v>
      </c>
      <c r="S244" s="2">
        <v>-12201.9529797</v>
      </c>
    </row>
    <row r="245" spans="1:19" x14ac:dyDescent="0.2">
      <c r="A245" s="1">
        <v>43914</v>
      </c>
      <c r="B245" t="str">
        <f>"SH20017201"</f>
        <v>SH20017201</v>
      </c>
      <c r="C245" t="str">
        <f>"IMRP10243X"</f>
        <v>IMRP10243X</v>
      </c>
      <c r="D245" t="str">
        <f>"Allplex 2019-nCoV 100T - RP10243X"</f>
        <v>Allplex 2019-nCoV 100T - RP10243X</v>
      </c>
      <c r="E245" t="str">
        <f>"27027"</f>
        <v>27027</v>
      </c>
      <c r="F245" t="str">
        <f>"שראל-פתרונות לוגיסטיים ומוצרים"</f>
        <v>שראל-פתרונות לוגיסטיים ומוצרים</v>
      </c>
      <c r="K245" t="str">
        <f>"מרק עשוש - שערי צדק"</f>
        <v>מרק עשוש - שערי צדק</v>
      </c>
      <c r="L245" t="str">
        <f>"N"</f>
        <v>N</v>
      </c>
      <c r="M245" t="str">
        <f>"IMPORT"</f>
        <v>IMPORT</v>
      </c>
      <c r="N245" t="str">
        <f>"SO20015825"</f>
        <v>SO20015825</v>
      </c>
      <c r="P245">
        <v>679</v>
      </c>
      <c r="Q245">
        <v>4</v>
      </c>
      <c r="R245" s="2">
        <v>10043.768</v>
      </c>
      <c r="S245" s="2">
        <v>2745.699289229</v>
      </c>
    </row>
    <row r="246" spans="1:19" x14ac:dyDescent="0.2">
      <c r="A246" s="1">
        <v>43914</v>
      </c>
      <c r="B246" t="str">
        <f>"SH20017203"</f>
        <v>SH20017203</v>
      </c>
      <c r="C246" t="str">
        <f>"IM7443004U"</f>
        <v>IM7443004U</v>
      </c>
      <c r="D246" t="str">
        <f>"STARMAG 96*4 UNIVERSAL -744300.4.UC384"</f>
        <v>STARMAG 96*4 UNIVERSAL -744300.4.UC384</v>
      </c>
      <c r="E246" t="str">
        <f>"201237"</f>
        <v>201237</v>
      </c>
      <c r="F246" t="str">
        <f>"מעבדות הצבא-חר'פ 542"</f>
        <v>מעבדות הצבא-חר'פ 542</v>
      </c>
      <c r="G246" t="str">
        <f>"23101"</f>
        <v>23101</v>
      </c>
      <c r="H246" t="str">
        <f>"משרד הבטחון-מערכת אב'כ ורפואה"</f>
        <v>משרד הבטחון-מערכת אב'כ ורפואה</v>
      </c>
      <c r="I246" t="str">
        <f>"23101"</f>
        <v>23101</v>
      </c>
      <c r="J246" t="str">
        <f>"משרד הבטחון-מערכת אב'כ ורפואה"</f>
        <v>משרד הבטחון-מערכת אב'כ ורפואה</v>
      </c>
      <c r="L246" t="str">
        <f>"N"</f>
        <v>N</v>
      </c>
      <c r="M246" t="str">
        <f>"IMPORT"</f>
        <v>IMPORT</v>
      </c>
      <c r="N246" t="str">
        <f>"SO20015800"</f>
        <v>SO20015800</v>
      </c>
      <c r="P246" s="2">
        <v>1045</v>
      </c>
      <c r="Q246">
        <v>1</v>
      </c>
      <c r="R246" s="2">
        <v>3864.41</v>
      </c>
      <c r="S246" s="2">
        <v>1056.4270092950001</v>
      </c>
    </row>
    <row r="247" spans="1:19" x14ac:dyDescent="0.2">
      <c r="A247" s="1">
        <v>43914</v>
      </c>
      <c r="B247" t="str">
        <f>"SH20017562"</f>
        <v>SH20017562</v>
      </c>
      <c r="C247" t="str">
        <f>"IM235905"</f>
        <v>IM235905</v>
      </c>
      <c r="D247" t="str">
        <f>"HIGH VOLUME TIPS(1000UL)- 235905"</f>
        <v>HIGH VOLUME TIPS(1000UL)- 235905</v>
      </c>
      <c r="E247" t="str">
        <f>"201201"</f>
        <v>201201</v>
      </c>
      <c r="F247" t="str">
        <f>"כללית נשר בקטריולוגית - חיפה"</f>
        <v>כללית נשר בקטריולוגית - חיפה</v>
      </c>
      <c r="G247" t="str">
        <f>"22100"</f>
        <v>22100</v>
      </c>
      <c r="H247" t="str">
        <f>"שרותי בריאות כללית-מנהל אספקה"</f>
        <v>שרותי בריאות כללית-מנהל אספקה</v>
      </c>
      <c r="I247" t="str">
        <f>"22100"</f>
        <v>22100</v>
      </c>
      <c r="J247" t="str">
        <f>"שרותי בריאות כללית-מנהל אספקה"</f>
        <v>שרותי בריאות כללית-מנהל אספקה</v>
      </c>
      <c r="L247" t="str">
        <f>"N"</f>
        <v>N</v>
      </c>
      <c r="M247" t="str">
        <f>"IMPORT"</f>
        <v>IMPORT</v>
      </c>
      <c r="N247" t="str">
        <f>"SO20015298"</f>
        <v>SO20015298</v>
      </c>
      <c r="P247">
        <v>594</v>
      </c>
      <c r="Q247">
        <v>2</v>
      </c>
      <c r="R247" s="2">
        <v>4393.2240000000002</v>
      </c>
      <c r="S247" s="2">
        <v>1200.9907053029999</v>
      </c>
    </row>
    <row r="248" spans="1:19" x14ac:dyDescent="0.2">
      <c r="A248" s="1">
        <v>43914</v>
      </c>
      <c r="B248" t="str">
        <f>"SH20017562"</f>
        <v>SH20017562</v>
      </c>
      <c r="C248" t="str">
        <f>"IM7443004U"</f>
        <v>IM7443004U</v>
      </c>
      <c r="D248" t="str">
        <f>"STARMAG 96*4 UNIVERSAL -744300.4.UC384"</f>
        <v>STARMAG 96*4 UNIVERSAL -744300.4.UC384</v>
      </c>
      <c r="E248" t="str">
        <f>"201201"</f>
        <v>201201</v>
      </c>
      <c r="F248" t="str">
        <f>"כללית נשר בקטריולוגית - חיפה"</f>
        <v>כללית נשר בקטריולוגית - חיפה</v>
      </c>
      <c r="G248" t="str">
        <f>"22100"</f>
        <v>22100</v>
      </c>
      <c r="H248" t="str">
        <f>"שרותי בריאות כללית-מנהל אספקה"</f>
        <v>שרותי בריאות כללית-מנהל אספקה</v>
      </c>
      <c r="I248" t="str">
        <f>"22100"</f>
        <v>22100</v>
      </c>
      <c r="J248" t="str">
        <f>"שרותי בריאות כללית-מנהל אספקה"</f>
        <v>שרותי בריאות כללית-מנהל אספקה</v>
      </c>
      <c r="L248" t="str">
        <f>"N"</f>
        <v>N</v>
      </c>
      <c r="M248" t="str">
        <f>"IMPORT"</f>
        <v>IMPORT</v>
      </c>
      <c r="N248" t="str">
        <f>"SO20015298"</f>
        <v>SO20015298</v>
      </c>
      <c r="P248" s="2">
        <v>1006.8</v>
      </c>
      <c r="Q248">
        <v>4</v>
      </c>
      <c r="R248" s="2">
        <v>14892.5856</v>
      </c>
      <c r="S248" s="2">
        <v>4071.2371787860002</v>
      </c>
    </row>
    <row r="249" spans="1:19" x14ac:dyDescent="0.2">
      <c r="A249" s="1">
        <v>43914</v>
      </c>
      <c r="B249" t="str">
        <f>"SH20017566"</f>
        <v>SH20017566</v>
      </c>
      <c r="C249" t="str">
        <f>"IMTCS0803"</f>
        <v>IMTCS0803</v>
      </c>
      <c r="D249" t="str">
        <f>"OPTICAL FLAT CAPS FOR 0.2ML 120X8"</f>
        <v>OPTICAL FLAT CAPS FOR 0.2ML 120X8</v>
      </c>
      <c r="E249" t="str">
        <f>"200851"</f>
        <v>200851</v>
      </c>
      <c r="F249" t="str">
        <f>"ד""ר סרוגו יצחק - בי""ח בני ציון"</f>
        <v>ד"ר סרוגו יצחק - בי"ח בני ציון</v>
      </c>
      <c r="G249" t="str">
        <f>"27027"</f>
        <v>27027</v>
      </c>
      <c r="H249" t="str">
        <f>"שראל-פתרונות לוגיסטיים ומוצרים"</f>
        <v>שראל-פתרונות לוגיסטיים ומוצרים</v>
      </c>
      <c r="I249" t="str">
        <f>"27027"</f>
        <v>27027</v>
      </c>
      <c r="J249" t="str">
        <f>"שראל-פתרונות לוגיסטיים ומוצרים"</f>
        <v>שראל-פתרונות לוגיסטיים ומוצרים</v>
      </c>
      <c r="K249" t="str">
        <f>"מחסן ציוד רפואי"</f>
        <v>מחסן ציוד רפואי</v>
      </c>
      <c r="L249" t="str">
        <f>"N"</f>
        <v>N</v>
      </c>
      <c r="M249" t="str">
        <f>"IMPORT"</f>
        <v>IMPORT</v>
      </c>
      <c r="N249" t="str">
        <f>"SO20015221"</f>
        <v>SO20015221</v>
      </c>
      <c r="P249">
        <v>96.03</v>
      </c>
      <c r="Q249">
        <v>2</v>
      </c>
      <c r="R249">
        <v>710.23788000000002</v>
      </c>
      <c r="S249">
        <v>194.16016402400001</v>
      </c>
    </row>
    <row r="250" spans="1:19" x14ac:dyDescent="0.2">
      <c r="A250" s="1">
        <v>43914</v>
      </c>
      <c r="B250" t="str">
        <f>"SH20017683"</f>
        <v>SH20017683</v>
      </c>
      <c r="C250" t="str">
        <f>"TTS238"</f>
        <v>TTS238</v>
      </c>
      <c r="D250" t="str">
        <f>"מבחנה PP תחתית עגולה 75*12מ""מ לא סטרילי-BN059-P"</f>
        <v>מבחנה PP תחתית עגולה 75*12מ"מ לא סטרילי-BN059-P</v>
      </c>
      <c r="E250" t="str">
        <f>"20703"</f>
        <v>20703</v>
      </c>
      <c r="F250" t="str">
        <f>"המר' הישראלי הלאומי לרפואה מותאמת - מכון ויצמן"</f>
        <v>המר' הישראלי הלאומי לרפואה מותאמת - מכון ויצמן</v>
      </c>
      <c r="I250" t="str">
        <f>"23110"</f>
        <v>23110</v>
      </c>
      <c r="J250" t="str">
        <f>"מכון ויצמן למדע*"</f>
        <v>מכון ויצמן למדע*</v>
      </c>
      <c r="L250" t="str">
        <f>"Y"</f>
        <v>Y</v>
      </c>
      <c r="M250" t="str">
        <f>"UI"</f>
        <v>UI</v>
      </c>
      <c r="N250" t="str">
        <f>"SO20016089"</f>
        <v>SO20016089</v>
      </c>
      <c r="P250">
        <v>0.04</v>
      </c>
      <c r="Q250" s="2">
        <v>1000</v>
      </c>
      <c r="R250">
        <v>147.91999999999999</v>
      </c>
      <c r="S250">
        <v>40.437397484999998</v>
      </c>
    </row>
    <row r="251" spans="1:19" x14ac:dyDescent="0.2">
      <c r="A251" s="1">
        <v>43915</v>
      </c>
      <c r="B251" t="str">
        <f>"SH20017700"</f>
        <v>SH20017700</v>
      </c>
      <c r="C251" t="str">
        <f>"IMRP10243X"</f>
        <v>IMRP10243X</v>
      </c>
      <c r="D251" t="str">
        <f>"Allplex 2019-nCoV 100T - RP10243X"</f>
        <v>Allplex 2019-nCoV 100T - RP10243X</v>
      </c>
      <c r="E251" t="str">
        <f>"200869"</f>
        <v>200869</v>
      </c>
      <c r="F251" t="str">
        <f>"ד""ר פנינית שקד - משען בקטר' כרמל"</f>
        <v>ד"ר פנינית שקד - משען בקטר' כרמל</v>
      </c>
      <c r="G251" t="str">
        <f>"22100"</f>
        <v>22100</v>
      </c>
      <c r="H251" t="str">
        <f>"שרותי בריאות כללית-מנהל אספקה"</f>
        <v>שרותי בריאות כללית-מנהל אספקה</v>
      </c>
      <c r="I251" t="str">
        <f>"22100"</f>
        <v>22100</v>
      </c>
      <c r="J251" t="str">
        <f>"שרותי בריאות כללית-מנהל אספקה"</f>
        <v>שרותי בריאות כללית-מנהל אספקה</v>
      </c>
      <c r="L251" t="str">
        <f>"N"</f>
        <v>N</v>
      </c>
      <c r="M251" t="str">
        <f>"IMPORT"</f>
        <v>IMPORT</v>
      </c>
      <c r="N251" t="str">
        <f>"SO20016111"</f>
        <v>SO20016111</v>
      </c>
      <c r="P251">
        <v>700</v>
      </c>
      <c r="Q251">
        <v>5</v>
      </c>
      <c r="R251" s="2">
        <v>12803</v>
      </c>
      <c r="S251" s="2">
        <v>3515.3761669410001</v>
      </c>
    </row>
    <row r="252" spans="1:19" x14ac:dyDescent="0.2">
      <c r="A252" s="1">
        <v>43915</v>
      </c>
      <c r="B252" t="str">
        <f>"SH20017701"</f>
        <v>SH20017701</v>
      </c>
      <c r="C252" t="str">
        <f>"IMTCS0803"</f>
        <v>IMTCS0803</v>
      </c>
      <c r="D252" t="str">
        <f>"OPTICAL FLAT CAPS FOR 0.2ML 120X8"</f>
        <v>OPTICAL FLAT CAPS FOR 0.2ML 120X8</v>
      </c>
      <c r="E252" t="str">
        <f>"200869"</f>
        <v>200869</v>
      </c>
      <c r="F252" t="str">
        <f>"ד""ר פנינית שקד - משען בקטר' כרמל"</f>
        <v>ד"ר פנינית שקד - משען בקטר' כרמל</v>
      </c>
      <c r="G252" t="str">
        <f>"22100"</f>
        <v>22100</v>
      </c>
      <c r="H252" t="str">
        <f>"שרותי בריאות כללית-מנהל אספקה"</f>
        <v>שרותי בריאות כללית-מנהל אספקה</v>
      </c>
      <c r="I252" t="str">
        <f>"22100"</f>
        <v>22100</v>
      </c>
      <c r="J252" t="str">
        <f>"שרותי בריאות כללית-מנהל אספקה"</f>
        <v>שרותי בריאות כללית-מנהל אספקה</v>
      </c>
      <c r="L252" t="str">
        <f>"N"</f>
        <v>N</v>
      </c>
      <c r="M252" t="str">
        <f>"IMPORT"</f>
        <v>IMPORT</v>
      </c>
      <c r="N252" t="str">
        <f>"SO20016112"</f>
        <v>SO20016112</v>
      </c>
      <c r="P252">
        <v>62</v>
      </c>
      <c r="Q252">
        <v>1</v>
      </c>
      <c r="R252">
        <v>226.79599999999999</v>
      </c>
      <c r="S252">
        <v>62.272377814000002</v>
      </c>
    </row>
    <row r="253" spans="1:19" x14ac:dyDescent="0.2">
      <c r="A253" s="1">
        <v>43915</v>
      </c>
      <c r="B253" t="str">
        <f>"SH20017702"</f>
        <v>SH20017702</v>
      </c>
      <c r="C253" t="str">
        <f>"IMRP10243X"</f>
        <v>IMRP10243X</v>
      </c>
      <c r="D253" t="str">
        <f>"Allplex 2019-nCoV 100T - RP10243X"</f>
        <v>Allplex 2019-nCoV 100T - RP10243X</v>
      </c>
      <c r="E253" t="str">
        <f>"201237"</f>
        <v>201237</v>
      </c>
      <c r="F253" t="str">
        <f>"מעבדות הצבא-חר'פ 542"</f>
        <v>מעבדות הצבא-חר'פ 542</v>
      </c>
      <c r="G253" t="str">
        <f>"23101"</f>
        <v>23101</v>
      </c>
      <c r="H253" t="str">
        <f>"משרד הבטחון-מערכת אב'כ ורפואה"</f>
        <v>משרד הבטחון-מערכת אב'כ ורפואה</v>
      </c>
      <c r="I253" t="str">
        <f>"23101"</f>
        <v>23101</v>
      </c>
      <c r="J253" t="str">
        <f>"משרד הבטחון-מערכת אב'כ ורפואה"</f>
        <v>משרד הבטחון-מערכת אב'כ ורפואה</v>
      </c>
      <c r="L253" t="str">
        <f>"N"</f>
        <v>N</v>
      </c>
      <c r="M253" t="str">
        <f>"IMPORT"</f>
        <v>IMPORT</v>
      </c>
      <c r="N253" t="str">
        <f>"SO20016108"</f>
        <v>SO20016108</v>
      </c>
      <c r="P253">
        <v>700</v>
      </c>
      <c r="Q253">
        <v>5</v>
      </c>
      <c r="R253" s="2">
        <v>12803</v>
      </c>
      <c r="S253" s="2">
        <v>3515.3761669410001</v>
      </c>
    </row>
    <row r="254" spans="1:19" x14ac:dyDescent="0.2">
      <c r="A254" s="1">
        <v>43915</v>
      </c>
      <c r="B254" t="str">
        <f>"SH20017703"</f>
        <v>SH20017703</v>
      </c>
      <c r="C254" t="str">
        <f>"TTS238"</f>
        <v>TTS238</v>
      </c>
      <c r="D254" t="str">
        <f>"מבחנה PP תחתית עגולה 75*12מ""מ לא סטרילי-BN059-P"</f>
        <v>מבחנה PP תחתית עגולה 75*12מ"מ לא סטרילי-BN059-P</v>
      </c>
      <c r="E254" t="str">
        <f>"201201"</f>
        <v>201201</v>
      </c>
      <c r="F254" t="str">
        <f>"כללית נשר בקטריולוגית - חיפה"</f>
        <v>כללית נשר בקטריולוגית - חיפה</v>
      </c>
      <c r="G254" t="str">
        <f>"22100"</f>
        <v>22100</v>
      </c>
      <c r="H254" t="str">
        <f>"שרותי בריאות כללית-מנהל אספקה"</f>
        <v>שרותי בריאות כללית-מנהל אספקה</v>
      </c>
      <c r="I254" t="str">
        <f>"22100"</f>
        <v>22100</v>
      </c>
      <c r="J254" t="str">
        <f>"שרותי בריאות כללית-מנהל אספקה"</f>
        <v>שרותי בריאות כללית-מנהל אספקה</v>
      </c>
      <c r="L254" t="str">
        <f>"N"</f>
        <v>N</v>
      </c>
      <c r="M254" t="str">
        <f>"UI"</f>
        <v>UI</v>
      </c>
      <c r="N254" t="str">
        <f>"SO20016114"</f>
        <v>SO20016114</v>
      </c>
      <c r="P254">
        <v>0.04</v>
      </c>
      <c r="Q254" s="2">
        <v>3000</v>
      </c>
      <c r="R254">
        <v>438.96</v>
      </c>
      <c r="S254">
        <v>120.52718286699999</v>
      </c>
    </row>
    <row r="255" spans="1:19" x14ac:dyDescent="0.2">
      <c r="A255" s="1">
        <v>43915</v>
      </c>
      <c r="B255" t="str">
        <f>"SH20017704"</f>
        <v>SH20017704</v>
      </c>
      <c r="C255" t="str">
        <f>"IM7443004U"</f>
        <v>IM7443004U</v>
      </c>
      <c r="D255" t="str">
        <f>"STARMAG 96*4 UNIVERSAL -744300.4.UC384"</f>
        <v>STARMAG 96*4 UNIVERSAL -744300.4.UC384</v>
      </c>
      <c r="E255" t="str">
        <f>"201237"</f>
        <v>201237</v>
      </c>
      <c r="F255" t="str">
        <f>"מעבדות הצבא-חר'פ 542"</f>
        <v>מעבדות הצבא-חר'פ 542</v>
      </c>
      <c r="G255" t="str">
        <f>"23101"</f>
        <v>23101</v>
      </c>
      <c r="H255" t="str">
        <f>"משרד הבטחון-מערכת אב'כ ורפואה"</f>
        <v>משרד הבטחון-מערכת אב'כ ורפואה</v>
      </c>
      <c r="I255" t="str">
        <f>"23101"</f>
        <v>23101</v>
      </c>
      <c r="J255" t="str">
        <f>"משרד הבטחון-מערכת אב'כ ורפואה"</f>
        <v>משרד הבטחון-מערכת אב'כ ורפואה</v>
      </c>
      <c r="L255" t="str">
        <f>"N"</f>
        <v>N</v>
      </c>
      <c r="M255" t="str">
        <f>"IMPORT"</f>
        <v>IMPORT</v>
      </c>
      <c r="N255" t="str">
        <f>"SO20016109"</f>
        <v>SO20016109</v>
      </c>
      <c r="P255" s="2">
        <v>1045.5</v>
      </c>
      <c r="Q255">
        <v>5</v>
      </c>
      <c r="R255" s="2">
        <v>5227.5</v>
      </c>
      <c r="S255" s="2">
        <v>1435.3377265239999</v>
      </c>
    </row>
    <row r="256" spans="1:19" x14ac:dyDescent="0.2">
      <c r="A256" s="1">
        <v>43915</v>
      </c>
      <c r="B256" t="str">
        <f>"SH20017705"</f>
        <v>SH20017705</v>
      </c>
      <c r="C256" t="str">
        <f>"IM7443004U"</f>
        <v>IM7443004U</v>
      </c>
      <c r="D256" t="str">
        <f>"STARMAG 96*4 UNIVERSAL -744300.4.UC384"</f>
        <v>STARMAG 96*4 UNIVERSAL -744300.4.UC384</v>
      </c>
      <c r="E256" t="str">
        <f>"20703"</f>
        <v>20703</v>
      </c>
      <c r="F256" t="str">
        <f>"המר' הישראלי הלאומי לרפואה מותאמת - מכון ויצמן"</f>
        <v>המר' הישראלי הלאומי לרפואה מותאמת - מכון ויצמן</v>
      </c>
      <c r="I256" t="str">
        <f>"23110"</f>
        <v>23110</v>
      </c>
      <c r="J256" t="str">
        <f>"מכון ויצמן למדע*"</f>
        <v>מכון ויצמן למדע*</v>
      </c>
      <c r="L256" t="str">
        <f>"Y"</f>
        <v>Y</v>
      </c>
      <c r="M256" t="str">
        <f>"IMPORT"</f>
        <v>IMPORT</v>
      </c>
      <c r="N256" t="str">
        <f>"SO20016089"</f>
        <v>SO20016089</v>
      </c>
      <c r="P256" s="2">
        <v>1045.5</v>
      </c>
      <c r="Q256">
        <v>1</v>
      </c>
      <c r="R256" s="2">
        <v>3824.4389999999999</v>
      </c>
      <c r="S256" s="2">
        <v>1050.0930807249999</v>
      </c>
    </row>
    <row r="257" spans="1:19" x14ac:dyDescent="0.2">
      <c r="A257" s="1">
        <v>43915</v>
      </c>
      <c r="B257" t="str">
        <f>"SH20017706"</f>
        <v>SH20017706</v>
      </c>
      <c r="C257" t="str">
        <f>"IM7443004U"</f>
        <v>IM7443004U</v>
      </c>
      <c r="D257" t="str">
        <f>"STARMAG 96*4 UNIVERSAL -744300.4.UC384"</f>
        <v>STARMAG 96*4 UNIVERSAL -744300.4.UC384</v>
      </c>
      <c r="E257" t="str">
        <f>"200869"</f>
        <v>200869</v>
      </c>
      <c r="F257" t="str">
        <f>"ד""ר פנינית שקד - משען בקטר' כרמל"</f>
        <v>ד"ר פנינית שקד - משען בקטר' כרמל</v>
      </c>
      <c r="G257" t="str">
        <f>"22100"</f>
        <v>22100</v>
      </c>
      <c r="H257" t="str">
        <f>"שרותי בריאות כללית-מנהל אספקה"</f>
        <v>שרותי בריאות כללית-מנהל אספקה</v>
      </c>
      <c r="I257" t="str">
        <f>"22100"</f>
        <v>22100</v>
      </c>
      <c r="J257" t="str">
        <f>"שרותי בריאות כללית-מנהל אספקה"</f>
        <v>שרותי בריאות כללית-מנהל אספקה</v>
      </c>
      <c r="L257" t="str">
        <f>"N"</f>
        <v>N</v>
      </c>
      <c r="M257" t="str">
        <f>"IMPORT"</f>
        <v>IMPORT</v>
      </c>
      <c r="N257" t="str">
        <f>"SO20016111"</f>
        <v>SO20016111</v>
      </c>
      <c r="P257" s="2">
        <v>1006.8</v>
      </c>
      <c r="Q257">
        <v>2</v>
      </c>
      <c r="R257" s="2">
        <v>7365.7488000000003</v>
      </c>
      <c r="S257" s="2">
        <v>2022.446128501</v>
      </c>
    </row>
    <row r="258" spans="1:19" x14ac:dyDescent="0.2">
      <c r="A258" s="1">
        <v>43915</v>
      </c>
      <c r="B258" t="str">
        <f>"SH20017707"</f>
        <v>SH20017707</v>
      </c>
      <c r="C258" t="str">
        <f>"IM235903"</f>
        <v>IM235903</v>
      </c>
      <c r="D258" t="str">
        <f>"STANDARD VOLUME TIPS(300UL)- 235903"</f>
        <v>STANDARD VOLUME TIPS(300UL)- 235903</v>
      </c>
      <c r="E258" t="str">
        <f>"200869"</f>
        <v>200869</v>
      </c>
      <c r="F258" t="str">
        <f>"ד""ר פנינית שקד - משען בקטר' כרמל"</f>
        <v>ד"ר פנינית שקד - משען בקטר' כרמל</v>
      </c>
      <c r="G258" t="str">
        <f>"22100"</f>
        <v>22100</v>
      </c>
      <c r="H258" t="str">
        <f>"שרותי בריאות כללית-מנהל אספקה"</f>
        <v>שרותי בריאות כללית-מנהל אספקה</v>
      </c>
      <c r="I258" t="str">
        <f>"22100"</f>
        <v>22100</v>
      </c>
      <c r="J258" t="str">
        <f>"שרותי בריאות כללית-מנהל אספקה"</f>
        <v>שרותי בריאות כללית-מנהל אספקה</v>
      </c>
      <c r="L258" t="str">
        <f>"N"</f>
        <v>N</v>
      </c>
      <c r="M258" t="str">
        <f>"IMPORT"</f>
        <v>IMPORT</v>
      </c>
      <c r="N258" t="str">
        <f>"SO20016112"</f>
        <v>SO20016112</v>
      </c>
      <c r="P258">
        <v>921.6</v>
      </c>
      <c r="Q258">
        <v>1</v>
      </c>
      <c r="R258" s="2">
        <v>3371.2127999999998</v>
      </c>
      <c r="S258">
        <v>925.64876441499996</v>
      </c>
    </row>
    <row r="259" spans="1:19" x14ac:dyDescent="0.2">
      <c r="A259" s="1">
        <v>43915</v>
      </c>
      <c r="B259" t="str">
        <f>"SH20017707"</f>
        <v>SH20017707</v>
      </c>
      <c r="C259" t="str">
        <f>"IM235905"</f>
        <v>IM235905</v>
      </c>
      <c r="D259" t="str">
        <f>"HIGH VOLUME TIPS(1000UL)- 235905"</f>
        <v>HIGH VOLUME TIPS(1000UL)- 235905</v>
      </c>
      <c r="E259" t="str">
        <f>"200869"</f>
        <v>200869</v>
      </c>
      <c r="F259" t="str">
        <f>"ד""ר פנינית שקד - משען בקטר' כרמל"</f>
        <v>ד"ר פנינית שקד - משען בקטר' כרמל</v>
      </c>
      <c r="G259" t="str">
        <f>"22100"</f>
        <v>22100</v>
      </c>
      <c r="H259" t="str">
        <f>"שרותי בריאות כללית-מנהל אספקה"</f>
        <v>שרותי בריאות כללית-מנהל אספקה</v>
      </c>
      <c r="I259" t="str">
        <f>"22100"</f>
        <v>22100</v>
      </c>
      <c r="J259" t="str">
        <f>"שרותי בריאות כללית-מנהל אספקה"</f>
        <v>שרותי בריאות כללית-מנהל אספקה</v>
      </c>
      <c r="L259" t="str">
        <f>"N"</f>
        <v>N</v>
      </c>
      <c r="M259" t="str">
        <f>"IMPORT"</f>
        <v>IMPORT</v>
      </c>
      <c r="N259" t="str">
        <f>"SO20016112"</f>
        <v>SO20016112</v>
      </c>
      <c r="P259">
        <v>594</v>
      </c>
      <c r="Q259">
        <v>1</v>
      </c>
      <c r="R259" s="2">
        <v>2172.8519999999999</v>
      </c>
      <c r="S259">
        <v>596.60955518900005</v>
      </c>
    </row>
    <row r="260" spans="1:19" x14ac:dyDescent="0.2">
      <c r="A260" s="1">
        <v>43915</v>
      </c>
      <c r="B260" t="str">
        <f>"SH20017725"</f>
        <v>SH20017725</v>
      </c>
      <c r="C260" t="str">
        <f>"IMHSP9655"</f>
        <v>IMHSP9655</v>
      </c>
      <c r="D260" t="str">
        <f>"PLATE WELL 96(WHITE)50EA/BOX-HSP9655"</f>
        <v>PLATE WELL 96(WHITE)50EA/BOX-HSP9655</v>
      </c>
      <c r="E260" t="str">
        <f>"200175"</f>
        <v>200175</v>
      </c>
      <c r="F260" t="str">
        <f>"פרוזנין ירושלים קופ""ח כללית"</f>
        <v>פרוזנין ירושלים קופ"ח כללית</v>
      </c>
      <c r="G260" t="str">
        <f>"22100"</f>
        <v>22100</v>
      </c>
      <c r="H260" t="str">
        <f>"שרותי בריאות כללית-מנהל אספקה"</f>
        <v>שרותי בריאות כללית-מנהל אספקה</v>
      </c>
      <c r="I260" t="str">
        <f>"22100"</f>
        <v>22100</v>
      </c>
      <c r="J260" t="str">
        <f>"שרותי בריאות כללית-מנהל אספקה"</f>
        <v>שרותי בריאות כללית-מנהל אספקה</v>
      </c>
      <c r="L260" t="str">
        <f>"N"</f>
        <v>N</v>
      </c>
      <c r="M260" t="str">
        <f>"IMPORT"</f>
        <v>IMPORT</v>
      </c>
      <c r="N260" t="str">
        <f>"SO20016113"</f>
        <v>SO20016113</v>
      </c>
      <c r="P260">
        <v>357</v>
      </c>
      <c r="Q260">
        <v>1</v>
      </c>
      <c r="R260" s="2">
        <v>1305.9059999999999</v>
      </c>
      <c r="S260">
        <v>358.56836902800001</v>
      </c>
    </row>
    <row r="261" spans="1:19" x14ac:dyDescent="0.2">
      <c r="A261" s="1">
        <v>43915</v>
      </c>
      <c r="B261" t="str">
        <f>"SH20017734"</f>
        <v>SH20017734</v>
      </c>
      <c r="C261" t="str">
        <f>"IMSDP0096"</f>
        <v>IMSDP0096</v>
      </c>
      <c r="D261" t="str">
        <f>"NIMBUS-96 DEEP WELL MICRO PLATE SDP0096"</f>
        <v>NIMBUS-96 DEEP WELL MICRO PLATE SDP0096</v>
      </c>
      <c r="E261" t="str">
        <f>"27504"</f>
        <v>27504</v>
      </c>
      <c r="F261" t="str">
        <f>"ד""ר פייטן יוסף - בי""ח מאיר"</f>
        <v>ד"ר פייטן יוסף - בי"ח מאיר</v>
      </c>
      <c r="G261" t="str">
        <f>"22100"</f>
        <v>22100</v>
      </c>
      <c r="H261" t="str">
        <f>"שרותי בריאות כללית-מנהל אספקה"</f>
        <v>שרותי בריאות כללית-מנהל אספקה</v>
      </c>
      <c r="I261" t="str">
        <f>"22100"</f>
        <v>22100</v>
      </c>
      <c r="J261" t="str">
        <f>"שרותי בריאות כללית-מנהל אספקה"</f>
        <v>שרותי בריאות כללית-מנהל אספקה</v>
      </c>
      <c r="L261" t="str">
        <f>"N"</f>
        <v>N</v>
      </c>
      <c r="M261" t="str">
        <f>"IMPORT"</f>
        <v>IMPORT</v>
      </c>
      <c r="N261" t="str">
        <f>"SO20016115"</f>
        <v>SO20016115</v>
      </c>
      <c r="P261">
        <v>384</v>
      </c>
      <c r="Q261">
        <v>1</v>
      </c>
      <c r="R261" s="2">
        <v>1404.672</v>
      </c>
      <c r="S261">
        <v>385.68698517299998</v>
      </c>
    </row>
    <row r="262" spans="1:19" x14ac:dyDescent="0.2">
      <c r="A262" s="1">
        <v>43915</v>
      </c>
      <c r="B262" t="str">
        <f>"SH20017736"</f>
        <v>SH20017736</v>
      </c>
      <c r="C262" t="str">
        <f>"IM7443004U"</f>
        <v>IM7443004U</v>
      </c>
      <c r="D262" t="str">
        <f>"STARMAG 96*4 UNIVERSAL -744300.4.UC384"</f>
        <v>STARMAG 96*4 UNIVERSAL -744300.4.UC384</v>
      </c>
      <c r="E262" t="str">
        <f>"200175"</f>
        <v>200175</v>
      </c>
      <c r="F262" t="str">
        <f>"פרוזנין ירושלים קופ""ח כללית"</f>
        <v>פרוזנין ירושלים קופ"ח כללית</v>
      </c>
      <c r="G262" t="str">
        <f>"22100"</f>
        <v>22100</v>
      </c>
      <c r="H262" t="str">
        <f>"שרותי בריאות כללית-מנהל אספקה"</f>
        <v>שרותי בריאות כללית-מנהל אספקה</v>
      </c>
      <c r="I262" t="str">
        <f>"22100"</f>
        <v>22100</v>
      </c>
      <c r="J262" t="str">
        <f>"שרותי בריאות כללית-מנהל אספקה"</f>
        <v>שרותי בריאות כללית-מנהל אספקה</v>
      </c>
      <c r="L262" t="str">
        <f>"N"</f>
        <v>N</v>
      </c>
      <c r="M262" t="str">
        <f>"IMPORT"</f>
        <v>IMPORT</v>
      </c>
      <c r="N262" t="str">
        <f>"SO20016113"</f>
        <v>SO20016113</v>
      </c>
      <c r="P262" s="2">
        <v>1006.8</v>
      </c>
      <c r="Q262">
        <v>5</v>
      </c>
      <c r="R262" s="2">
        <v>18414.371999999999</v>
      </c>
      <c r="S262" s="2">
        <v>5056.1153212520003</v>
      </c>
    </row>
    <row r="263" spans="1:19" x14ac:dyDescent="0.2">
      <c r="A263" s="1">
        <v>43915</v>
      </c>
      <c r="B263" t="str">
        <f>"SH20017821"</f>
        <v>SH20017821</v>
      </c>
      <c r="C263" t="str">
        <f>"TTS238"</f>
        <v>TTS238</v>
      </c>
      <c r="D263" t="str">
        <f>"מבחנה PP תחתית עגולה 75*12מ""מ לא סטרילי-BN059-P"</f>
        <v>מבחנה PP תחתית עגולה 75*12מ"מ לא סטרילי-BN059-P</v>
      </c>
      <c r="E263" t="str">
        <f>"200737"</f>
        <v>200737</v>
      </c>
      <c r="F263" t="str">
        <f>"ד""ר חיים בן צבי - בי""ח בלינסון"</f>
        <v>ד"ר חיים בן צבי - בי"ח בלינסון</v>
      </c>
      <c r="G263" t="str">
        <f>"22100"</f>
        <v>22100</v>
      </c>
      <c r="H263" t="str">
        <f>"שרותי בריאות כללית-מנהל אספקה"</f>
        <v>שרותי בריאות כללית-מנהל אספקה</v>
      </c>
      <c r="I263" t="str">
        <f>"22100"</f>
        <v>22100</v>
      </c>
      <c r="J263" t="str">
        <f>"שרותי בריאות כללית-מנהל אספקה"</f>
        <v>שרותי בריאות כללית-מנהל אספקה</v>
      </c>
      <c r="L263" t="str">
        <f>"N"</f>
        <v>N</v>
      </c>
      <c r="M263" t="str">
        <f>"UI"</f>
        <v>UI</v>
      </c>
      <c r="N263" t="str">
        <f>"SO20016151"</f>
        <v>SO20016151</v>
      </c>
      <c r="P263">
        <v>0.04</v>
      </c>
      <c r="Q263" s="2">
        <v>4000</v>
      </c>
      <c r="R263">
        <v>585.28</v>
      </c>
      <c r="S263">
        <v>160.702910489</v>
      </c>
    </row>
    <row r="264" spans="1:19" x14ac:dyDescent="0.2">
      <c r="A264" s="1">
        <v>43915</v>
      </c>
      <c r="B264" t="str">
        <f>"SH20017915"</f>
        <v>SH20017915</v>
      </c>
      <c r="C264" t="str">
        <f>"IMRP10243X"</f>
        <v>IMRP10243X</v>
      </c>
      <c r="D264" t="str">
        <f>"Allplex 2019-nCoV 100T - RP10243X"</f>
        <v>Allplex 2019-nCoV 100T - RP10243X</v>
      </c>
      <c r="E264" t="str">
        <f>"200163"</f>
        <v>200163</v>
      </c>
      <c r="F264" t="str">
        <f>"ד""ר ריטה ברנשטיין - בי""ח קפלן"</f>
        <v>ד"ר ריטה ברנשטיין - בי"ח קפלן</v>
      </c>
      <c r="G264" t="str">
        <f>"22100"</f>
        <v>22100</v>
      </c>
      <c r="H264" t="str">
        <f>"שרותי בריאות כללית-מנהל אספקה"</f>
        <v>שרותי בריאות כללית-מנהל אספקה</v>
      </c>
      <c r="I264" t="str">
        <f>"22100"</f>
        <v>22100</v>
      </c>
      <c r="J264" t="str">
        <f>"שרותי בריאות כללית-מנהל אספקה"</f>
        <v>שרותי בריאות כללית-מנהל אספקה</v>
      </c>
      <c r="L264" t="str">
        <f>"N"</f>
        <v>N</v>
      </c>
      <c r="M264" t="str">
        <f>"IMPORT"</f>
        <v>IMPORT</v>
      </c>
      <c r="N264" t="str">
        <f>"SO20016230"</f>
        <v>SO20016230</v>
      </c>
      <c r="P264">
        <v>700</v>
      </c>
      <c r="Q264">
        <v>5</v>
      </c>
      <c r="R264" s="2">
        <v>12803</v>
      </c>
      <c r="S264" s="2">
        <v>3515.3761669410001</v>
      </c>
    </row>
    <row r="265" spans="1:19" x14ac:dyDescent="0.2">
      <c r="A265" s="1">
        <v>43915</v>
      </c>
      <c r="B265" t="str">
        <f>"SH20017917"</f>
        <v>SH20017917</v>
      </c>
      <c r="C265" t="str">
        <f>"IMRP10243X"</f>
        <v>IMRP10243X</v>
      </c>
      <c r="D265" t="str">
        <f>"Allplex 2019-nCoV 100T - RP10243X"</f>
        <v>Allplex 2019-nCoV 100T - RP10243X</v>
      </c>
      <c r="E265" t="str">
        <f>"27027"</f>
        <v>27027</v>
      </c>
      <c r="F265" t="str">
        <f>"שראל-פתרונות לוגיסטיים ומוצרים"</f>
        <v>שראל-פתרונות לוגיסטיים ומוצרים</v>
      </c>
      <c r="K265" t="str">
        <f>"מרק עשוש - שערי צדק"</f>
        <v>מרק עשוש - שערי צדק</v>
      </c>
      <c r="L265" t="str">
        <f>"N"</f>
        <v>N</v>
      </c>
      <c r="M265" t="str">
        <f>"IMPORT"</f>
        <v>IMPORT</v>
      </c>
      <c r="N265" t="str">
        <f>"SO20016229"</f>
        <v>SO20016229</v>
      </c>
      <c r="P265">
        <v>679</v>
      </c>
      <c r="Q265">
        <v>3</v>
      </c>
      <c r="R265" s="2">
        <v>7451.3459999999995</v>
      </c>
      <c r="S265" s="2">
        <v>2045.94892916</v>
      </c>
    </row>
    <row r="266" spans="1:19" x14ac:dyDescent="0.2">
      <c r="A266" s="1">
        <v>43915</v>
      </c>
      <c r="B266" t="str">
        <f>"SH20017931"</f>
        <v>SH20017931</v>
      </c>
      <c r="C266" t="str">
        <f>"IMRP10243X"</f>
        <v>IMRP10243X</v>
      </c>
      <c r="D266" t="str">
        <f>"Allplex 2019-nCoV 100T - RP10243X"</f>
        <v>Allplex 2019-nCoV 100T - RP10243X</v>
      </c>
      <c r="E266" t="str">
        <f>"29893"</f>
        <v>29893</v>
      </c>
      <c r="F266" t="str">
        <f>"מעבדות חי בע""מ"</f>
        <v>מעבדות חי בע"מ</v>
      </c>
      <c r="L266" t="str">
        <f>"N"</f>
        <v>N</v>
      </c>
      <c r="M266" t="str">
        <f>"IMPORT"</f>
        <v>IMPORT</v>
      </c>
      <c r="N266" t="str">
        <f>"SO20016268"</f>
        <v>SO20016268</v>
      </c>
      <c r="P266">
        <v>700</v>
      </c>
      <c r="Q266">
        <v>1</v>
      </c>
      <c r="R266" s="2">
        <v>2560.6</v>
      </c>
      <c r="S266">
        <v>703.07523338800002</v>
      </c>
    </row>
    <row r="267" spans="1:19" x14ac:dyDescent="0.2">
      <c r="A267" s="1">
        <v>43915</v>
      </c>
      <c r="B267" t="str">
        <f>"SH20017936"</f>
        <v>SH20017936</v>
      </c>
      <c r="C267" t="str">
        <f>"IMRP10243X"</f>
        <v>IMRP10243X</v>
      </c>
      <c r="D267" t="str">
        <f>"Allplex 2019-nCoV 100T - RP10243X"</f>
        <v>Allplex 2019-nCoV 100T - RP10243X</v>
      </c>
      <c r="E267" t="str">
        <f>"27027"</f>
        <v>27027</v>
      </c>
      <c r="F267" t="str">
        <f>"שראל-פתרונות לוגיסטיים ומוצרים"</f>
        <v>שראל-פתרונות לוגיסטיים ומוצרים</v>
      </c>
      <c r="K267" t="str">
        <f>"ד""ר ציפורה לזרוביץ - אסף הרופא"</f>
        <v>ד"ר ציפורה לזרוביץ - אסף הרופא</v>
      </c>
      <c r="L267" t="str">
        <f>"N"</f>
        <v>N</v>
      </c>
      <c r="M267" t="str">
        <f>"IMPORT"</f>
        <v>IMPORT</v>
      </c>
      <c r="N267" t="str">
        <f>"SO20016287"</f>
        <v>SO20016287</v>
      </c>
      <c r="P267">
        <v>679</v>
      </c>
      <c r="Q267">
        <v>2</v>
      </c>
      <c r="R267" s="2">
        <v>4967.5640000000003</v>
      </c>
      <c r="S267" s="2">
        <v>1363.965952773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Odelia Cohen</dc:creator>
  <cp:lastModifiedBy>Odelia Cohen</cp:lastModifiedBy>
  <dcterms:created xsi:type="dcterms:W3CDTF">2020-03-26T12:31:02Z</dcterms:created>
  <dcterms:modified xsi:type="dcterms:W3CDTF">2020-03-26T12:31:36Z</dcterms:modified>
</cp:coreProperties>
</file>