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15" yWindow="330" windowWidth="15075" windowHeight="8895" firstSheet="3" activeTab="6"/>
  </bookViews>
  <sheets>
    <sheet name="Case1_Greenland" sheetId="1" r:id="rId1"/>
    <sheet name="Case1_IceBridge" sheetId="2" r:id="rId2"/>
    <sheet name="Case1_Comparison" sheetId="4" r:id="rId3"/>
    <sheet name="Case3_AMDAR" sheetId="3" r:id="rId4"/>
    <sheet name="Case2_GRIP" sheetId="5" r:id="rId5"/>
    <sheet name="Case2_GLOPAC" sheetId="6" r:id="rId6"/>
    <sheet name="Instruments" sheetId="7" r:id="rId7"/>
  </sheets>
  <definedNames>
    <definedName name="ECost">Case1_Greenland!$AD$4</definedName>
    <definedName name="gh" localSheetId="4">Case2_GRIP!$F$22</definedName>
    <definedName name="MCost">Case1_Greenland!$AD$3</definedName>
    <definedName name="TCost">Case1_Greenland!$AD$5</definedName>
  </definedNames>
  <calcPr calcId="125725"/>
</workbook>
</file>

<file path=xl/calcChain.xml><?xml version="1.0" encoding="utf-8"?>
<calcChain xmlns="http://schemas.openxmlformats.org/spreadsheetml/2006/main">
  <c r="C30" i="5"/>
  <c r="C16" i="6"/>
  <c r="Q4" i="3"/>
  <c r="E29"/>
  <c r="G39" i="2"/>
  <c r="G32"/>
  <c r="G35"/>
  <c r="G42"/>
  <c r="Q19"/>
  <c r="L19"/>
  <c r="M19"/>
  <c r="N19"/>
  <c r="O19"/>
  <c r="P19"/>
  <c r="K19"/>
  <c r="H48"/>
  <c r="H46"/>
  <c r="H45"/>
  <c r="B26" i="4" l="1"/>
  <c r="C26" s="1"/>
  <c r="C25"/>
  <c r="C24"/>
  <c r="F10"/>
  <c r="G10" s="1"/>
  <c r="I10" s="1"/>
  <c r="F9"/>
  <c r="G7"/>
  <c r="I7" s="1"/>
  <c r="G8"/>
  <c r="I8" s="1"/>
  <c r="G6"/>
  <c r="I6" s="1"/>
  <c r="G5"/>
  <c r="I5" s="1"/>
  <c r="E4"/>
  <c r="E9" s="1"/>
  <c r="F4"/>
  <c r="G9" l="1"/>
  <c r="I9" s="1"/>
  <c r="D4" l="1"/>
  <c r="G4" s="1"/>
  <c r="I4" s="1"/>
  <c r="Y28" i="1" l="1"/>
  <c r="Z28"/>
  <c r="AA28"/>
  <c r="AB28"/>
  <c r="AC28"/>
  <c r="X28"/>
  <c r="AD28" s="1"/>
  <c r="AD27"/>
  <c r="AD26"/>
  <c r="Y25"/>
  <c r="Z25"/>
  <c r="AA25"/>
  <c r="AB25"/>
  <c r="AC25"/>
  <c r="X25"/>
  <c r="AD25" s="1"/>
  <c r="AD24"/>
  <c r="AD23"/>
  <c r="AD22"/>
  <c r="Y20"/>
  <c r="Y21" s="1"/>
  <c r="Y29" s="1"/>
  <c r="Z20"/>
  <c r="Z21" s="1"/>
  <c r="AA20"/>
  <c r="AA21" s="1"/>
  <c r="AA29" s="1"/>
  <c r="AB20"/>
  <c r="AB21" s="1"/>
  <c r="AC20"/>
  <c r="AC21" s="1"/>
  <c r="AC29" s="1"/>
  <c r="X20"/>
  <c r="X21" s="1"/>
  <c r="AD19"/>
  <c r="AD18"/>
  <c r="AD17"/>
  <c r="AD16"/>
  <c r="AD15"/>
  <c r="AD14"/>
  <c r="AD11"/>
  <c r="AD12"/>
  <c r="AD13"/>
  <c r="AL85"/>
  <c r="AL92"/>
  <c r="AL94"/>
  <c r="AL98"/>
  <c r="AK43"/>
  <c r="AK44"/>
  <c r="AK45"/>
  <c r="AK47"/>
  <c r="AK48"/>
  <c r="AK50"/>
  <c r="AK51"/>
  <c r="AK52"/>
  <c r="AK54"/>
  <c r="AK55"/>
  <c r="AK56"/>
  <c r="AK57"/>
  <c r="AK58"/>
  <c r="AK59"/>
  <c r="AK60"/>
  <c r="AK61"/>
  <c r="AK62"/>
  <c r="AK63"/>
  <c r="AK64"/>
  <c r="AK65"/>
  <c r="AK66"/>
  <c r="AK67"/>
  <c r="AK68"/>
  <c r="AK69"/>
  <c r="AK70"/>
  <c r="AK71"/>
  <c r="AK72"/>
  <c r="AK73"/>
  <c r="AK74"/>
  <c r="AK75"/>
  <c r="AK76"/>
  <c r="AK78"/>
  <c r="AK79"/>
  <c r="AK80"/>
  <c r="AK81"/>
  <c r="AK82"/>
  <c r="AK83"/>
  <c r="AK84"/>
  <c r="AK85"/>
  <c r="AK86"/>
  <c r="AK87"/>
  <c r="AK88"/>
  <c r="AK89"/>
  <c r="AK90"/>
  <c r="AK91"/>
  <c r="AK92"/>
  <c r="AK93"/>
  <c r="AK94"/>
  <c r="AK95"/>
  <c r="AK96"/>
  <c r="AK97"/>
  <c r="AK98"/>
  <c r="AK99"/>
  <c r="AK100"/>
  <c r="AK101"/>
  <c r="AK102"/>
  <c r="AK103"/>
  <c r="AK104"/>
  <c r="AK105"/>
  <c r="AK106"/>
  <c r="AK107"/>
  <c r="AK108"/>
  <c r="AK109"/>
  <c r="AK110"/>
  <c r="AK111"/>
  <c r="AK112"/>
  <c r="AK113"/>
  <c r="AK114"/>
  <c r="AK115"/>
  <c r="AK116"/>
  <c r="AK117"/>
  <c r="AK118"/>
  <c r="AK119"/>
  <c r="AK120"/>
  <c r="AK121"/>
  <c r="AK122"/>
  <c r="AK123"/>
  <c r="AK124"/>
  <c r="AK125"/>
  <c r="AK126"/>
  <c r="AK127"/>
  <c r="AK128"/>
  <c r="AK129"/>
  <c r="AK130"/>
  <c r="AK131"/>
  <c r="AK132"/>
  <c r="AK133"/>
  <c r="AK134"/>
  <c r="AK135"/>
  <c r="AK136"/>
  <c r="AK137"/>
  <c r="AK138"/>
  <c r="AK139"/>
  <c r="AK140"/>
  <c r="AK141"/>
  <c r="AK142"/>
  <c r="AK144"/>
  <c r="AK145"/>
  <c r="AK146"/>
  <c r="AK147"/>
  <c r="AK148"/>
  <c r="AK149"/>
  <c r="AK150"/>
  <c r="AK151"/>
  <c r="AK152"/>
  <c r="AK153"/>
  <c r="AK154"/>
  <c r="AK155"/>
  <c r="AK156"/>
  <c r="AK157"/>
  <c r="AK158"/>
  <c r="AK159"/>
  <c r="AK160"/>
  <c r="AK161"/>
  <c r="AK162"/>
  <c r="AK163"/>
  <c r="AK164"/>
  <c r="AK166"/>
  <c r="AK167"/>
  <c r="AK168"/>
  <c r="AK169"/>
  <c r="AK170"/>
  <c r="AK171"/>
  <c r="AK172"/>
  <c r="AK174"/>
  <c r="AK175"/>
  <c r="AK37"/>
  <c r="AK38"/>
  <c r="AK39"/>
  <c r="AK40"/>
  <c r="AK41"/>
  <c r="AD5"/>
  <c r="AB93" s="1"/>
  <c r="AD4"/>
  <c r="AD3"/>
  <c r="AD78" s="1"/>
  <c r="AV13"/>
  <c r="Y42"/>
  <c r="AA42"/>
  <c r="AC42"/>
  <c r="AE42"/>
  <c r="AG42"/>
  <c r="AI42"/>
  <c r="AV14"/>
  <c r="AV17"/>
  <c r="Y46"/>
  <c r="AA46"/>
  <c r="AC46"/>
  <c r="AE46"/>
  <c r="AG46"/>
  <c r="AI46"/>
  <c r="Y49"/>
  <c r="AA49"/>
  <c r="AC49"/>
  <c r="AE49"/>
  <c r="AG49"/>
  <c r="AI49"/>
  <c r="Y53"/>
  <c r="AA53"/>
  <c r="AC53"/>
  <c r="AE53"/>
  <c r="AG53"/>
  <c r="AI53"/>
  <c r="B37"/>
  <c r="K37"/>
  <c r="Y77"/>
  <c r="AA77"/>
  <c r="AC77"/>
  <c r="AE77"/>
  <c r="AG77"/>
  <c r="AI77"/>
  <c r="E72"/>
  <c r="E73"/>
  <c r="E74" s="1"/>
  <c r="E75" s="1"/>
  <c r="E76" s="1"/>
  <c r="E77" s="1"/>
  <c r="E78" s="1"/>
  <c r="E79" s="1"/>
  <c r="Y143"/>
  <c r="AA143"/>
  <c r="AC143"/>
  <c r="AE143"/>
  <c r="AG143"/>
  <c r="AI143"/>
  <c r="AV119"/>
  <c r="AV120"/>
  <c r="AV121"/>
  <c r="AV122"/>
  <c r="AV123"/>
  <c r="L124"/>
  <c r="AV124"/>
  <c r="L125"/>
  <c r="AV125"/>
  <c r="L126"/>
  <c r="AV126"/>
  <c r="C127"/>
  <c r="D127"/>
  <c r="E127"/>
  <c r="AV127"/>
  <c r="C128"/>
  <c r="D128"/>
  <c r="AV128"/>
  <c r="C129"/>
  <c r="D129"/>
  <c r="E129"/>
  <c r="F129"/>
  <c r="G129"/>
  <c r="H129"/>
  <c r="I129"/>
  <c r="I133" s="1"/>
  <c r="I134" s="1"/>
  <c r="J129"/>
  <c r="K129"/>
  <c r="K133" s="1"/>
  <c r="AV129"/>
  <c r="L130"/>
  <c r="AV130"/>
  <c r="C131"/>
  <c r="D131"/>
  <c r="E131"/>
  <c r="AV131"/>
  <c r="L132"/>
  <c r="AV132"/>
  <c r="G133"/>
  <c r="AV133"/>
  <c r="AV134"/>
  <c r="L135"/>
  <c r="AV135"/>
  <c r="L136"/>
  <c r="AV136"/>
  <c r="L137"/>
  <c r="Y165"/>
  <c r="AA165"/>
  <c r="AC165"/>
  <c r="AE165"/>
  <c r="AG165"/>
  <c r="AI165"/>
  <c r="AV137"/>
  <c r="L138"/>
  <c r="AV138"/>
  <c r="C139"/>
  <c r="D139"/>
  <c r="E139"/>
  <c r="F139"/>
  <c r="G139"/>
  <c r="H139"/>
  <c r="I139"/>
  <c r="J139"/>
  <c r="K139"/>
  <c r="AV139"/>
  <c r="AV140"/>
  <c r="AV141"/>
  <c r="AV142"/>
  <c r="AV143"/>
  <c r="AV144"/>
  <c r="Y173"/>
  <c r="AA173"/>
  <c r="AC173"/>
  <c r="AE173"/>
  <c r="AE176" s="1"/>
  <c r="AG173"/>
  <c r="AG176" s="1"/>
  <c r="AI173"/>
  <c r="AI176" s="1"/>
  <c r="AV145"/>
  <c r="AV146"/>
  <c r="AV147"/>
  <c r="AA176"/>
  <c r="AV148"/>
  <c r="AV149"/>
  <c r="AV150"/>
  <c r="AV151"/>
  <c r="AV152"/>
  <c r="AV153"/>
  <c r="AV154"/>
  <c r="AV155"/>
  <c r="AV156"/>
  <c r="AV157"/>
  <c r="AV158"/>
  <c r="AV159"/>
  <c r="AV160"/>
  <c r="AV161"/>
  <c r="AV162"/>
  <c r="AV163"/>
  <c r="AV164"/>
  <c r="AV165"/>
  <c r="AV166"/>
  <c r="AV167"/>
  <c r="AV168"/>
  <c r="AV169"/>
  <c r="AV170"/>
  <c r="AV171"/>
  <c r="AV172"/>
  <c r="AV173"/>
  <c r="AV174"/>
  <c r="AV175"/>
  <c r="AV176"/>
  <c r="AV177"/>
  <c r="AV178"/>
  <c r="AV179"/>
  <c r="AV180"/>
  <c r="AV181"/>
  <c r="AV182"/>
  <c r="AV183"/>
  <c r="AV184"/>
  <c r="AV185"/>
  <c r="AV186"/>
  <c r="AV187"/>
  <c r="AV188"/>
  <c r="AV189"/>
  <c r="AV190"/>
  <c r="AV191"/>
  <c r="AV192"/>
  <c r="AV193"/>
  <c r="AV194"/>
  <c r="AV195"/>
  <c r="AV196"/>
  <c r="AV197"/>
  <c r="AV198"/>
  <c r="AV199"/>
  <c r="AV200"/>
  <c r="AV201"/>
  <c r="AV202"/>
  <c r="AU217"/>
  <c r="AU218"/>
  <c r="AU219"/>
  <c r="AV220"/>
  <c r="AV224"/>
  <c r="AV230"/>
  <c r="AV233"/>
  <c r="AV234" s="1"/>
  <c r="AV239"/>
  <c r="AV245"/>
  <c r="AV249"/>
  <c r="AB29" l="1"/>
  <c r="Z29"/>
  <c r="AD21"/>
  <c r="X29"/>
  <c r="AD29" s="1"/>
  <c r="AD20"/>
  <c r="I140"/>
  <c r="AV203"/>
  <c r="AY203" s="1"/>
  <c r="G134"/>
  <c r="G140" s="1"/>
  <c r="AK173"/>
  <c r="K134"/>
  <c r="K140" s="1"/>
  <c r="L129"/>
  <c r="D133"/>
  <c r="D134" s="1"/>
  <c r="D140" s="1"/>
  <c r="AK77"/>
  <c r="AK49"/>
  <c r="AK46"/>
  <c r="AJ171"/>
  <c r="AJ169"/>
  <c r="AJ167"/>
  <c r="AH171"/>
  <c r="AH169"/>
  <c r="AH167"/>
  <c r="AF171"/>
  <c r="AF169"/>
  <c r="AF167"/>
  <c r="AD171"/>
  <c r="AD169"/>
  <c r="AD167"/>
  <c r="AB171"/>
  <c r="AB169"/>
  <c r="AB167"/>
  <c r="Z171"/>
  <c r="Z169"/>
  <c r="Z167"/>
  <c r="AJ124"/>
  <c r="AJ122"/>
  <c r="AH123"/>
  <c r="AF124"/>
  <c r="AF122"/>
  <c r="AD123"/>
  <c r="AB124"/>
  <c r="AB122"/>
  <c r="Z124"/>
  <c r="Z122"/>
  <c r="AJ111"/>
  <c r="AJ112" s="1"/>
  <c r="AF111"/>
  <c r="AF112" s="1"/>
  <c r="AB111"/>
  <c r="AB112" s="1"/>
  <c r="Z111"/>
  <c r="AJ106"/>
  <c r="AJ104"/>
  <c r="AJ102"/>
  <c r="AH106"/>
  <c r="AH104"/>
  <c r="AH102"/>
  <c r="AF106"/>
  <c r="AF104"/>
  <c r="AF102"/>
  <c r="AD106"/>
  <c r="AD104"/>
  <c r="AD102"/>
  <c r="AB106"/>
  <c r="AB104"/>
  <c r="AB102"/>
  <c r="Z104"/>
  <c r="Z107"/>
  <c r="Z105"/>
  <c r="Z102"/>
  <c r="AJ95"/>
  <c r="AJ87"/>
  <c r="AJ84"/>
  <c r="AJ82"/>
  <c r="AJ80"/>
  <c r="AH96"/>
  <c r="AH88"/>
  <c r="AH86"/>
  <c r="AH83"/>
  <c r="AH81"/>
  <c r="AH79"/>
  <c r="AF95"/>
  <c r="AF87"/>
  <c r="AF84"/>
  <c r="AF82"/>
  <c r="AF80"/>
  <c r="AD96"/>
  <c r="AD88"/>
  <c r="AD86"/>
  <c r="AD83"/>
  <c r="AD81"/>
  <c r="AD79"/>
  <c r="AB95"/>
  <c r="AB87"/>
  <c r="AB84"/>
  <c r="AJ172"/>
  <c r="AJ170"/>
  <c r="AH172"/>
  <c r="AH170"/>
  <c r="AF172"/>
  <c r="AF170"/>
  <c r="AD172"/>
  <c r="AD170"/>
  <c r="AB172"/>
  <c r="AB170"/>
  <c r="Z172"/>
  <c r="AL172" s="1"/>
  <c r="Z170"/>
  <c r="AL170" s="1"/>
  <c r="AJ123"/>
  <c r="AH124"/>
  <c r="AH122"/>
  <c r="AF123"/>
  <c r="AD124"/>
  <c r="AD122"/>
  <c r="AB123"/>
  <c r="Z123"/>
  <c r="AH111"/>
  <c r="AH112" s="1"/>
  <c r="AD111"/>
  <c r="AD112" s="1"/>
  <c r="AJ107"/>
  <c r="AJ105"/>
  <c r="AJ103"/>
  <c r="AH107"/>
  <c r="AH105"/>
  <c r="AH103"/>
  <c r="AF107"/>
  <c r="AF105"/>
  <c r="AF103"/>
  <c r="AD107"/>
  <c r="AD105"/>
  <c r="AD103"/>
  <c r="AB107"/>
  <c r="AB105"/>
  <c r="AB103"/>
  <c r="Z106"/>
  <c r="Z103"/>
  <c r="AJ96"/>
  <c r="AJ88"/>
  <c r="AJ86"/>
  <c r="AJ83"/>
  <c r="AJ81"/>
  <c r="AJ79"/>
  <c r="AH95"/>
  <c r="AH87"/>
  <c r="AH84"/>
  <c r="AH82"/>
  <c r="AH80"/>
  <c r="AF96"/>
  <c r="AF88"/>
  <c r="AF86"/>
  <c r="AF83"/>
  <c r="AF81"/>
  <c r="AF79"/>
  <c r="AD95"/>
  <c r="AD87"/>
  <c r="AD84"/>
  <c r="AD82"/>
  <c r="AD80"/>
  <c r="AV251"/>
  <c r="AG4" s="1"/>
  <c r="L139"/>
  <c r="Z37"/>
  <c r="Z40"/>
  <c r="Z38"/>
  <c r="AB37"/>
  <c r="AB39"/>
  <c r="AB41"/>
  <c r="AD38"/>
  <c r="AD40"/>
  <c r="AF37"/>
  <c r="AF40"/>
  <c r="AH37"/>
  <c r="AH40"/>
  <c r="AJ37"/>
  <c r="AJ40"/>
  <c r="Z43"/>
  <c r="Z45"/>
  <c r="AB43"/>
  <c r="AB45"/>
  <c r="AD44"/>
  <c r="AF43"/>
  <c r="AF45"/>
  <c r="AH44"/>
  <c r="AJ43"/>
  <c r="AJ45"/>
  <c r="Z48"/>
  <c r="AB47"/>
  <c r="AD47"/>
  <c r="AF47"/>
  <c r="AH47"/>
  <c r="AJ47"/>
  <c r="Z50"/>
  <c r="Z52"/>
  <c r="AB50"/>
  <c r="AB52"/>
  <c r="AD51"/>
  <c r="AF50"/>
  <c r="AF52"/>
  <c r="AH51"/>
  <c r="AJ50"/>
  <c r="AJ52"/>
  <c r="Z76"/>
  <c r="Z69"/>
  <c r="Z67"/>
  <c r="Z65"/>
  <c r="Z63"/>
  <c r="Z61"/>
  <c r="Z59"/>
  <c r="Z55"/>
  <c r="Z73"/>
  <c r="Z71"/>
  <c r="Z56"/>
  <c r="AB55"/>
  <c r="AB57"/>
  <c r="AB59"/>
  <c r="AB61"/>
  <c r="AB63"/>
  <c r="AB65"/>
  <c r="AB67"/>
  <c r="AB69"/>
  <c r="AB71"/>
  <c r="AB73"/>
  <c r="AB75"/>
  <c r="AD54"/>
  <c r="AD56"/>
  <c r="AD58"/>
  <c r="AD60"/>
  <c r="AD62"/>
  <c r="AD64"/>
  <c r="AD66"/>
  <c r="AD68"/>
  <c r="AD70"/>
  <c r="AD72"/>
  <c r="AD74"/>
  <c r="AD76"/>
  <c r="AF55"/>
  <c r="AF57"/>
  <c r="AF59"/>
  <c r="AF61"/>
  <c r="AF63"/>
  <c r="AF65"/>
  <c r="AF67"/>
  <c r="AF69"/>
  <c r="AF71"/>
  <c r="AF73"/>
  <c r="AF75"/>
  <c r="AH54"/>
  <c r="AH56"/>
  <c r="AH58"/>
  <c r="AH60"/>
  <c r="AH62"/>
  <c r="AH64"/>
  <c r="AH66"/>
  <c r="AH68"/>
  <c r="AH70"/>
  <c r="AH72"/>
  <c r="AH74"/>
  <c r="AH76"/>
  <c r="AJ55"/>
  <c r="AJ57"/>
  <c r="AJ59"/>
  <c r="AJ61"/>
  <c r="AJ63"/>
  <c r="AJ65"/>
  <c r="AJ67"/>
  <c r="AJ69"/>
  <c r="AJ71"/>
  <c r="AJ73"/>
  <c r="AJ75"/>
  <c r="Z78"/>
  <c r="Z80"/>
  <c r="Z82"/>
  <c r="Z84"/>
  <c r="Z87"/>
  <c r="Z89"/>
  <c r="Z91"/>
  <c r="Z95"/>
  <c r="Z97"/>
  <c r="AB79"/>
  <c r="AB81"/>
  <c r="AB83"/>
  <c r="AB88"/>
  <c r="AJ174"/>
  <c r="AJ175" s="1"/>
  <c r="AH174"/>
  <c r="AH175" s="1"/>
  <c r="AF174"/>
  <c r="AF175" s="1"/>
  <c r="AD174"/>
  <c r="AD175" s="1"/>
  <c r="AB174"/>
  <c r="AB175" s="1"/>
  <c r="AJ100"/>
  <c r="AH100"/>
  <c r="AF100"/>
  <c r="AD100"/>
  <c r="AB100"/>
  <c r="AJ78"/>
  <c r="AF78"/>
  <c r="AJ168"/>
  <c r="AJ166"/>
  <c r="AH168"/>
  <c r="AH166"/>
  <c r="AF168"/>
  <c r="AF166"/>
  <c r="AD168"/>
  <c r="AD166"/>
  <c r="AB168"/>
  <c r="AB166"/>
  <c r="Z174"/>
  <c r="Z168"/>
  <c r="Z166"/>
  <c r="AJ101"/>
  <c r="AH101"/>
  <c r="AF101"/>
  <c r="AD101"/>
  <c r="AB101"/>
  <c r="Z100"/>
  <c r="Z101"/>
  <c r="AH78"/>
  <c r="AJ164"/>
  <c r="AJ162"/>
  <c r="AJ160"/>
  <c r="AJ158"/>
  <c r="AJ156"/>
  <c r="AJ154"/>
  <c r="AJ152"/>
  <c r="AJ150"/>
  <c r="AJ148"/>
  <c r="AJ146"/>
  <c r="AJ144"/>
  <c r="AH163"/>
  <c r="AH161"/>
  <c r="AH159"/>
  <c r="AH157"/>
  <c r="AH155"/>
  <c r="AH153"/>
  <c r="AH151"/>
  <c r="AH149"/>
  <c r="AH147"/>
  <c r="AH145"/>
  <c r="AF164"/>
  <c r="AF162"/>
  <c r="AF160"/>
  <c r="AF158"/>
  <c r="AF156"/>
  <c r="AF154"/>
  <c r="AF152"/>
  <c r="AF150"/>
  <c r="AF148"/>
  <c r="AF146"/>
  <c r="AF144"/>
  <c r="AD163"/>
  <c r="AD161"/>
  <c r="AD159"/>
  <c r="AD157"/>
  <c r="AD155"/>
  <c r="AD153"/>
  <c r="AD151"/>
  <c r="AD149"/>
  <c r="AD147"/>
  <c r="AD145"/>
  <c r="AB164"/>
  <c r="AB162"/>
  <c r="AB160"/>
  <c r="AB158"/>
  <c r="AB156"/>
  <c r="AB154"/>
  <c r="AB152"/>
  <c r="AB150"/>
  <c r="AB148"/>
  <c r="AB146"/>
  <c r="AB144"/>
  <c r="Z145"/>
  <c r="Z147"/>
  <c r="Z149"/>
  <c r="Z151"/>
  <c r="Z153"/>
  <c r="Z155"/>
  <c r="Z157"/>
  <c r="Z159"/>
  <c r="Z161"/>
  <c r="Z163"/>
  <c r="Z144"/>
  <c r="AJ141"/>
  <c r="AJ139"/>
  <c r="AJ137"/>
  <c r="AJ135"/>
  <c r="AJ133"/>
  <c r="AJ131"/>
  <c r="AJ129"/>
  <c r="AJ127"/>
  <c r="AH142"/>
  <c r="AH140"/>
  <c r="AH138"/>
  <c r="AH136"/>
  <c r="AH134"/>
  <c r="AH132"/>
  <c r="AH130"/>
  <c r="AH128"/>
  <c r="AH126"/>
  <c r="AF141"/>
  <c r="AF139"/>
  <c r="AF137"/>
  <c r="AF135"/>
  <c r="AF133"/>
  <c r="AF131"/>
  <c r="AF129"/>
  <c r="AF127"/>
  <c r="AD142"/>
  <c r="AD140"/>
  <c r="AD138"/>
  <c r="AD136"/>
  <c r="AD134"/>
  <c r="AD132"/>
  <c r="AD130"/>
  <c r="AD128"/>
  <c r="AD126"/>
  <c r="AB141"/>
  <c r="AB139"/>
  <c r="AB137"/>
  <c r="AB135"/>
  <c r="AB133"/>
  <c r="AB131"/>
  <c r="AB129"/>
  <c r="AB127"/>
  <c r="Z128"/>
  <c r="Z130"/>
  <c r="Z132"/>
  <c r="Z134"/>
  <c r="Z136"/>
  <c r="Z138"/>
  <c r="Z140"/>
  <c r="Z142"/>
  <c r="AJ119"/>
  <c r="AJ117"/>
  <c r="AJ115"/>
  <c r="AJ113"/>
  <c r="AH119"/>
  <c r="AH117"/>
  <c r="AH115"/>
  <c r="AH113"/>
  <c r="AF119"/>
  <c r="AF117"/>
  <c r="AF115"/>
  <c r="AF113"/>
  <c r="AD119"/>
  <c r="AD117"/>
  <c r="AD115"/>
  <c r="AD113"/>
  <c r="AB119"/>
  <c r="AB117"/>
  <c r="AB115"/>
  <c r="AB113"/>
  <c r="Z114"/>
  <c r="Z116"/>
  <c r="Z118"/>
  <c r="Z120"/>
  <c r="AJ108"/>
  <c r="AH108"/>
  <c r="AF108"/>
  <c r="AD108"/>
  <c r="AB108"/>
  <c r="Z109"/>
  <c r="AJ97"/>
  <c r="AJ91"/>
  <c r="AJ89"/>
  <c r="AH93"/>
  <c r="AH90"/>
  <c r="AF97"/>
  <c r="AF91"/>
  <c r="AF89"/>
  <c r="AD93"/>
  <c r="AD90"/>
  <c r="AB97"/>
  <c r="AB91"/>
  <c r="AB89"/>
  <c r="AJ163"/>
  <c r="AJ161"/>
  <c r="AJ159"/>
  <c r="AJ157"/>
  <c r="AJ155"/>
  <c r="AJ153"/>
  <c r="AJ151"/>
  <c r="AJ149"/>
  <c r="AJ147"/>
  <c r="AJ145"/>
  <c r="AH164"/>
  <c r="AH162"/>
  <c r="AH160"/>
  <c r="AH158"/>
  <c r="AH156"/>
  <c r="AH154"/>
  <c r="AH152"/>
  <c r="AH150"/>
  <c r="AH148"/>
  <c r="AH146"/>
  <c r="AH144"/>
  <c r="AF163"/>
  <c r="AF161"/>
  <c r="AF159"/>
  <c r="AF157"/>
  <c r="AF155"/>
  <c r="AF153"/>
  <c r="AF151"/>
  <c r="AF149"/>
  <c r="AF147"/>
  <c r="AF145"/>
  <c r="AD164"/>
  <c r="AD162"/>
  <c r="AD160"/>
  <c r="AD158"/>
  <c r="AD156"/>
  <c r="AD154"/>
  <c r="AD152"/>
  <c r="AD150"/>
  <c r="AD148"/>
  <c r="AD146"/>
  <c r="AD144"/>
  <c r="AB163"/>
  <c r="AB161"/>
  <c r="AB159"/>
  <c r="AB157"/>
  <c r="AB155"/>
  <c r="AB153"/>
  <c r="AB151"/>
  <c r="AB149"/>
  <c r="AB147"/>
  <c r="AB145"/>
  <c r="Z146"/>
  <c r="Z148"/>
  <c r="Z150"/>
  <c r="Z152"/>
  <c r="Z154"/>
  <c r="Z156"/>
  <c r="Z158"/>
  <c r="Z160"/>
  <c r="Z162"/>
  <c r="Z164"/>
  <c r="AJ142"/>
  <c r="AJ140"/>
  <c r="AJ138"/>
  <c r="AJ136"/>
  <c r="AJ134"/>
  <c r="AJ132"/>
  <c r="AJ130"/>
  <c r="AJ128"/>
  <c r="AJ126"/>
  <c r="AH141"/>
  <c r="AH139"/>
  <c r="AH137"/>
  <c r="AH135"/>
  <c r="AH133"/>
  <c r="AH131"/>
  <c r="AH129"/>
  <c r="AH127"/>
  <c r="AF142"/>
  <c r="AF140"/>
  <c r="AF138"/>
  <c r="AF136"/>
  <c r="AF134"/>
  <c r="AF132"/>
  <c r="AF130"/>
  <c r="AF128"/>
  <c r="AF126"/>
  <c r="AD141"/>
  <c r="AD139"/>
  <c r="AD137"/>
  <c r="AD135"/>
  <c r="AD133"/>
  <c r="AD131"/>
  <c r="AD129"/>
  <c r="AD127"/>
  <c r="AB142"/>
  <c r="AB140"/>
  <c r="AB138"/>
  <c r="AB136"/>
  <c r="AB134"/>
  <c r="AB132"/>
  <c r="AB130"/>
  <c r="AB128"/>
  <c r="AB126"/>
  <c r="Z127"/>
  <c r="Z129"/>
  <c r="Z131"/>
  <c r="Z133"/>
  <c r="Z135"/>
  <c r="Z137"/>
  <c r="Z139"/>
  <c r="Z141"/>
  <c r="Z126"/>
  <c r="AJ120"/>
  <c r="AJ118"/>
  <c r="AJ116"/>
  <c r="AJ114"/>
  <c r="AH120"/>
  <c r="AH118"/>
  <c r="AH116"/>
  <c r="AH114"/>
  <c r="AF120"/>
  <c r="AF118"/>
  <c r="AF116"/>
  <c r="AF114"/>
  <c r="AD120"/>
  <c r="AD118"/>
  <c r="AD116"/>
  <c r="AD114"/>
  <c r="AB120"/>
  <c r="AB118"/>
  <c r="AB116"/>
  <c r="AB114"/>
  <c r="Z115"/>
  <c r="Z117"/>
  <c r="Z119"/>
  <c r="Z113"/>
  <c r="AJ109"/>
  <c r="AH109"/>
  <c r="AF109"/>
  <c r="AD109"/>
  <c r="AB109"/>
  <c r="Z108"/>
  <c r="AJ93"/>
  <c r="AJ90"/>
  <c r="AH97"/>
  <c r="AH91"/>
  <c r="AH89"/>
  <c r="AF93"/>
  <c r="AF90"/>
  <c r="AD97"/>
  <c r="AD91"/>
  <c r="AD89"/>
  <c r="Z41"/>
  <c r="Z39"/>
  <c r="AL39" s="1"/>
  <c r="AB38"/>
  <c r="AB40"/>
  <c r="AD37"/>
  <c r="AD41"/>
  <c r="AF38"/>
  <c r="AF41"/>
  <c r="AH38"/>
  <c r="AH41"/>
  <c r="AJ38"/>
  <c r="AJ41"/>
  <c r="Z44"/>
  <c r="AB44"/>
  <c r="AD43"/>
  <c r="AD45"/>
  <c r="AF44"/>
  <c r="AH43"/>
  <c r="AH45"/>
  <c r="AJ44"/>
  <c r="Z47"/>
  <c r="AB48"/>
  <c r="AD48"/>
  <c r="AF48"/>
  <c r="AH48"/>
  <c r="AJ48"/>
  <c r="Z51"/>
  <c r="AB51"/>
  <c r="AD50"/>
  <c r="AD52"/>
  <c r="AF51"/>
  <c r="AH50"/>
  <c r="AH52"/>
  <c r="AJ51"/>
  <c r="Z54"/>
  <c r="Z74"/>
  <c r="Z68"/>
  <c r="Z66"/>
  <c r="Z64"/>
  <c r="Z62"/>
  <c r="Z60"/>
  <c r="Z58"/>
  <c r="Z75"/>
  <c r="Z72"/>
  <c r="Z70"/>
  <c r="Z57"/>
  <c r="AB54"/>
  <c r="AB56"/>
  <c r="AB58"/>
  <c r="AB60"/>
  <c r="AB62"/>
  <c r="AB64"/>
  <c r="AB66"/>
  <c r="AB68"/>
  <c r="AB70"/>
  <c r="AB72"/>
  <c r="AB74"/>
  <c r="AB76"/>
  <c r="AD55"/>
  <c r="AD57"/>
  <c r="AD59"/>
  <c r="AD61"/>
  <c r="AD63"/>
  <c r="AD65"/>
  <c r="AD67"/>
  <c r="AD69"/>
  <c r="AD71"/>
  <c r="AD73"/>
  <c r="AD75"/>
  <c r="AF54"/>
  <c r="AF56"/>
  <c r="AF58"/>
  <c r="AF60"/>
  <c r="AF62"/>
  <c r="AF64"/>
  <c r="AF66"/>
  <c r="AF68"/>
  <c r="AF70"/>
  <c r="AF72"/>
  <c r="AF74"/>
  <c r="AF76"/>
  <c r="AH55"/>
  <c r="AH57"/>
  <c r="AH59"/>
  <c r="AH61"/>
  <c r="AH63"/>
  <c r="AH65"/>
  <c r="AH67"/>
  <c r="AH69"/>
  <c r="AH71"/>
  <c r="AH73"/>
  <c r="AH75"/>
  <c r="AJ54"/>
  <c r="AJ56"/>
  <c r="AJ58"/>
  <c r="AJ60"/>
  <c r="AJ62"/>
  <c r="AJ64"/>
  <c r="AJ66"/>
  <c r="AJ68"/>
  <c r="AJ70"/>
  <c r="AJ72"/>
  <c r="AJ74"/>
  <c r="AJ76"/>
  <c r="Z79"/>
  <c r="Z81"/>
  <c r="Z83"/>
  <c r="Z86"/>
  <c r="Z88"/>
  <c r="Z90"/>
  <c r="Z93"/>
  <c r="Z96"/>
  <c r="AB78"/>
  <c r="AB80"/>
  <c r="AB82"/>
  <c r="AB86"/>
  <c r="AB90"/>
  <c r="AB96"/>
  <c r="AK165"/>
  <c r="Y176"/>
  <c r="AK143"/>
  <c r="AK53"/>
  <c r="AC176"/>
  <c r="AK42"/>
  <c r="L131"/>
  <c r="E133"/>
  <c r="E134" s="1"/>
  <c r="E140" s="1"/>
  <c r="L127"/>
  <c r="J133"/>
  <c r="J134" s="1"/>
  <c r="J140" s="1"/>
  <c r="H133"/>
  <c r="H134" s="1"/>
  <c r="H140" s="1"/>
  <c r="F133"/>
  <c r="F134" s="1"/>
  <c r="F140" s="1"/>
  <c r="L128"/>
  <c r="C133"/>
  <c r="AL88" l="1"/>
  <c r="AL83"/>
  <c r="AL79"/>
  <c r="AF53"/>
  <c r="AL81"/>
  <c r="AJ53"/>
  <c r="AL40"/>
  <c r="AL128"/>
  <c r="AL93"/>
  <c r="AL119"/>
  <c r="AL115"/>
  <c r="AD53"/>
  <c r="AL45"/>
  <c r="AD46"/>
  <c r="AD42"/>
  <c r="AL41"/>
  <c r="AL141"/>
  <c r="AL137"/>
  <c r="AL133"/>
  <c r="AL129"/>
  <c r="AL126"/>
  <c r="AL130"/>
  <c r="AL134"/>
  <c r="AL138"/>
  <c r="AL142"/>
  <c r="AL132"/>
  <c r="AL136"/>
  <c r="AL140"/>
  <c r="AL162"/>
  <c r="AL158"/>
  <c r="AL154"/>
  <c r="AL150"/>
  <c r="AL146"/>
  <c r="AF165"/>
  <c r="AH165"/>
  <c r="AL100"/>
  <c r="AL95"/>
  <c r="AL84"/>
  <c r="AL103"/>
  <c r="AH125"/>
  <c r="AL102"/>
  <c r="AL169"/>
  <c r="AJ143"/>
  <c r="AK176"/>
  <c r="AB143"/>
  <c r="AL108"/>
  <c r="AL117"/>
  <c r="AL87"/>
  <c r="AL43"/>
  <c r="AL106"/>
  <c r="AD99"/>
  <c r="Z121"/>
  <c r="AL113"/>
  <c r="Z110"/>
  <c r="AL101"/>
  <c r="Z99"/>
  <c r="AL78"/>
  <c r="Z53"/>
  <c r="AL50"/>
  <c r="AL37"/>
  <c r="Z42"/>
  <c r="Z112"/>
  <c r="AL112" s="1"/>
  <c r="AL111"/>
  <c r="Z125"/>
  <c r="AL122"/>
  <c r="AL96"/>
  <c r="AL90"/>
  <c r="AL86"/>
  <c r="AF77"/>
  <c r="AL57"/>
  <c r="AL72"/>
  <c r="AL58"/>
  <c r="AL62"/>
  <c r="AL66"/>
  <c r="AL74"/>
  <c r="AH53"/>
  <c r="AH46"/>
  <c r="Z143"/>
  <c r="AL139"/>
  <c r="AL135"/>
  <c r="AL131"/>
  <c r="AL127"/>
  <c r="AF143"/>
  <c r="AL164"/>
  <c r="AL160"/>
  <c r="AL156"/>
  <c r="AL152"/>
  <c r="AL148"/>
  <c r="AD165"/>
  <c r="AL118"/>
  <c r="AL114"/>
  <c r="AH143"/>
  <c r="AL163"/>
  <c r="AL159"/>
  <c r="AL155"/>
  <c r="AL151"/>
  <c r="AL147"/>
  <c r="AB165"/>
  <c r="AJ165"/>
  <c r="AB110"/>
  <c r="AF110"/>
  <c r="AJ110"/>
  <c r="AL168"/>
  <c r="AB173"/>
  <c r="AD173"/>
  <c r="AF173"/>
  <c r="AH173"/>
  <c r="AJ173"/>
  <c r="AF99"/>
  <c r="AL97"/>
  <c r="AL91"/>
  <c r="AL82"/>
  <c r="AD77"/>
  <c r="AL56"/>
  <c r="AL73"/>
  <c r="AL59"/>
  <c r="AL63"/>
  <c r="AL67"/>
  <c r="AL76"/>
  <c r="AB53"/>
  <c r="AL53" s="1"/>
  <c r="AH49"/>
  <c r="AD49"/>
  <c r="AL48"/>
  <c r="AJ46"/>
  <c r="AB46"/>
  <c r="Z46"/>
  <c r="AJ42"/>
  <c r="AH42"/>
  <c r="AF42"/>
  <c r="AL123"/>
  <c r="AD125"/>
  <c r="AL105"/>
  <c r="AL104"/>
  <c r="AB125"/>
  <c r="AJ125"/>
  <c r="AL167"/>
  <c r="AL171"/>
  <c r="AL54"/>
  <c r="Z77"/>
  <c r="Z49"/>
  <c r="AL47"/>
  <c r="Z165"/>
  <c r="AL144"/>
  <c r="Z173"/>
  <c r="AL166"/>
  <c r="Z175"/>
  <c r="AL174"/>
  <c r="AB99"/>
  <c r="AJ77"/>
  <c r="AB77"/>
  <c r="AL70"/>
  <c r="AL75"/>
  <c r="AL60"/>
  <c r="AL64"/>
  <c r="AL68"/>
  <c r="AL51"/>
  <c r="AL44"/>
  <c r="AL38"/>
  <c r="AL109"/>
  <c r="AL120"/>
  <c r="AL116"/>
  <c r="AB121"/>
  <c r="AD121"/>
  <c r="AF121"/>
  <c r="AH121"/>
  <c r="AJ121"/>
  <c r="AD143"/>
  <c r="AL161"/>
  <c r="AL157"/>
  <c r="AL153"/>
  <c r="AL149"/>
  <c r="AL145"/>
  <c r="AH99"/>
  <c r="AD110"/>
  <c r="AH110"/>
  <c r="AJ99"/>
  <c r="AL89"/>
  <c r="AL80"/>
  <c r="AH77"/>
  <c r="AL71"/>
  <c r="AL55"/>
  <c r="AL61"/>
  <c r="AL65"/>
  <c r="AL69"/>
  <c r="AL52"/>
  <c r="AJ49"/>
  <c r="AF49"/>
  <c r="AB49"/>
  <c r="AF46"/>
  <c r="AB42"/>
  <c r="AL107"/>
  <c r="AL124"/>
  <c r="AF125"/>
  <c r="L133"/>
  <c r="C134"/>
  <c r="AE19" l="1"/>
  <c r="AE12"/>
  <c r="AE11"/>
  <c r="AL42"/>
  <c r="AF176"/>
  <c r="AH176"/>
  <c r="AJ176"/>
  <c r="AD176"/>
  <c r="Z176"/>
  <c r="AL175"/>
  <c r="AL121"/>
  <c r="AB176"/>
  <c r="AL173"/>
  <c r="AL165"/>
  <c r="AL49"/>
  <c r="AL46"/>
  <c r="AL143"/>
  <c r="AL125"/>
  <c r="AL99"/>
  <c r="AL110"/>
  <c r="AL77"/>
  <c r="L134"/>
  <c r="C140"/>
  <c r="L140" s="1"/>
  <c r="AL176" l="1"/>
  <c r="AG3" s="1"/>
  <c r="AG5" l="1"/>
  <c r="AI5" s="1"/>
  <c r="AN5" s="1"/>
</calcChain>
</file>

<file path=xl/sharedStrings.xml><?xml version="1.0" encoding="utf-8"?>
<sst xmlns="http://schemas.openxmlformats.org/spreadsheetml/2006/main" count="2968" uniqueCount="1318">
  <si>
    <t>Total</t>
  </si>
  <si>
    <t>Aurora</t>
  </si>
  <si>
    <t>Manassas</t>
  </si>
  <si>
    <t>APL</t>
  </si>
  <si>
    <t>Columbia</t>
  </si>
  <si>
    <t># of Trips</t>
  </si>
  <si>
    <t xml:space="preserve"> Duration -</t>
  </si>
  <si>
    <t xml:space="preserve">  # Travelers</t>
  </si>
  <si>
    <t>Purpose of Travel</t>
  </si>
  <si>
    <t>Destination</t>
  </si>
  <si>
    <t>~1000</t>
  </si>
  <si>
    <t>Books/Journals</t>
  </si>
  <si>
    <t>~1500</t>
  </si>
  <si>
    <t>Computers</t>
  </si>
  <si>
    <t>Printer Materials</t>
  </si>
  <si>
    <t>~2000</t>
  </si>
  <si>
    <t>Computer Supplies</t>
  </si>
  <si>
    <t>~3000</t>
  </si>
  <si>
    <t>Softwaren&amp; Licenses</t>
  </si>
  <si>
    <t>Harvard</t>
  </si>
  <si>
    <t>TX</t>
  </si>
  <si>
    <t>Plano,</t>
  </si>
  <si>
    <t>VA</t>
  </si>
  <si>
    <t>Manassas,</t>
  </si>
  <si>
    <t>New</t>
  </si>
  <si>
    <t>Hamilton,</t>
  </si>
  <si>
    <t># cars</t>
  </si>
  <si>
    <t>Days</t>
  </si>
  <si>
    <t>#Travelers</t>
  </si>
  <si>
    <t>Engineering Judgment</t>
  </si>
  <si>
    <t>Calibration of GSE</t>
  </si>
  <si>
    <t>Science Development Workstation</t>
  </si>
  <si>
    <t>Field</t>
  </si>
  <si>
    <t>Kangerlussuaq,</t>
  </si>
  <si>
    <t>Copenhagen</t>
  </si>
  <si>
    <t>Onboard</t>
  </si>
  <si>
    <t>Ground</t>
  </si>
  <si>
    <t>Calibration</t>
  </si>
  <si>
    <t xml:space="preserve">Total </t>
  </si>
  <si>
    <t>Housing Allow for site</t>
  </si>
  <si>
    <t>-</t>
  </si>
  <si>
    <t>Greenland ops</t>
  </si>
  <si>
    <t xml:space="preserve"> Setup</t>
  </si>
  <si>
    <t>NASA airworthiness</t>
  </si>
  <si>
    <t xml:space="preserve">Dryden or Wallops </t>
  </si>
  <si>
    <t>Danish CAA</t>
  </si>
  <si>
    <t>Copenhagen,</t>
  </si>
  <si>
    <t xml:space="preserve"> FAA certification</t>
  </si>
  <si>
    <t>Washington, DC</t>
  </si>
  <si>
    <t xml:space="preserve"> CDL VCS software license Manufacturer supplied estimates 2</t>
  </si>
  <si>
    <t>Other materials for C2</t>
  </si>
  <si>
    <t>Wiring Related items Manufacturer supplied estimates 2</t>
  </si>
  <si>
    <t>Ground power supply Manufacturer supplied estimates 2</t>
  </si>
  <si>
    <t>Panasonic Toughbook CF 52 Manufacturer supplied estimates 2</t>
  </si>
  <si>
    <t>S-band transmitter Manufacturer supplied estimates 2</t>
  </si>
  <si>
    <t>L-band receiver Manufacturer supplied estimates 2</t>
  </si>
  <si>
    <t>Ground Micro hard Manufacturer supplied estimates 2</t>
  </si>
  <si>
    <t>Ground VHF antenna Manufacturer supplied estimates 2</t>
  </si>
  <si>
    <t>Ground GPS antenna Manufacturer supplied estimates 2</t>
  </si>
  <si>
    <t>Ground GPS Manufacturer supplied estimates 2</t>
  </si>
  <si>
    <t>Ground Station #2</t>
  </si>
  <si>
    <t xml:space="preserve">Ground GPS antenna </t>
  </si>
  <si>
    <t xml:space="preserve">Ground GPS </t>
  </si>
  <si>
    <t>Ground Station #1</t>
  </si>
  <si>
    <t xml:space="preserve">rGound power supply </t>
  </si>
  <si>
    <t xml:space="preserve">Panasonic Toughbook CF52 </t>
  </si>
  <si>
    <t xml:space="preserve">S-band tx </t>
  </si>
  <si>
    <t xml:space="preserve">L-band rx </t>
  </si>
  <si>
    <t xml:space="preserve">Ground VHF antenna </t>
  </si>
  <si>
    <t xml:space="preserve">GPS antenna </t>
  </si>
  <si>
    <t xml:space="preserve">Spare iridium modem </t>
  </si>
  <si>
    <t>Spare connectors, switches,</t>
  </si>
  <si>
    <t xml:space="preserve">Spare antennas </t>
  </si>
  <si>
    <t xml:space="preserve">Spare S-band receiver </t>
  </si>
  <si>
    <t xml:space="preserve">Spare L-band transmitter </t>
  </si>
  <si>
    <t>GuideStar spare</t>
  </si>
  <si>
    <t>Spare ACMC</t>
  </si>
  <si>
    <t>Spare servos</t>
  </si>
  <si>
    <t>Parts for umbilical cable used</t>
  </si>
  <si>
    <t>Tesla GPU Previously purchased</t>
  </si>
  <si>
    <t>Ground Support Equipment for</t>
  </si>
  <si>
    <t>All avionics except GS311 and</t>
  </si>
  <si>
    <t>flight test engineer panel</t>
  </si>
  <si>
    <t>pilot interface panel mounts</t>
  </si>
  <si>
    <t>antenna mounts</t>
  </si>
  <si>
    <t>aluminum for avionics</t>
  </si>
  <si>
    <t>materials for air data probe</t>
  </si>
  <si>
    <t>avionics equipment mounting</t>
  </si>
  <si>
    <t>hardware,</t>
  </si>
  <si>
    <t>Relays airframe</t>
  </si>
  <si>
    <t>quote</t>
  </si>
  <si>
    <t>Manufacturer's</t>
  </si>
  <si>
    <t>Servos</t>
  </si>
  <si>
    <t>GS-311</t>
  </si>
  <si>
    <t>GuideStar</t>
  </si>
  <si>
    <t>avionics miscellaneous</t>
  </si>
  <si>
    <t>modem</t>
  </si>
  <si>
    <t>Spare iridium</t>
  </si>
  <si>
    <t>Misc Spare</t>
  </si>
  <si>
    <t>Spare antennas</t>
  </si>
  <si>
    <t>Science</t>
  </si>
  <si>
    <t>hard</t>
  </si>
  <si>
    <t>Spare Micro</t>
  </si>
  <si>
    <t>Previously</t>
  </si>
  <si>
    <t>Graduate Student</t>
  </si>
  <si>
    <t>Post Doctoral Fellow</t>
  </si>
  <si>
    <t>for</t>
  </si>
  <si>
    <t>materials GSE</t>
  </si>
  <si>
    <t>Data Distribution Coordinator</t>
  </si>
  <si>
    <t>HILsim harness</t>
  </si>
  <si>
    <t>Data Archiver</t>
  </si>
  <si>
    <t>avionics</t>
  </si>
  <si>
    <t>Data Center Manager</t>
  </si>
  <si>
    <t>Total Investigation Cost</t>
  </si>
  <si>
    <t>software</t>
  </si>
  <si>
    <t>CDL VCS</t>
  </si>
  <si>
    <t>Programmer</t>
  </si>
  <si>
    <t>Total Contributions</t>
  </si>
  <si>
    <t>Other Materials</t>
  </si>
  <si>
    <t>Principal Investigator</t>
  </si>
  <si>
    <t>Tools</t>
  </si>
  <si>
    <t>Harvard Data Analysis HW Contributions</t>
  </si>
  <si>
    <t>Ground power supply</t>
  </si>
  <si>
    <t>Flight</t>
  </si>
  <si>
    <t>Harvard Principle Investigator Contributions</t>
  </si>
  <si>
    <t>Panasonic Toughbook</t>
  </si>
  <si>
    <t>Assembly</t>
  </si>
  <si>
    <t>Co-Investigators Contributions</t>
  </si>
  <si>
    <t>S-band transmitter</t>
  </si>
  <si>
    <t>Systems</t>
  </si>
  <si>
    <t>Total Proposal Cost to NASA</t>
  </si>
  <si>
    <t>L-band receiver</t>
  </si>
  <si>
    <t>Avionics</t>
  </si>
  <si>
    <t>Reserves</t>
  </si>
  <si>
    <t>Ground Mciro hard</t>
  </si>
  <si>
    <t>Science Team</t>
  </si>
  <si>
    <t>Ground VHF antenna</t>
  </si>
  <si>
    <t>$-</t>
  </si>
  <si>
    <t>Integration and Test</t>
  </si>
  <si>
    <t>Ground GPS antenna</t>
  </si>
  <si>
    <t>Science Data Processor</t>
  </si>
  <si>
    <t>Ground GPS</t>
  </si>
  <si>
    <t>Machinist</t>
  </si>
  <si>
    <t>Investigation operations</t>
  </si>
  <si>
    <t>flight test eng mount</t>
  </si>
  <si>
    <t>Flight System and Services</t>
  </si>
  <si>
    <t>pilot interface</t>
  </si>
  <si>
    <t>Instruments</t>
  </si>
  <si>
    <t>Safety &amp; Investigation Assurance</t>
  </si>
  <si>
    <t>aluminum</t>
  </si>
  <si>
    <t>Aeronautic</t>
  </si>
  <si>
    <t>Systems Engineering</t>
  </si>
  <si>
    <t>materials</t>
  </si>
  <si>
    <t>Project Management</t>
  </si>
  <si>
    <t>WBS Element</t>
  </si>
  <si>
    <t>WBS #</t>
  </si>
  <si>
    <t>Software</t>
  </si>
  <si>
    <t>Total (Real Yr.)</t>
  </si>
  <si>
    <t>FY18</t>
  </si>
  <si>
    <t>FY17</t>
  </si>
  <si>
    <t>FY16</t>
  </si>
  <si>
    <t>FY15</t>
  </si>
  <si>
    <t>FY14</t>
  </si>
  <si>
    <t>FY13</t>
  </si>
  <si>
    <t>FY12</t>
  </si>
  <si>
    <t>FY11</t>
  </si>
  <si>
    <t>FY10</t>
  </si>
  <si>
    <t>Proposed Cost to NASA</t>
  </si>
  <si>
    <t>Relays</t>
  </si>
  <si>
    <t>FY costs in Real Year Dollars</t>
  </si>
  <si>
    <t>Structures</t>
  </si>
  <si>
    <t>Two DA42M</t>
  </si>
  <si>
    <t>Recurring Cost</t>
  </si>
  <si>
    <t>Non Recurring Cost</t>
  </si>
  <si>
    <t>Cox &amp; Co. ROM Price Quote</t>
  </si>
  <si>
    <t>De-Ice</t>
  </si>
  <si>
    <t>Aurora Manufacturing Engineering Estimate</t>
  </si>
  <si>
    <t>Tool</t>
  </si>
  <si>
    <t>Antenna</t>
  </si>
  <si>
    <t>Power</t>
  </si>
  <si>
    <t>Antennae</t>
  </si>
  <si>
    <t>Analog Receiver/exciter</t>
  </si>
  <si>
    <t>Radar</t>
  </si>
  <si>
    <t>Data Acquisition Processor (Computer &amp; SW)</t>
  </si>
  <si>
    <t>Reserves (16.53%)</t>
  </si>
  <si>
    <t>Group</t>
  </si>
  <si>
    <t>Administration</t>
  </si>
  <si>
    <t>Integration</t>
  </si>
  <si>
    <t>Sand/Feather</t>
  </si>
  <si>
    <t>EMI/EMC</t>
  </si>
  <si>
    <t>Closeout</t>
  </si>
  <si>
    <t>Digital</t>
  </si>
  <si>
    <t>Install</t>
  </si>
  <si>
    <t>Mechanical</t>
  </si>
  <si>
    <t>Bond</t>
  </si>
  <si>
    <t>Venture</t>
  </si>
  <si>
    <t>Baseband</t>
  </si>
  <si>
    <t>Brace</t>
  </si>
  <si>
    <t>FPGA/Processor</t>
  </si>
  <si>
    <t>Struts</t>
  </si>
  <si>
    <t>Fairing</t>
  </si>
  <si>
    <t>Expanding AFS Greenland to entire Ice covered regions of world</t>
  </si>
  <si>
    <t>Spar</t>
  </si>
  <si>
    <t>Repairs</t>
  </si>
  <si>
    <t>Rib</t>
  </si>
  <si>
    <t>NTIA</t>
  </si>
  <si>
    <t>Data</t>
  </si>
  <si>
    <t>Lower Skin</t>
  </si>
  <si>
    <t>Equipment</t>
  </si>
  <si>
    <t>Upper Skin</t>
  </si>
  <si>
    <t>Electronics</t>
  </si>
  <si>
    <t>Distribution</t>
  </si>
  <si>
    <t>Systems Engineer</t>
  </si>
  <si>
    <t>GreatArc</t>
  </si>
  <si>
    <t>END</t>
  </si>
  <si>
    <t>Testing</t>
  </si>
  <si>
    <t>Waypoints</t>
  </si>
  <si>
    <t>ROM</t>
  </si>
  <si>
    <t>Assembly Technician</t>
  </si>
  <si>
    <t>to</t>
  </si>
  <si>
    <t>TNC</t>
  </si>
  <si>
    <t>connector</t>
  </si>
  <si>
    <t>SMA</t>
  </si>
  <si>
    <t>Software Engineer</t>
  </si>
  <si>
    <t>N</t>
  </si>
  <si>
    <t>Mechanical Engineer</t>
  </si>
  <si>
    <t>Low</t>
  </si>
  <si>
    <t>Structures Engineer</t>
  </si>
  <si>
    <t>Avionics Engineer</t>
  </si>
  <si>
    <t>Aeronautic Engineer</t>
  </si>
  <si>
    <t>Contracts/Finance</t>
  </si>
  <si>
    <t>Program Management</t>
  </si>
  <si>
    <t>BEGIN</t>
  </si>
  <si>
    <t>NumberOfWaypoints</t>
  </si>
  <si>
    <t>EllipsoidHeight</t>
  </si>
  <si>
    <t>AltInterpMethod</t>
  </si>
  <si>
    <t>WGS84</t>
  </si>
  <si>
    <t>AltRef</t>
  </si>
  <si>
    <t>ArcGranularity</t>
  </si>
  <si>
    <t>Composites Technician</t>
  </si>
  <si>
    <t>Jul</t>
  </si>
  <si>
    <t>TimeOfFirstWaypoint</t>
  </si>
  <si>
    <t>High</t>
  </si>
  <si>
    <t>DetTimeAccFromVel</t>
  </si>
  <si>
    <t>Method</t>
  </si>
  <si>
    <t>Laptops</t>
  </si>
  <si>
    <t>GSE</t>
  </si>
  <si>
    <t>Engineering Judgement</t>
  </si>
  <si>
    <t>GPIB to USB</t>
  </si>
  <si>
    <t>ROM Quote</t>
  </si>
  <si>
    <t>Delay Line C</t>
  </si>
  <si>
    <t>Delay Line B</t>
  </si>
  <si>
    <t>stk.v.8.0</t>
  </si>
  <si>
    <t>Delay Line A</t>
  </si>
  <si>
    <t>Deep Memory Oscilloscope</t>
  </si>
  <si>
    <t>turn radius</t>
  </si>
  <si>
    <t>Velocity (m/s)</t>
  </si>
  <si>
    <t>Altitude (m)</t>
  </si>
  <si>
    <t>Longitude (deg)</t>
  </si>
  <si>
    <t>Latitude (deg)</t>
  </si>
  <si>
    <t>Time (seconds from start)</t>
  </si>
  <si>
    <t>BNC Tees</t>
  </si>
  <si>
    <t>Agilent Power Meter</t>
  </si>
  <si>
    <t>Agilent Power Heads</t>
  </si>
  <si>
    <t>http://www.nasa.gov/pdf/118829main_FY03_budget.pdf</t>
  </si>
  <si>
    <t>Aircraft Campaigns</t>
  </si>
  <si>
    <t>1 tB HD</t>
  </si>
  <si>
    <t>2003 Budget</t>
  </si>
  <si>
    <t>ICESAT</t>
  </si>
  <si>
    <t>Icnrease udnerstanding of change occuring in the mass of the Earth's ice cover</t>
  </si>
  <si>
    <t>Discern and describe how the global Earth system is changing</t>
  </si>
  <si>
    <t>Observe, understand, and model the Earth system to learn how it is changing, and the consquences for life on Earth</t>
  </si>
  <si>
    <t>256 GB HD</t>
  </si>
  <si>
    <t>Source</t>
  </si>
  <si>
    <t>Mission</t>
  </si>
  <si>
    <t>Research Focus Areas</t>
  </si>
  <si>
    <t>Science Objectives</t>
  </si>
  <si>
    <t>Enterprise Goals</t>
  </si>
  <si>
    <t>Serial RS2332</t>
  </si>
  <si>
    <t>Venture PDM Lead</t>
  </si>
  <si>
    <t>RE</t>
  </si>
  <si>
    <t>Fabrication</t>
  </si>
  <si>
    <t xml:space="preserve">Processor - Optional </t>
  </si>
  <si>
    <t>Antenna (RF) EA</t>
  </si>
  <si>
    <t xml:space="preserve">Processor - Optional CF rentention </t>
  </si>
  <si>
    <t>Antenna Analyst</t>
  </si>
  <si>
    <t>Processor - Optional Breakout Cable</t>
  </si>
  <si>
    <t>GSE for Design, IS&amp;T, and Flight Operations EA</t>
  </si>
  <si>
    <t>Processor - CPCI SBC</t>
  </si>
  <si>
    <t>GSE for Design, IS&amp;T, and Flight Operations Engineer</t>
  </si>
  <si>
    <t>PMC Carrier Card</t>
  </si>
  <si>
    <t>Digital Signal</t>
  </si>
  <si>
    <t>ICESAT and AFSGreenland are totally different missions, ICESAT uses laser altimeters to map the surface but can't get any information about depth, just coverage. The AFS plan gets information about coverage as well as depth.</t>
  </si>
  <si>
    <t>NRE</t>
  </si>
  <si>
    <t>Baseband Lead</t>
  </si>
  <si>
    <t>Linux</t>
  </si>
  <si>
    <t>Mechanical Drawings</t>
  </si>
  <si>
    <t>FPGA Gate Flow Software</t>
  </si>
  <si>
    <t>Digital Exciter/Receiver</t>
  </si>
  <si>
    <t>Analog</t>
  </si>
  <si>
    <t>4.3.2 Sea ice cover</t>
  </si>
  <si>
    <t>Clock Distribution</t>
  </si>
  <si>
    <t>4.3.1 Sea ice thickness</t>
  </si>
  <si>
    <t>A/D Converter Card</t>
  </si>
  <si>
    <t>Power Amp EA</t>
  </si>
  <si>
    <t>4.2.4 snow cover</t>
  </si>
  <si>
    <t>Variable Gain Amp</t>
  </si>
  <si>
    <t>Power Amp Engineer</t>
  </si>
  <si>
    <t>4.1.5 Ice Sheet topography</t>
  </si>
  <si>
    <t>4.2.2 snow depth</t>
  </si>
  <si>
    <t>Upconverter</t>
  </si>
  <si>
    <t>Radar Analyst</t>
  </si>
  <si>
    <t>4.1.2 Glacier surface elevation</t>
  </si>
  <si>
    <t>Switch</t>
  </si>
  <si>
    <t>4.1.1 ice sheet volume</t>
  </si>
  <si>
    <t>4.1.4 Ice sheet velocity</t>
  </si>
  <si>
    <t>RF Cables Short</t>
  </si>
  <si>
    <t>2.2.2 Hi-res topography</t>
  </si>
  <si>
    <t>4.1.3 glacier mass balance</t>
  </si>
  <si>
    <t>RF Cables Long</t>
  </si>
  <si>
    <t>2.2.1 surface deformation</t>
  </si>
  <si>
    <t>Limiter</t>
  </si>
  <si>
    <t>Radar System</t>
  </si>
  <si>
    <t>1.6.1 cloud height/optical thickness</t>
  </si>
  <si>
    <t>Hybrid Coupler</t>
  </si>
  <si>
    <t>1.5.2 Cloud type</t>
  </si>
  <si>
    <t>2.7.1 river and lake elevation</t>
  </si>
  <si>
    <t>GPS receiver (SV12)</t>
  </si>
  <si>
    <t>Mechanical Support</t>
  </si>
  <si>
    <t>1.1.4 aerosol extinction profiles</t>
  </si>
  <si>
    <t>2.4.4 canopy density</t>
  </si>
  <si>
    <t>ROM Quote from ComAnt website part# COMDAT GPS CI408-20</t>
  </si>
  <si>
    <t>GPS Antenna</t>
  </si>
  <si>
    <t>1.1.3 aerosol scattering properties</t>
  </si>
  <si>
    <t xml:space="preserve">2.4.3 vegetation height </t>
  </si>
  <si>
    <t>ROM Quote from RF Lambda website part# RFBDC4M6MA</t>
  </si>
  <si>
    <t>Downconverter</t>
  </si>
  <si>
    <t>Supplier Quality Mgmt</t>
  </si>
  <si>
    <t>m2p</t>
  </si>
  <si>
    <t>Measurements Taken</t>
  </si>
  <si>
    <t>ROM Quote from PicoSecond Lab Technologies part# 5585-114</t>
  </si>
  <si>
    <t>Bias Tee for downconverter</t>
  </si>
  <si>
    <t>Systems Assurance Manager</t>
  </si>
  <si>
    <t>50 ohm low power load</t>
  </si>
  <si>
    <t>Quality Engineering/Inspection</t>
  </si>
  <si>
    <t>ROM Quote from Vectron  part# C4710D1-OPTION-B</t>
  </si>
  <si>
    <t>10 MHz 6-way refernce</t>
  </si>
  <si>
    <t>FY 2004 Budget</t>
  </si>
  <si>
    <t>ROM Quote from Mini-Circuits Technologies part# ZBSC-611</t>
  </si>
  <si>
    <t>10 MHz 6-way splitter</t>
  </si>
  <si>
    <t>Systems Eng Interface APL</t>
  </si>
  <si>
    <t>FY 03 Budget</t>
  </si>
  <si>
    <t>ROM Quote from Linearizer Technologies part# 4598</t>
  </si>
  <si>
    <t>Power Amplifier (RE)</t>
  </si>
  <si>
    <t>Mission Systems Engineer APL</t>
  </si>
  <si>
    <t>Initial Baseline</t>
  </si>
  <si>
    <t>Power Amplifier (NRE)</t>
  </si>
  <si>
    <t>30 kg</t>
  </si>
  <si>
    <t>Antenna mass</t>
  </si>
  <si>
    <t>Mission Analyst Aurora</t>
  </si>
  <si>
    <t>60 dm^3</t>
  </si>
  <si>
    <t>Electronics Volume</t>
  </si>
  <si>
    <t>Test Tx H/W with DA42M</t>
  </si>
  <si>
    <t>Contracts/Finance Aurora</t>
  </si>
  <si>
    <t>50 kg</t>
  </si>
  <si>
    <t>Electronics Mass</t>
  </si>
  <si>
    <t>Design Reviews/Linearizer Tech</t>
  </si>
  <si>
    <t>Kangerlussuaq, Greenland</t>
  </si>
  <si>
    <t>Program Management Aurora</t>
  </si>
  <si>
    <t>http://www.nasa.gov/pdf/55396main_13%20ESS.pdf</t>
  </si>
  <si>
    <t>840W available</t>
  </si>
  <si>
    <t>Harvard Overhead</t>
  </si>
  <si>
    <t>30,000 pounds</t>
  </si>
  <si>
    <t>Payload</t>
  </si>
  <si>
    <t>Desdynl</t>
  </si>
  <si>
    <t>500 W</t>
  </si>
  <si>
    <t>Prime power reqt</t>
  </si>
  <si>
    <t>Export Control APL</t>
  </si>
  <si>
    <t>5,400 nm</t>
  </si>
  <si>
    <t>Range</t>
  </si>
  <si>
    <t>Envisat</t>
  </si>
  <si>
    <t>14 dBi</t>
  </si>
  <si>
    <t>Antenna gain</t>
  </si>
  <si>
    <t>1-3 days</t>
  </si>
  <si>
    <t>Programmatic travel (15 trips)</t>
  </si>
  <si>
    <t>Between Aurora sites and APL</t>
  </si>
  <si>
    <t>Financial Mgmt. APL</t>
  </si>
  <si>
    <t>12 hours</t>
  </si>
  <si>
    <t>Endurance</t>
  </si>
  <si>
    <t>ERS-1/2</t>
  </si>
  <si>
    <t>Dual linear</t>
  </si>
  <si>
    <t>Antenna polarization</t>
  </si>
  <si>
    <t>Greenland Survey and Setup</t>
  </si>
  <si>
    <t>Kangerlussuaq Trip #3</t>
  </si>
  <si>
    <t>Scheduler APL</t>
  </si>
  <si>
    <t>42,000 ft</t>
  </si>
  <si>
    <t>Altitude</t>
  </si>
  <si>
    <t>Radarsat</t>
  </si>
  <si>
    <t>2x4 patch array</t>
  </si>
  <si>
    <t>Kangerlussuaq Trip #2</t>
  </si>
  <si>
    <t>Administration APL</t>
  </si>
  <si>
    <t>DC-8</t>
  </si>
  <si>
    <t>Cryosat-II</t>
  </si>
  <si>
    <t>3500m</t>
  </si>
  <si>
    <t>4 dB</t>
  </si>
  <si>
    <t>Input noise figure</t>
  </si>
  <si>
    <t>Kangerlussuaq Trip #1</t>
  </si>
  <si>
    <t>Project Management APL</t>
  </si>
  <si>
    <t>Grace</t>
  </si>
  <si>
    <t>$/hr for DA42</t>
  </si>
  <si>
    <r>
      <t xml:space="preserve">3-30 </t>
    </r>
    <r>
      <rPr>
        <sz val="11"/>
        <color theme="1"/>
        <rFont val="Calibri"/>
        <family val="2"/>
      </rPr>
      <t>µs</t>
    </r>
  </si>
  <si>
    <t>Pulse Width</t>
  </si>
  <si>
    <t>Avg Cost</t>
  </si>
  <si>
    <t>Duration - No. of Days</t>
  </si>
  <si>
    <t>WBS ID</t>
  </si>
  <si>
    <t>FY2015</t>
  </si>
  <si>
    <t>FY2014</t>
  </si>
  <si>
    <t>FY2013</t>
  </si>
  <si>
    <t>FY2012</t>
  </si>
  <si>
    <t>FY2011</t>
  </si>
  <si>
    <t>FY2010</t>
  </si>
  <si>
    <t>Functional Description</t>
  </si>
  <si>
    <t>15,000 pounds</t>
  </si>
  <si>
    <t>payload</t>
  </si>
  <si>
    <t>measures the water pockets under the ice</t>
  </si>
  <si>
    <t>Gravimeter</t>
  </si>
  <si>
    <t>35 m</t>
  </si>
  <si>
    <t>repeat accuracy</t>
  </si>
  <si>
    <t>ICESAT-II</t>
  </si>
  <si>
    <t>Reserve</t>
  </si>
  <si>
    <t>4.3M</t>
  </si>
  <si>
    <t>5-20 kHz</t>
  </si>
  <si>
    <t>Pulse Rate</t>
  </si>
  <si>
    <t>Direct Costs ($)</t>
  </si>
  <si>
    <t>Labor (Staff Months)</t>
  </si>
  <si>
    <t>up to 330 knots</t>
  </si>
  <si>
    <t>speed</t>
  </si>
  <si>
    <t>measures sea and ice elevation</t>
  </si>
  <si>
    <t>Ku-band Radar Altimeter</t>
  </si>
  <si>
    <t>70m</t>
  </si>
  <si>
    <t>range resolution</t>
  </si>
  <si>
    <t>Program</t>
  </si>
  <si>
    <t>25.7M</t>
  </si>
  <si>
    <t>17m in ice</t>
  </si>
  <si>
    <t>Range resolution</t>
  </si>
  <si>
    <t>up t0 3800 nm</t>
  </si>
  <si>
    <t>only measures snow thickness</t>
  </si>
  <si>
    <t>Snow Radar</t>
  </si>
  <si>
    <t>170m</t>
  </si>
  <si>
    <t>distance between measurements</t>
  </si>
  <si>
    <t>Comparable Sat Missions</t>
  </si>
  <si>
    <t>30M</t>
  </si>
  <si>
    <t>Cost</t>
  </si>
  <si>
    <t>400 W</t>
  </si>
  <si>
    <t>Peak RF Power</t>
  </si>
  <si>
    <t>=</t>
  </si>
  <si>
    <t>Program Costs</t>
  </si>
  <si>
    <t>up to 12 hours</t>
  </si>
  <si>
    <t>endurance</t>
  </si>
  <si>
    <t>Radar for ice sheet thickness</t>
  </si>
  <si>
    <t>Multichannel Coherent Rader Depth Sounder (MCoRDS)</t>
  </si>
  <si>
    <t>532 nm</t>
  </si>
  <si>
    <t>Diamond Aircraft 42</t>
  </si>
  <si>
    <t>Aircraft</t>
  </si>
  <si>
    <t>6 MHz</t>
  </si>
  <si>
    <t>Bandwidth</t>
  </si>
  <si>
    <t>Non Recurring Costs</t>
  </si>
  <si>
    <t>up to 30,000 ft</t>
  </si>
  <si>
    <t>laser altimeter</t>
  </si>
  <si>
    <t>Laser Vegetation Imaging Sensor (LVIS)</t>
  </si>
  <si>
    <t>1064nm</t>
  </si>
  <si>
    <t>Wavelengths</t>
  </si>
  <si>
    <t>6000 hours</t>
  </si>
  <si>
    <t>Flight Hours</t>
  </si>
  <si>
    <t>435 MHz</t>
  </si>
  <si>
    <t>Center Fequency</t>
  </si>
  <si>
    <t>Recurring Costs</t>
  </si>
  <si>
    <t>P3 Aircarft</t>
  </si>
  <si>
    <t>Laser altimeter</t>
  </si>
  <si>
    <t>Airborne Topographic Mapper (ATM)</t>
  </si>
  <si>
    <t>Time</t>
  </si>
  <si>
    <t>Lidar</t>
  </si>
  <si>
    <t>3 years</t>
  </si>
  <si>
    <t>Chirped-pulse</t>
  </si>
  <si>
    <t>Radar type</t>
  </si>
  <si>
    <t>Detailed Work Breakdown Structure</t>
  </si>
  <si>
    <t>Operations</t>
  </si>
  <si>
    <t>Instrumentation</t>
  </si>
  <si>
    <t>Intstrumentation</t>
  </si>
  <si>
    <t>Extending ARRGOS to cover Greenland, Artic, and Antartic</t>
  </si>
  <si>
    <t>ICEBridge</t>
  </si>
  <si>
    <t>Airborne Robotic Radar Greenland Observing System</t>
  </si>
  <si>
    <t>Research being conducted by SS to get accuracy down to 1PPMV, since its only at about 50 ppmv now</t>
  </si>
  <si>
    <t>Has undergone chamber tests both in US (NOAA) and in EU (German DWD) and is expected to undergo flight testing late 2010 and early 2011 on a British research aircraft and a U Tenn research aircraft (respectivaley)</t>
  </si>
  <si>
    <t>Data Sheet: http://www.spectrasensors.com/attachments/wysiwyg/1/datasheets/WVSSIIDataSheet_06_2010.pdf</t>
  </si>
  <si>
    <t>Measured with the WVSS II currently deployed on 25 UPS 757's and soon on 31 SWA 737's</t>
  </si>
  <si>
    <t>Water Vapor</t>
  </si>
  <si>
    <t>Used to determine altitude</t>
  </si>
  <si>
    <t>Part of normal instrument collection</t>
  </si>
  <si>
    <t>Pressure</t>
  </si>
  <si>
    <t>Temperature</t>
  </si>
  <si>
    <t>Can have significant fuel savings if route is optimized ot avoid head winds</t>
  </si>
  <si>
    <t>Wind</t>
  </si>
  <si>
    <t>Meaurements</t>
  </si>
  <si>
    <t>http://www.spectrasensors.com/wvss/</t>
  </si>
  <si>
    <t>WVSS II Humidity sensor</t>
  </si>
  <si>
    <t>http://www.eucos.net/cln_005/nn_133396/EN/Home/networks/eamdar/AMDAR__en</t>
  </si>
  <si>
    <t>European AMDAR</t>
  </si>
  <si>
    <t>http://www.wmo.int/pages/prog/amp/aemp/index_en.html</t>
  </si>
  <si>
    <t>World Metereological Organization</t>
  </si>
  <si>
    <t>http://www.arinc.com/products/voice_data_comm/acars.html</t>
  </si>
  <si>
    <t>ARINC: Company that implements Temp, Pressure, Wind data</t>
  </si>
  <si>
    <t>http://cimss.ssec.wisc.edu/</t>
  </si>
  <si>
    <t>CIMSS: Cooperative Institute for Meteorological Satellite Studies</t>
  </si>
  <si>
    <t>http://amdar.noaa.gov/docs/Petersen_presentation.pdf</t>
  </si>
  <si>
    <t>Presentation on NOAA implementing Humidy sensors on UPS and SWA aircraft</t>
  </si>
  <si>
    <t>http://amdar.noaa.gov/</t>
  </si>
  <si>
    <t>AMDAR: Aircraft Meteorological Data Reports</t>
  </si>
  <si>
    <t>Links:</t>
  </si>
  <si>
    <t xml:space="preserve">Using information from Commercial Aircraft to update and enhance the Numerical Weather Predictions </t>
  </si>
  <si>
    <t>Platform</t>
  </si>
  <si>
    <t>P-3B</t>
  </si>
  <si>
    <t>500-30,000</t>
  </si>
  <si>
    <t>Flight Altitude (ft)</t>
  </si>
  <si>
    <t>Flight Range (nm)</t>
  </si>
  <si>
    <t>Flight Speed (kts)</t>
  </si>
  <si>
    <t>Payload (lbs)</t>
  </si>
  <si>
    <t>2400-3800</t>
  </si>
  <si>
    <t>270-330</t>
  </si>
  <si>
    <t>&lt;15,000</t>
  </si>
  <si>
    <t>Engines</t>
  </si>
  <si>
    <t>4 Turbo Prop</t>
  </si>
  <si>
    <t>4 Jet</t>
  </si>
  <si>
    <t>1,000-42,000</t>
  </si>
  <si>
    <t>Endurance (hrs)</t>
  </si>
  <si>
    <t>8 to 12</t>
  </si>
  <si>
    <t>&lt;12</t>
  </si>
  <si>
    <t>&lt;30,000</t>
  </si>
  <si>
    <t>Aircraft Features</t>
  </si>
  <si>
    <t>Wing Pylons for aerosol sampling; gyro-stabilized pointing and tracking mirror system; a dropsonde delivery tube; atmospheric chemistry sampling probes; and multiple reinforced ports</t>
  </si>
  <si>
    <t>Characterize the Ice Bridge Platforms and Instruments</t>
  </si>
  <si>
    <t>Pressurized zenith, nadir, and oblique ports; unpressurized equipment bay with large nadir and oblique ports</t>
  </si>
  <si>
    <t>Instrument Full Name</t>
  </si>
  <si>
    <t>Short Name</t>
  </si>
  <si>
    <t>Airborne Topographic Mapper</t>
  </si>
  <si>
    <t>ATM</t>
  </si>
  <si>
    <t>Type</t>
  </si>
  <si>
    <t>Scanning LIDAR</t>
  </si>
  <si>
    <t>Element</t>
  </si>
  <si>
    <t>Specification</t>
  </si>
  <si>
    <t>Center frequency</t>
  </si>
  <si>
    <t>Peak RF power</t>
  </si>
  <si>
    <t>Pulse rate</t>
  </si>
  <si>
    <t>5 - 20 kHz</t>
  </si>
  <si>
    <t>Pulse width</t>
  </si>
  <si>
    <t>3 - 30 μs</t>
  </si>
  <si>
    <t>Prime power reqt.</t>
  </si>
  <si>
    <t>500W (840W available)</t>
  </si>
  <si>
    <t>Electronics mass</t>
  </si>
  <si>
    <t>Electronics volume</t>
  </si>
  <si>
    <t>60 dm3 (est.)</t>
  </si>
  <si>
    <t>Paris Specs</t>
  </si>
  <si>
    <t>Greenland Only Campaign</t>
  </si>
  <si>
    <t xml:space="preserve">Manager Cost = </t>
  </si>
  <si>
    <t>Engineer Cost =</t>
  </si>
  <si>
    <t>$/StaffMonth</t>
  </si>
  <si>
    <t>Tech/Admin Cost =</t>
  </si>
  <si>
    <t>Total Costs</t>
  </si>
  <si>
    <t xml:space="preserve">Labor = </t>
  </si>
  <si>
    <t>Hardware =</t>
  </si>
  <si>
    <t xml:space="preserve">Reserve = </t>
  </si>
  <si>
    <t xml:space="preserve">Total Campaign = </t>
  </si>
  <si>
    <t>Mission Institution Summary for Venture Class Mission</t>
  </si>
  <si>
    <t>FY Costs in Real Year Dollars (to the nearest thousand)</t>
  </si>
  <si>
    <t>Investigation Operations</t>
  </si>
  <si>
    <t>Reserve (16.53%)</t>
  </si>
  <si>
    <t>Other Inverstigation Specific Activities</t>
  </si>
  <si>
    <t>Total Other</t>
  </si>
  <si>
    <t>My Calc</t>
  </si>
  <si>
    <t>Ice Bridge Campaign</t>
  </si>
  <si>
    <t>Mass (kg)</t>
  </si>
  <si>
    <t>Power (W)</t>
  </si>
  <si>
    <t>Provide surface elevation data now that the ICESat-1 mission has ended, focused on areas undergoing rapid change that are critical to characterizing select areas of sea ice and modeling the processes that determine the mass balance of the terrestrial ice sheets. Due to the time variable, non-linear changes that these areas undergo, repeated monitoring is required. IceBridge also allows more detailed studies over these areas, though over much smaller overall areas.</t>
  </si>
  <si>
    <t>Support complementary measurements critical to ice models such as bed topography, grounding line position, and ice and snow thickness. These parameters cannot be measured by satellite, but can be measured from aircraft. They are the other great unknowns in understanding the ice in general and developing predictive models of sea level rise in response to climate change.</t>
  </si>
  <si>
    <t>Laser Vegetation Imaging Sensor</t>
  </si>
  <si>
    <t>LVIS</t>
  </si>
  <si>
    <t>Laser Altimeter</t>
  </si>
  <si>
    <t>Multichannel Coherent Radar Depth Sounds</t>
  </si>
  <si>
    <t>MCoRDS</t>
  </si>
  <si>
    <t>Notes</t>
  </si>
  <si>
    <t>Ku-Band Radar Altimeter</t>
  </si>
  <si>
    <t>Radar Altimeter</t>
  </si>
  <si>
    <t>Antarctica 2010</t>
  </si>
  <si>
    <t>Arctic 2010</t>
  </si>
  <si>
    <t>Antarctica 2009</t>
  </si>
  <si>
    <t>Artic 2011</t>
  </si>
  <si>
    <t>Campaign</t>
  </si>
  <si>
    <t>Magnetometer</t>
  </si>
  <si>
    <t>Camera System (?)</t>
  </si>
  <si>
    <t>B-200</t>
  </si>
  <si>
    <t>Laser Altimter (LVIS)</t>
  </si>
  <si>
    <t>Ice sheets, glacier, Canadian Ice Caps</t>
  </si>
  <si>
    <t>Sea Ice thickness, changes in the ice sheets, ice dynamics</t>
  </si>
  <si>
    <t>NASA elevation data sets: ICESat, ICEBridge, ICESat2 for 17 years and CryoSat2, overfly ground validataion sites</t>
  </si>
  <si>
    <t>Digital Mapping System</t>
  </si>
  <si>
    <t>Camera</t>
  </si>
  <si>
    <t>Artic 2010</t>
  </si>
  <si>
    <t>"Kansas's Radars"</t>
  </si>
  <si>
    <t>DMS</t>
  </si>
  <si>
    <t>From Columbia</t>
  </si>
  <si>
    <t>2 km wide laswer swath</t>
  </si>
  <si>
    <t>From DFRC</t>
  </si>
  <si>
    <t>Wallops</t>
  </si>
  <si>
    <t>Fly under ICESat and Cryosat</t>
  </si>
  <si>
    <t>Flying same instrument set as 2009 campaign</t>
  </si>
  <si>
    <t>University of California at Santa Cruz</t>
  </si>
  <si>
    <t>Every 10 seconds, two cameras, natural color and panchromatic imagery</t>
  </si>
  <si>
    <t>The Ku-Band Radar Altimeter from the University of Kansas penetrates through snow to measure the surface elevation of sea ice and ice sheets. It can also measure sea surface elevation.</t>
  </si>
  <si>
    <t>The snow radar, also developed by the University of Kansas, measures the thickness of snow on top of sea ice and glaciers, allowing researchers to differentiate between snow and ice and make more accurate thickness measurements.</t>
  </si>
  <si>
    <t>Attempt to Calculate Differences between time over targets and data generated for different missions</t>
  </si>
  <si>
    <t>Flights/Orbits per Day</t>
  </si>
  <si>
    <t>Campaign Days</t>
  </si>
  <si>
    <t>% Distance over Targets</t>
  </si>
  <si>
    <t>ICESat</t>
  </si>
  <si>
    <t>Satellite</t>
  </si>
  <si>
    <t>LEO</t>
  </si>
  <si>
    <t>Total Distance (km)</t>
  </si>
  <si>
    <t>Distance over Targets (km)</t>
  </si>
  <si>
    <t>Ground Distance per Flight/Orbit (km)</t>
  </si>
  <si>
    <t>IceBridge DC-8 Antarctica</t>
  </si>
  <si>
    <t>IceBridge DC-8 Arctic</t>
  </si>
  <si>
    <t>IceBridge P-3B Arctic</t>
  </si>
  <si>
    <t>IceBridge B200 Arctic</t>
  </si>
  <si>
    <t>ICESat II</t>
  </si>
  <si>
    <t>ARRGOS</t>
  </si>
  <si>
    <t>MAME</t>
  </si>
  <si>
    <t>LAME</t>
  </si>
  <si>
    <t>B200</t>
  </si>
  <si>
    <t>DA-42</t>
  </si>
  <si>
    <t>MALE</t>
  </si>
  <si>
    <t>Aircraft Classifications</t>
  </si>
  <si>
    <t>Low Altitude (LA)</t>
  </si>
  <si>
    <t>Medium Altitude (MA)</t>
  </si>
  <si>
    <t>High Altitude (HA)</t>
  </si>
  <si>
    <t>Low Endurance (LE)</t>
  </si>
  <si>
    <t>(ft)</t>
  </si>
  <si>
    <t>(hrs)</t>
  </si>
  <si>
    <t>Medium Endurance (ME)</t>
  </si>
  <si>
    <t>Long Endurance (LE)</t>
  </si>
  <si>
    <t>1 to 24</t>
  </si>
  <si>
    <t>24 to 48</t>
  </si>
  <si>
    <t>Less then 1</t>
  </si>
  <si>
    <t>30,000 up</t>
  </si>
  <si>
    <t>10,000 to 30,000</t>
  </si>
  <si>
    <t>Less than 10,000</t>
  </si>
  <si>
    <t>By adapting our plans to the situation we were able to fly 10 successful missions making use of 84% of the allocated science flight hours. The IceBridge teams have spent 115 hours in the air collecting data and have flown 40,098 nautical miles, almost twice around the Earth.</t>
  </si>
  <si>
    <t>Region</t>
  </si>
  <si>
    <t>Sq Km</t>
  </si>
  <si>
    <t>World</t>
  </si>
  <si>
    <t>Greenland</t>
  </si>
  <si>
    <t>Antarctica</t>
  </si>
  <si>
    <t>%</t>
  </si>
  <si>
    <t>500-32,000</t>
  </si>
  <si>
    <t>915 - 1,800</t>
  </si>
  <si>
    <t>&lt;5,000</t>
  </si>
  <si>
    <t>2 Turbo Prop</t>
  </si>
  <si>
    <t>DFRC</t>
  </si>
  <si>
    <t>Intrument</t>
  </si>
  <si>
    <t>GLAS</t>
  </si>
  <si>
    <t>Geoscience Laser Altimeter</t>
  </si>
  <si>
    <t>LEO 600km Satllite</t>
  </si>
  <si>
    <t>Spatial Resulotion</t>
  </si>
  <si>
    <t>1064nm Nd-YAG laster operating at 40Hz</t>
  </si>
  <si>
    <t>ICESat-II</t>
  </si>
  <si>
    <t>532nm split to 9 beams at 10,000Hz</t>
  </si>
  <si>
    <t>ATLAS</t>
  </si>
  <si>
    <t>Advanced Topographic Laser Alitmeter System</t>
  </si>
  <si>
    <t>&lt;10cm</t>
  </si>
  <si>
    <t>DC-8, B-200</t>
  </si>
  <si>
    <t>DC-8, P-3B</t>
  </si>
  <si>
    <t>Ice Bridge</t>
  </si>
  <si>
    <t>PARIS</t>
  </si>
  <si>
    <t>Ice Penetrating Radar</t>
  </si>
  <si>
    <t>Chirped-pulse 435MHz at 2-20kHz pulse rate</t>
  </si>
  <si>
    <t>17m in Ice</t>
  </si>
  <si>
    <t>DA-42M</t>
  </si>
  <si>
    <t>1064nm Nd-YAG laster operating at 500Hz</t>
  </si>
  <si>
    <t>1000m swath with 25m footprint and &lt;100cm Acc.</t>
  </si>
  <si>
    <t>500m swathw the 10-20cm Acc.</t>
  </si>
  <si>
    <t>NASA  WFF</t>
  </si>
  <si>
    <t>Powerful radar to measure bedrock elevation</t>
  </si>
  <si>
    <t>KU CReSIS</t>
  </si>
  <si>
    <t>Ku- Band Radar</t>
  </si>
  <si>
    <t>SDL / LDEO</t>
  </si>
  <si>
    <t>NASA ARC</t>
  </si>
  <si>
    <t>NASA GSFC</t>
  </si>
  <si>
    <t>Ice Thickness and Internal Layering</t>
  </si>
  <si>
    <t>Only measures depth of snow on top of the ice and topography</t>
  </si>
  <si>
    <t>Measures Snow Cover and Topography</t>
  </si>
  <si>
    <t>195MHz with 30MHz Bandwidth</t>
  </si>
  <si>
    <t>4.5GHz with 4GHz Bandwidth</t>
  </si>
  <si>
    <t>14GHz with 4GHz Bandwidth</t>
  </si>
  <si>
    <t>~2.5 cm</t>
  </si>
  <si>
    <t>~5.3-10.6 cm</t>
  </si>
  <si>
    <t>Better then 20cm Horiz and 20cm Vert</t>
  </si>
  <si>
    <t>At 1,500ft get 10cm pixel and @35,000 ft get 2m pixel</t>
  </si>
  <si>
    <t>Snow Radar Description</t>
  </si>
  <si>
    <t>Ku-Band Altimeter Description</t>
  </si>
  <si>
    <t>1) x;x denotes option by season (Spring; Fall)</t>
  </si>
  <si>
    <t>2) Ka-SAR/G-III flights in Greenland Spring 2009 are in-kind</t>
  </si>
  <si>
    <t>3) Instrument/Aircraft downselect occurs in 2011</t>
  </si>
  <si>
    <t>4) Coverage of arctic sea ice is a 1 month extension of yearly P-3 deployments to Greenland</t>
  </si>
  <si>
    <t>5) The Antarctica estimate encompasses sea ice, coastal, and sub-glacial lakes</t>
  </si>
  <si>
    <t>6) Assumes routine in-kind airlifts of opportunity from DoD (~$8-10M)</t>
  </si>
  <si>
    <t>($k)</t>
  </si>
  <si>
    <t>:</t>
  </si>
  <si>
    <t>P-3</t>
  </si>
  <si>
    <t>Campaign Options from ICESat_Gapfiller Report</t>
  </si>
  <si>
    <t>Flight Configurations</t>
  </si>
  <si>
    <t>Arctic Sea</t>
  </si>
  <si>
    <t>Antarctic sub-glacial</t>
  </si>
  <si>
    <t>Antarctic coastal</t>
  </si>
  <si>
    <t>Alaska SE</t>
  </si>
  <si>
    <t>ROM Mission Costs</t>
  </si>
  <si>
    <t>Arctic sea Ice</t>
  </si>
  <si>
    <t>Additional Costs</t>
  </si>
  <si>
    <t>GH Ground Station</t>
  </si>
  <si>
    <t>GH AV-7</t>
  </si>
  <si>
    <t>DC-8 D-Check</t>
  </si>
  <si>
    <t>Duplicate ATM and LVIS</t>
  </si>
  <si>
    <t>FTEs ($250M/yr/ea)</t>
  </si>
  <si>
    <t>WYEs ($250M/yr/ea)</t>
  </si>
  <si>
    <t>Reserves (15%)</t>
  </si>
  <si>
    <t>Totals by Year</t>
  </si>
  <si>
    <t>Totals</t>
  </si>
  <si>
    <t>1L,1M, 3H; 1L</t>
  </si>
  <si>
    <t>1L, 8D; 1L</t>
  </si>
  <si>
    <t>0; 0</t>
  </si>
  <si>
    <t>0; 2L</t>
  </si>
  <si>
    <t>7A, 3K; 7A, 3K</t>
  </si>
  <si>
    <t>1L; 1L</t>
  </si>
  <si>
    <t>2L; 6AB</t>
  </si>
  <si>
    <t>7A; 7A</t>
  </si>
  <si>
    <t>1L,4N; 1L,4N</t>
  </si>
  <si>
    <t>5L; 5L</t>
  </si>
  <si>
    <t>6AB; 5L</t>
  </si>
  <si>
    <t>L</t>
  </si>
  <si>
    <t>M</t>
  </si>
  <si>
    <t>Code</t>
  </si>
  <si>
    <t>Instrument</t>
  </si>
  <si>
    <t>PI</t>
  </si>
  <si>
    <t>A</t>
  </si>
  <si>
    <t>Krabil</t>
  </si>
  <si>
    <t>B</t>
  </si>
  <si>
    <t>Blair</t>
  </si>
  <si>
    <t>C</t>
  </si>
  <si>
    <t>MFFL</t>
  </si>
  <si>
    <t>Dobbs/ITT</t>
  </si>
  <si>
    <t>D</t>
  </si>
  <si>
    <t>Maslanik</t>
  </si>
  <si>
    <t>E</t>
  </si>
  <si>
    <t>SIMPL</t>
  </si>
  <si>
    <t>Harding</t>
  </si>
  <si>
    <t>F</t>
  </si>
  <si>
    <t>PCL</t>
  </si>
  <si>
    <t>Gogineni</t>
  </si>
  <si>
    <t>G</t>
  </si>
  <si>
    <t>Yu</t>
  </si>
  <si>
    <t>H</t>
  </si>
  <si>
    <t>Moller</t>
  </si>
  <si>
    <t>I</t>
  </si>
  <si>
    <t>Raney</t>
  </si>
  <si>
    <t>J</t>
  </si>
  <si>
    <t>Jezek/Gogineni</t>
  </si>
  <si>
    <t>K</t>
  </si>
  <si>
    <t>Combination</t>
  </si>
  <si>
    <t>Team</t>
  </si>
  <si>
    <t>O</t>
  </si>
  <si>
    <t>S-3</t>
  </si>
  <si>
    <t>L-1011</t>
  </si>
  <si>
    <t>Ice Roughness profilometer</t>
  </si>
  <si>
    <t>Mapping Laser altimeter</t>
  </si>
  <si>
    <t>Ka-band UAVSAR</t>
  </si>
  <si>
    <t>Radar Sounder</t>
  </si>
  <si>
    <t>Ku-Radar Sounder</t>
  </si>
  <si>
    <t>ultrawideband KU</t>
  </si>
  <si>
    <t>ATM, LVIS, KuRadar Sounds/PARIS</t>
  </si>
  <si>
    <t>LVIS, KuRadar Sounds/PARIS</t>
  </si>
  <si>
    <t>SIIMPL, SMLA, MFLL, PCL</t>
  </si>
  <si>
    <t>KuRadar Sounds/PARIS</t>
  </si>
  <si>
    <t>Lear 25</t>
  </si>
  <si>
    <t>Global Hawk (GH)</t>
  </si>
  <si>
    <t>B/200/Twin Otter</t>
  </si>
  <si>
    <t>SUAS</t>
  </si>
  <si>
    <t>Cost of Operation ($/hr)</t>
  </si>
  <si>
    <t>Global Hawk</t>
  </si>
  <si>
    <t>Would have taken 3 years to outfit and test</t>
  </si>
  <si>
    <t>1 Turbo Fan</t>
  </si>
  <si>
    <t>&lt;2,000</t>
  </si>
  <si>
    <t>42,000-65,000</t>
  </si>
  <si>
    <t>Gulfstream 3 (G-3)</t>
  </si>
  <si>
    <t>HAIPER (NSF) (G5)</t>
  </si>
  <si>
    <t>&lt;7</t>
  </si>
  <si>
    <t xml:space="preserve">Base of Operations: </t>
  </si>
  <si>
    <t>Puenta Arenas</t>
  </si>
  <si>
    <t xml:space="preserve">Estimated Flight Hours/Cost ($k): </t>
  </si>
  <si>
    <t xml:space="preserve">Estimated Aircraft Operations Costs ($k): </t>
  </si>
  <si>
    <t xml:space="preserve">Integration Costs ($k): </t>
  </si>
  <si>
    <t xml:space="preserve">Science Team Costs ($k): </t>
  </si>
  <si>
    <t xml:space="preserve">Total Cost ($k): </t>
  </si>
  <si>
    <t>Ku-Band Radar</t>
  </si>
  <si>
    <t>Flew 14 missions at 120 hours</t>
  </si>
  <si>
    <t>wants to fly at 35,000 ft AGL</t>
  </si>
  <si>
    <t>Wants to fly at 1,500ft AGL</t>
  </si>
  <si>
    <t>Deployed from southern Greenland</t>
  </si>
  <si>
    <t>Deployed from Thule</t>
  </si>
  <si>
    <t xml:space="preserve">Estimated Aircraft Operations costs ($k): </t>
  </si>
  <si>
    <t>\</t>
  </si>
  <si>
    <t>Terms</t>
  </si>
  <si>
    <t>AMDAR:</t>
  </si>
  <si>
    <t>ESRL:</t>
  </si>
  <si>
    <t>Earth System Research Lab</t>
  </si>
  <si>
    <t>GSD:</t>
  </si>
  <si>
    <t>Global Systems Division</t>
  </si>
  <si>
    <t>Aircraft Meteorological DAta Reports</t>
  </si>
  <si>
    <t>Tropsheric AMDAR</t>
  </si>
  <si>
    <t>TAMDAR:</t>
  </si>
  <si>
    <t>Boulder office of NOAA that deals with Weather issues around the world</t>
  </si>
  <si>
    <t>R&amp;D branch of NOAA ESRL</t>
  </si>
  <si>
    <t xml:space="preserve">General Name for all of the systems that report back aircraft data </t>
  </si>
  <si>
    <t>System to equip and operate same instruments on regional turboprops to get low level data between major hubs</t>
  </si>
  <si>
    <t>Looking to the Code from Fabrice with Radar levels and areas</t>
  </si>
  <si>
    <t>Area of Lat-Long Box</t>
  </si>
  <si>
    <t>nm^2</t>
  </si>
  <si>
    <t>Area of ConUS (Land)</t>
  </si>
  <si>
    <t>Area Covered in Model</t>
  </si>
  <si>
    <t>How many nm^2 are in the CONUS in the lat-long box</t>
  </si>
  <si>
    <t xml:space="preserve">WVSS-II </t>
  </si>
  <si>
    <t>None</t>
  </si>
  <si>
    <t>Local</t>
  </si>
  <si>
    <t>WVSS-II</t>
  </si>
  <si>
    <t>GRIP Participants List 2010</t>
  </si>
  <si>
    <t>GRIP Management</t>
  </si>
  <si>
    <t>DC-8 Instruments</t>
  </si>
  <si>
    <t>CAPS/CVI/PIP</t>
  </si>
  <si>
    <t>DAWN</t>
  </si>
  <si>
    <t>Dropsondes</t>
  </si>
  <si>
    <t>LARGE</t>
  </si>
  <si>
    <t>LASE</t>
  </si>
  <si>
    <t>MMS</t>
  </si>
  <si>
    <t>Global Hawk Instruments</t>
  </si>
  <si>
    <t>Dropsondes- Global Hawk</t>
  </si>
  <si>
    <t>HAMSR</t>
  </si>
  <si>
    <t>HIRWRAP</t>
  </si>
  <si>
    <t>LIP</t>
  </si>
  <si>
    <t>WB-57 Instruments</t>
  </si>
  <si>
    <t>AMPR</t>
  </si>
  <si>
    <t>HIRAD</t>
  </si>
  <si>
    <t>DC-8 Team</t>
  </si>
  <si>
    <t>Global Hawk Team</t>
  </si>
  <si>
    <t>WB-57 Team</t>
  </si>
  <si>
    <t>ESPO</t>
  </si>
  <si>
    <t>Hurricane Research Team</t>
  </si>
  <si>
    <t>APR_2</t>
  </si>
  <si>
    <t>Management</t>
  </si>
  <si>
    <t>Science Flight Support</t>
  </si>
  <si>
    <t>ACAM</t>
  </si>
  <si>
    <t>CPL</t>
  </si>
  <si>
    <t>FCAS / NMASS</t>
  </si>
  <si>
    <t>HDVIS</t>
  </si>
  <si>
    <t>MTP</t>
  </si>
  <si>
    <t>O3</t>
  </si>
  <si>
    <t>UCATS</t>
  </si>
  <si>
    <t>UHSAS</t>
  </si>
  <si>
    <t>ULH</t>
  </si>
  <si>
    <t>ARC</t>
  </si>
  <si>
    <t>JPL</t>
  </si>
  <si>
    <t>NOAA ESRL</t>
  </si>
  <si>
    <t>Droplet Measurement Technologies</t>
  </si>
  <si>
    <t>University of California Santa Cruz</t>
  </si>
  <si>
    <t>University of Denver</t>
  </si>
  <si>
    <t>GSFC</t>
  </si>
  <si>
    <t>Category</t>
  </si>
  <si>
    <t>People</t>
  </si>
  <si>
    <t>Location</t>
  </si>
  <si>
    <t>GPS receivers to measure the atmospheric state parameters (temp, humidity, windspeed/direction pressure) and location in 3 dimensional space during the sonde's descent once each half second.</t>
  </si>
  <si>
    <t>CAPS: Cloud Particles from 50-1600 microns with a resolution of 25 microns per pixel. Cloud droplet and aerosols within .5-50 micron range</t>
  </si>
  <si>
    <t>CSI: Total condensed water content</t>
  </si>
  <si>
    <t>PIP: Cloud Particles from 500-30000 microns with resolution of 100 microns per pixel</t>
  </si>
  <si>
    <t>Instrument Name</t>
  </si>
  <si>
    <t>Acronym</t>
  </si>
  <si>
    <t>Investigators</t>
  </si>
  <si>
    <t>Product Description</t>
  </si>
  <si>
    <t>Airborne Second Generation Precipitation Radar</t>
  </si>
  <si>
    <t>13/35-GHz dual-frequency Doppler radar</t>
  </si>
  <si>
    <r>
      <t>Direct:</t>
    </r>
    <r>
      <rPr>
        <sz val="11"/>
        <color theme="1"/>
        <rFont val="Calibri"/>
        <family val="2"/>
        <scheme val="minor"/>
      </rPr>
      <t xml:space="preserve"> Lag-0 and lag-1 raw data at 13 and 35 GHz, co- and cross-pol. </t>
    </r>
  </si>
  <si>
    <t>Cloud Aerosol and Precipitation Spectrometer  </t>
  </si>
  <si>
    <t>CAPS</t>
  </si>
  <si>
    <t>Aaron Bansemer, NCAR</t>
  </si>
  <si>
    <t>Spectrometer + Imaging Probe</t>
  </si>
  <si>
    <r>
      <t>Direct</t>
    </r>
    <r>
      <rPr>
        <sz val="11"/>
        <color theme="1"/>
        <rFont val="Calibri"/>
        <family val="2"/>
        <scheme val="minor"/>
      </rPr>
      <t>: aerosol particle properties, particle size distribution</t>
    </r>
  </si>
  <si>
    <t>Cloud Spectrometer and Impactor</t>
  </si>
  <si>
    <t>CSI</t>
  </si>
  <si>
    <r>
      <t>Direct:</t>
    </r>
    <r>
      <rPr>
        <sz val="11"/>
        <color theme="1"/>
        <rFont val="Calibri"/>
        <family val="2"/>
        <scheme val="minor"/>
      </rPr>
      <t xml:space="preserve"> total cloud liquid water/ice</t>
    </r>
  </si>
  <si>
    <t>Precipitation and Imaging Probe</t>
  </si>
  <si>
    <t>PIP</t>
  </si>
  <si>
    <r>
      <t>Direct:</t>
    </r>
    <r>
      <rPr>
        <sz val="11"/>
        <color theme="1"/>
        <rFont val="Calibri"/>
        <family val="2"/>
        <scheme val="minor"/>
      </rPr>
      <t xml:space="preserve"> particle size distribution</t>
    </r>
  </si>
  <si>
    <t>Doppler Aerosol WiNd lidar</t>
  </si>
  <si>
    <t>Doppler Lidar</t>
  </si>
  <si>
    <r>
      <t xml:space="preserve">Direct: </t>
    </r>
    <r>
      <rPr>
        <sz val="11"/>
        <color theme="1"/>
        <rFont val="Calibri"/>
        <family val="2"/>
        <scheme val="minor"/>
      </rPr>
      <t>Backscattered light frequency vs. time/range</t>
    </r>
    <r>
      <rPr>
        <b/>
        <sz val="11"/>
        <color theme="1"/>
        <rFont val="Calibri"/>
        <family val="2"/>
        <scheme val="minor"/>
      </rPr>
      <t> </t>
    </r>
  </si>
  <si>
    <t>DC-8 Dropsonde</t>
  </si>
  <si>
    <t>Dropsonde</t>
  </si>
  <si>
    <t>Langley Aerosol Research Group Experiment</t>
  </si>
  <si>
    <r>
      <t>In situ</t>
    </r>
    <r>
      <rPr>
        <sz val="11"/>
        <color theme="1"/>
        <rFont val="Calibri"/>
        <family val="2"/>
        <scheme val="minor"/>
      </rPr>
      <t xml:space="preserve"> aerosol sensors including condensation nuclei counters, optical particle spectrometers, an aerodynamic particle sizer, multi-wavelength particle-soot absorption photometers, and integrating nephelometers</t>
    </r>
  </si>
  <si>
    <t>Lidar Atmospheric Sensing Experiment</t>
  </si>
  <si>
    <r>
      <t xml:space="preserve">Direct: </t>
    </r>
    <r>
      <rPr>
        <sz val="11"/>
        <color theme="1"/>
        <rFont val="Calibri"/>
        <family val="2"/>
        <scheme val="minor"/>
      </rPr>
      <t>Water vapor mixing ratio, aerosol scattering ratio, and cloud distributions.</t>
    </r>
  </si>
  <si>
    <t>Meteorological Measurement System</t>
  </si>
  <si>
    <t>In situ sampling</t>
  </si>
  <si>
    <t>Global Hawk Dropwindsonde</t>
  </si>
  <si>
    <t>Dropwindsonde</t>
  </si>
  <si>
    <t>JPL High Altitude MMIC Sounding Radiometer</t>
  </si>
  <si>
    <t>Microwave Radiometer</t>
  </si>
  <si>
    <r>
      <t>Direct:</t>
    </r>
    <r>
      <rPr>
        <sz val="11"/>
        <color theme="1"/>
        <rFont val="Calibri"/>
        <family val="2"/>
        <scheme val="minor"/>
      </rPr>
      <t xml:space="preserve"> Brightness temperatures</t>
    </r>
  </si>
  <si>
    <r>
      <t>Derived:</t>
    </r>
    <r>
      <rPr>
        <sz val="11"/>
        <color theme="1"/>
        <rFont val="Calibri"/>
        <family val="2"/>
        <scheme val="minor"/>
      </rPr>
      <t xml:space="preserve"> Vertical profiles of temperature, water vapor, liquid water</t>
    </r>
  </si>
  <si>
    <t>High-Altitude Imaging Wind and Rain Airborne Profiler</t>
  </si>
  <si>
    <t>HIWRAP</t>
  </si>
  <si>
    <t>Lightning Instrument Package</t>
  </si>
  <si>
    <t>Electric field mills, Conductivity Probe</t>
  </si>
  <si>
    <r>
      <t>Direct:</t>
    </r>
    <r>
      <rPr>
        <sz val="11"/>
        <color theme="1"/>
        <rFont val="Calibri"/>
        <family val="2"/>
        <scheme val="minor"/>
      </rPr>
      <t xml:space="preserve"> Lightning, electric fields, air conductivity</t>
    </r>
  </si>
  <si>
    <r>
      <t xml:space="preserve">Derived: </t>
    </r>
    <r>
      <rPr>
        <sz val="11"/>
        <color theme="1"/>
        <rFont val="Calibri"/>
        <family val="2"/>
        <scheme val="minor"/>
      </rPr>
      <t>Electric current (especial storm electric current) derived by combining electric fields and conductivity measurements.</t>
    </r>
  </si>
  <si>
    <t>Hurricane Imaging Radiometer</t>
  </si>
  <si>
    <r>
      <t>Direct:</t>
    </r>
    <r>
      <rPr>
        <sz val="11"/>
        <color theme="1"/>
        <rFont val="Calibri"/>
        <family val="2"/>
        <scheme val="minor"/>
      </rPr>
      <t xml:space="preserve"> Brightness temperature at 4, 5, 6, and 6.6 GHz</t>
    </r>
  </si>
  <si>
    <t>The APR-2 is a  dual-frequency (13 GHz &amp; 35 GHz), Doppler, dual-polarization radar system.  It has a downward looking antenna that performs cross track scans, covering a swath that is +/- 25 to each side of the aircraft path. Additional features include: simultaneous dual-frequency, matched beam operation at 13.4 and 35.6 GHz (same as GPM Dual-Frequency Precipitation Radar), simultaneous measurement of both like- and cross-polarized signals at both frequencies, Doppler operation, and real-time pulse compression (calibrated reflectivity data can be produced for large areas in the field during flight, if necessary).</t>
  </si>
  <si>
    <t>http://trmm.jpl.nasa.gov/apr.html</t>
  </si>
  <si>
    <t>CAPS: Measures concentration and records images of cloud particles from approximately 50-1600 microns in diameter with a resolution of 25 microns per pixel.  Measures cloud droplet and aerosol concentrations within the size range of 0.5-50 microns.</t>
  </si>
  <si>
    <t>http://www.dropletmeasurement.com/</t>
  </si>
  <si>
    <t>CSI:  Measures total condensed (liquid + ice) water content.</t>
  </si>
  <si>
    <t>PIP:  Measures concentration and records images of cloud particles from approximately 500-30000 microns in diameter with a resolution of 100 microns per pixel.</t>
  </si>
  <si>
    <t>The laser is pulsed, 2-micron, and solid-state. It pulses at 10 Hz with 250 mJ pulses that are 200 ns long full width at half maximum (FWHM). The laser beam expanded to 12 cm e-2 (13.53% of center) intensity diameter with a 15-cm diameter, reflective, off-axis, afocal telescope. The 12-cm beam is eyesafe at any range. An optical wedge that is mounted in the center bottom of DC-8 Port Nadir 7 rotates around a vertical axis (if DC-8 horizontal) to select the laser’s azimuth angle. The wedge causes a fixed approximately 30-deg. laser nadir angle. The transmitted light backscatters off natural aerosol and cloud particles which move with the wind. The backscattered light is directed onto a room temperature, round 75-micron diameter, InGaAs detector where heterodyne detection with a continuous-wave (CW) local oscillator (LO) laser is performed. The heterodyne (or coherent) detection provides excellent photon efficiency, immunity to background light, a reduction in signal dynamic range, and a downward translation of the entire signal light spectrum intact to much lower frequencies capable of being captured. The receiver electronics and analog-to-digital converter (ADC) capture the backscattered light signal as a function of time since pulse started, which is proportional to the range of the pulse’s leading edge (t = 2R/c). In the computer, the captured signal is divided into range gates. A discrete Fourier transform (DFT) is used to produce a periodogram for each range gate. The periodograms of several laser pulses are added to increase the signal-to-noise ratio (SNR). The summed periodograms are processed to find the peak frequency and hence line-of-sight (LOS) wind velocity. For one azimuth angle, a range profile of LOS wind velocity is attained. Using the wedge scanner, five different azimuth angles are measured: 1) to end up with five equations for the three unknown components of wind vs. altitude, 2) to mitigate cloud obscurations, and 3) to measure the atmospheric variability.</t>
  </si>
  <si>
    <t>Dropwinsonde are fitted with Global Positioning System (GPS) receivers to measure the atmospheric state parameters (temp, humidity, windspeed/direction pressure) and location in 3 dimensional space during the sonde's descent once each half second. Measurements are transmitted to the aircraft from the time of release until impact with the ocean's surface.</t>
  </si>
  <si>
    <t>Langley Aerosol Research Group Experiment (LARGE) measures ultrafine aerosol number density, total and non-volatile aerosol number density, dry aerosol size distribution from 0.01 to 10 mm, total and submicron aerosol absorption coefficients at 470, 535, and 670 nm, total and submicron aerosol scattering coefficients at 550 nm, and total scattering and hemispheric backscattering coefficients at 400, 550 and 700 nm.  LARGE derives aerosol size statistics (mode, number and mass mean diameters, etc.), aerosol surface area and mass loading, aerosol extinction, single scattering albedo, and angstrom coefficients.</t>
  </si>
  <si>
    <t>The Differential Absorption Lidar  uses the backscatter of two simultaneous laser wavelengths through zenith and nadir windows to measure the vertical profiles of H2O and aerosols/clouds.</t>
  </si>
  <si>
    <t>Principles of Operation:
NASA's Lidar Atmospheric Sensing Experiment (LASE) system is an airborne DIAL (Differential Absorption Lidar) system used to measure water vapor, aerosols, and clouds throughout the troposphere. LASE probes the atmosphere using lasers to transmit light in the 815-nm absorption band of water vapor. Pulses of laser light are fired vertically below the aircraft. A small fraction of the transmitted laser light is reflected from the atmosphere back to the aircraft and collected with a telescope receiver. The received light indicates the amount of water vapor along the path of the laser beam.</t>
  </si>
  <si>
    <t>The MMS provides high-resolution and accurate meteorological parameters (pressure, temperature, turbulence index, and the 3-dimensional wind vector).  The MMS consists of 3 major systems:
1a. The Air Motion Sensor consists of two airflow-angle probes, three total temperature probes (with different response times), a pitot-static pressure probe, and a dedicated static pressure system.
1b. Pitot-Static system- A device consisting of two parts, a pitot tube and a static port. The pitot tube is an open tube aimed into the direction of flight which allows air to flow into it thus measuring total pressure. The static port is aligned so that air flows across, not into, the port. This measures static pressure of the air. The arithmetic difference of the two measured pressures (Pt-Ps) is used to determine dynamic pressure.  Static temperature is further needed to derive airspeed.
2. Total Temperature probe- device which measures Total Temperature which is due to ambient temperature plus friction effects between the airflow and the probe itself.
3a. INS- Inertial Navigation System
3b. GPS- Global Positioning System
3c. Aircraft Motion Sensor- comprised of the GPS and INS plus associated hardware. Used to determine the motion of the aircraft with respect to the surface of the earth</t>
  </si>
  <si>
    <t>The Global Hawk dropsonde is a miniaturized version of standard RD-93 dropsondes based largely on recent MIST driftsondes deployed from balloons.  The dropsonde provides vertical profiles of pressure, temperature, humidity, and winds.  Data from these sondes are transmitted in near real-time via Iridium or Ku-band satellite to the ground-station, where additional processing will be performed for transmission of the data via the Global Telecommunications System (GTS) for research and operational use.</t>
  </si>
  <si>
    <t>The High Altitude monolithic microwave integrated Circuit (MMIC) Sounding Radiometer (HAMSR) is a microwave atmospheric sounder developed by JPL under the NASA Instrument Incubator Program. Operating with 25 spectral channels in 3 bands ( 50-60Ghz, 118 Ghz 183 HGz region), features it provides measurements that can be used to infer the 3-D distribution of temperature, water vapor, and cloud liquid water in the atmosphere, even in the presence of clouds. The new UAV-HAMSR with 183GHz LNA receiver reduces noise to less than a 0.1K level improving observations of small-scale water vapor. HAMSR is mounted in payload zone 3 near the nose of the Global Hawk.</t>
  </si>
  <si>
    <t>http://microwavescience.jpl.nasa.gov/instruments/hamsr/</t>
  </si>
  <si>
    <t>Measures lightning, electric fields, electric field changes, air conductivity.  Provides real time electric field data for science and operations support.</t>
  </si>
  <si>
    <t>HIRAD is a hurricane imaging, single-pol passive C-band radiometer with both cross-track and along-track resolution that measures strong ocean surface winds through heavy rain from an aircraft or space-based platform.  Its swath width is approximately 60 degrees in either direction. There are two products: rain rate and wind speed.</t>
  </si>
  <si>
    <r>
      <t xml:space="preserve">PI: </t>
    </r>
    <r>
      <rPr>
        <sz val="11"/>
        <color theme="1"/>
        <rFont val="Calibri"/>
        <family val="2"/>
        <scheme val="minor"/>
      </rPr>
      <t>Timothy Miller, NASA/MSFC</t>
    </r>
  </si>
  <si>
    <t>Derived: Ocean surface wind speed, and rain rate</t>
  </si>
  <si>
    <r>
      <t xml:space="preserve">PI:  </t>
    </r>
    <r>
      <rPr>
        <sz val="11"/>
        <color theme="1"/>
        <rFont val="Calibri"/>
        <family val="2"/>
        <scheme val="minor"/>
      </rPr>
      <t>Rich Blakeslee,NASA MSFC</t>
    </r>
  </si>
  <si>
    <r>
      <t>PI</t>
    </r>
    <r>
      <rPr>
        <sz val="11"/>
        <color theme="1"/>
        <rFont val="Calibri"/>
        <family val="2"/>
        <scheme val="minor"/>
      </rPr>
      <t>: Gerald Heymsfield, NASA</t>
    </r>
  </si>
  <si>
    <t>Direct: Reflectivity,  Doppler, Surface wind speed, direction, Horizontal. wind speed/direction in precip/cloud regions, Vertical Wind, Precipitation Rate</t>
  </si>
  <si>
    <r>
      <t>Derived</t>
    </r>
    <r>
      <rPr>
        <sz val="11"/>
        <color theme="1"/>
        <rFont val="Calibri"/>
        <family val="2"/>
        <scheme val="minor"/>
      </rPr>
      <t>: Reflectivity CAPPI’s, Nadir vector wind profile, Wind vectors on CAPPI’s, Ocean surface winds</t>
    </r>
  </si>
  <si>
    <t>HIWRAP is a dual-frequency radar
(Ka- and Ku-band), dual-beam (300 and 400 incidence angle), conical
scan, solid-state transmitter-based system, designed for operation on
the high-altitude (20 km) Global Hawk UAV.
HIWRAP characteristics: Conically scanning,  Simultaneous Ku/Ka-band &amp;  two beams @30 and 40 deg,  Winds using precipitation &amp; clouds as tracers,  Ocean vector wind scatterometry
Map the 3-dimensional winds and precipitation within hurricanes and other severe weather events.
Map ocean surface winds in clear to light rain regions using scatterometry.</t>
  </si>
  <si>
    <t>PI: Bjorn Lambrigtsen, JPL</t>
  </si>
  <si>
    <t>PI: Gary Wick, NOAA ESRL</t>
  </si>
  <si>
    <r>
      <t>Direct</t>
    </r>
    <r>
      <rPr>
        <sz val="11"/>
        <color theme="1"/>
        <rFont val="Calibri"/>
        <family val="2"/>
        <scheme val="minor"/>
      </rPr>
      <t xml:space="preserve">: Wind, temperature, pressure and relative humidity </t>
    </r>
  </si>
  <si>
    <r>
      <t>Derived:</t>
    </r>
    <r>
      <rPr>
        <sz val="11"/>
        <color theme="1"/>
        <rFont val="Calibri"/>
        <family val="2"/>
        <scheme val="minor"/>
      </rPr>
      <t xml:space="preserve"> Vertical wind (from dropsonde fall speed), dropsonde location (directly from GPS or from integrating the winds using the aircraft location.</t>
    </r>
  </si>
  <si>
    <t> Derived:HH (co-pol) radar reflectivity at 13 and 35 GHz, Linear Depolarization Ratio (LDR) at 13 and 35 GHz, Vertical Doppler velocity profiles at 13 and 35 GHz</t>
  </si>
  <si>
    <t>PI: Steve Durden, JPL</t>
  </si>
  <si>
    <t>PI: Andrew Heymsfield, NCAR</t>
  </si>
  <si>
    <t>Derived products of CAPS-CSI-PIP:Extinction, effective radius, mean/median cloud particle diameter, ice/liquid water content, radar reflectivity</t>
  </si>
  <si>
    <t>PI: Michael J. Kavaya,NASA LaRC</t>
  </si>
  <si>
    <t>Derived: Vertical profiles of u, v, and w components of 3-D wind in the region below the aircraft.  Various vertical and horizontal resolutions are possible., Vertical profiles of LOS wind for the five (5) azimuth angles., Vertical profiles of relative aerosol backscatter (at 2-microns wavelength and circularly polarized light and 30-deg nadir angle), in the region below the aircraft, for the five (5) azimuth angles., Vertical profiles of wind turbulence in the region below the aircraft, for the five (5) azimuth angles., Correlations of the data products vs. height.</t>
  </si>
  <si>
    <t>Direct: Vertical profiles of pressure, temperature, humidilty, and wind</t>
  </si>
  <si>
    <t>PI: Jeff Halverson, NASA GSFC</t>
  </si>
  <si>
    <r>
      <t>Direc</t>
    </r>
    <r>
      <rPr>
        <sz val="11"/>
        <color theme="1"/>
        <rFont val="Calibri"/>
        <family val="2"/>
        <scheme val="minor"/>
      </rPr>
      <t>t: Condensation Nuclei, Aerosol Particle Size, Cloud Condensation Nuclei Spectra, Scattering Humidity , Dependence, Absorption at 405, 532, and 781 nm, Scattering at 450, 550, and 700 nm, Black Carbon Mass, Size, Soluble Ion Composition</t>
    </r>
  </si>
  <si>
    <t>PI: Bruce Anderson, NASA LaRC</t>
  </si>
  <si>
    <t>Derived: In Flight (to DC-8 data system) , *Scattering coefficient, * Particle number density, * Displays of size distributions and other parameters, Field Archive (&lt;24 hrs), * Optical Properties: scattering, absorption, SSA, Angstrom exponents, etc., * Particle number densities, surface areas, and volumes over 5 discreet size ranges, * CCN at single saturation</t>
  </si>
  <si>
    <t>PI: Syed Ismail, NASA LaRC</t>
  </si>
  <si>
    <t>Derived: Relative humidity, precipitable water vapor profiles, aerosol backscatter, aerosol extinction, and aerosol optical thickness profiles (815 nm).</t>
  </si>
  <si>
    <t>PI:Paul Bui, NASA ARC</t>
  </si>
  <si>
    <t>Direct:DGPS Positions; Velocities; Accelerations; Pitch, Roll; Heading; Angle-of-Attack; Angle-of-Sideslip; Dynamic Total Pressures; Total Temperatures</t>
  </si>
  <si>
    <t>Derived: Static pressure; Static temperature; Three-dimensional wind vector; Potential Temperature; True-Air-Speed; Turbulence</t>
  </si>
  <si>
    <t>Airborne Compact Atmospheric Mapper</t>
  </si>
  <si>
    <t>Cloud Physics Lidar</t>
  </si>
  <si>
    <t>Focused Cavity Aerosol Spectrometer / Nuclei Mode Aerosol Size Spectrometer</t>
  </si>
  <si>
    <t>FCAS/NMASS</t>
  </si>
  <si>
    <t xml:space="preserve"> Microwave Temperature Profiler</t>
  </si>
  <si>
    <t>Ozone Photometer</t>
  </si>
  <si>
    <t xml:space="preserve">UAS Chromatograph for Atmospheric Trace Species </t>
  </si>
  <si>
    <t>Ultra High Sensitivity Aerosol Spectrometer</t>
  </si>
  <si>
    <t>UAS Laser Hygrometer</t>
  </si>
  <si>
    <t>http://spiedigitallibrary.org/proceedings/resource/2/psisdg/7452/1/74520Q_1</t>
  </si>
  <si>
    <t>Scott Janz, GSFC</t>
  </si>
  <si>
    <t>About the size of a microwave oven. The spectrometers measure the way sunlight is scattered and absorbed by Earth's atmosphere at hundreds of wavelengths (both visible and invisible). The high-definition video camera is used for visual identification of clouds and features on Earth's surface.</t>
  </si>
  <si>
    <t>The spectrometer allows scientists to detect the presence of trace gases such as nitrogen dioxide (NO2) and ozone (O3), as well as how ultraviolet (UV) light is absorbed or scattered by aerosol particles. ACAM can also see changes in ocean color due to chlorophyll and dissolved organic matter.</t>
  </si>
  <si>
    <t>The instrument has flown previously on missions to observe air quality over cities such as Houston, and is being used to help refine science requirements for future air quality observation satellites.</t>
  </si>
  <si>
    <t>Matthew McGill, GSFC</t>
  </si>
  <si>
    <t>deployed its instruments for 10 years on NASA's ER-2 high-altitude planes</t>
  </si>
  <si>
    <t>The CPL instrument pulses laser light into the atmosphere and observes the reflections — a process known as light detection and ranging, or LIDAR — to reveal the structure and brightness of clouds and aerosols. Clouds and aerosols have significant impacts on Earth's "radiative balance," the amount of light and heat coming into the atmosphere (mostly from the sun) and radiating back out into space. Those measurements are useful in their own right, but also help adjust the "eyesight" of NASA's Earth-observing satellites like Aura.</t>
  </si>
  <si>
    <t>http://cpl.gsfc.nasa.gov/</t>
  </si>
  <si>
    <t>Parameter</t>
  </si>
  <si>
    <t>Value</t>
  </si>
  <si>
    <t>1064, 532, and 355 nm</t>
  </si>
  <si>
    <t>Laser type</t>
  </si>
  <si>
    <t>solid-state Nd:YVO4</t>
  </si>
  <si>
    <t>Laser repetition rate</t>
  </si>
  <si>
    <t>5 kHz</t>
  </si>
  <si>
    <t>Laser output energy</t>
  </si>
  <si>
    <t>50 uJ at 1064 nm</t>
  </si>
  <si>
    <t>25 uJ at 532 nm</t>
  </si>
  <si>
    <t>50 uJ at 355 nm</t>
  </si>
  <si>
    <t>Telescope diameter</t>
  </si>
  <si>
    <t>8 inches</t>
  </si>
  <si>
    <t>Telescope type</t>
  </si>
  <si>
    <t>off-axis parabola</t>
  </si>
  <si>
    <t>Telescope field of view</t>
  </si>
  <si>
    <t>100 microradians</t>
  </si>
  <si>
    <t>Filter bandwidth</t>
  </si>
  <si>
    <t>400 pm at 1064 nm</t>
  </si>
  <si>
    <t>120 pm at 532 nm</t>
  </si>
  <si>
    <t>150 pm at 355 nm</t>
  </si>
  <si>
    <t>Detector efficiency</t>
  </si>
  <si>
    <t>3% at 1064 nm</t>
  </si>
  <si>
    <t>60% at 532 nm</t>
  </si>
  <si>
    <t>10 % at 355 nm</t>
  </si>
  <si>
    <t>Raw data resolution</t>
  </si>
  <si>
    <t>1/10 second</t>
  </si>
  <si>
    <t>(30 m vertical by 20 m horizontal)</t>
  </si>
  <si>
    <t>Processed data resolution</t>
  </si>
  <si>
    <t>1 second</t>
  </si>
  <si>
    <t>(30 m vertical by 200 m horizontal)</t>
  </si>
  <si>
    <t>CPL Parameters</t>
  </si>
  <si>
    <t>See Table to Left</t>
  </si>
  <si>
    <t>James "Chuck" Wilson, U of Denver</t>
  </si>
  <si>
    <t>FCAS and NMASS measure the size and abundance of particles (between 4 and 1000 nanometers) in the atmosphere. The measurements will improve our understanding of the properties, origin, fate, and impacts of these particles. Aerosols play an important but incompletely understood role in climate and atmospheric dynamics: reactions that occur on the surface of these particles in the stratosphere can affect ozone loss and recovery; some aerosols reflect sunlight back to space and cool the planet; and high-altitude particles can serve as nuclei for the formation of high-altitude ice clouds that play a role in the Earth's radiation budget.</t>
  </si>
  <si>
    <t>Aerosol Spectrometer</t>
  </si>
  <si>
    <t>The instruments have flown on NASA's DC-8, ER-2, and WB-57F aircraft from 72 degrees South latitude to 90 degrees North.</t>
  </si>
  <si>
    <t>http://www.engr.du.edu/aerosol/index.htm</t>
  </si>
  <si>
    <t>http://www.engr.du.edu/aerosol/instruments.htm</t>
  </si>
  <si>
    <t>Pat Grant, ARC</t>
  </si>
  <si>
    <t>High-Definition Video System</t>
  </si>
  <si>
    <t>The HDVis camera provides forward-looking time-lapse video imagery from the plane to identify cloud types and provide "situational awareness" for the plane. It has a wide-angle lens and is pointed forward at 45 degrees, so the camera shows everything from the horizon forward to the ground directly below. The view allows the science and operations teams to change course or altitude based on the interesting atmospheric phenomena ahead, and to adjust instrument measurements.</t>
  </si>
  <si>
    <t>MMS measures atmospheric pressure, temperature, air turbulence, and the direction and speed of winds (both horizontal and vertical) immediately around the plane. These fundamental meteorological measurements give a picture of the environment through which the plane is flying and collecting samples. These variables are intertwined with other measurements, such as relative humidity.</t>
  </si>
  <si>
    <t>Thaopaul "Paul" Bui , ARC</t>
  </si>
  <si>
    <t>Their system has flown on many different NASA and NOAA manned and unmanned aircraft since it was first deployed in 1986. The instrument package has been from Texas to Australia, from Norway to Chile, and many other locations, for studies of ozone depletion, exchanges between layers of the atmosphere, cloud formation, hurricanes, and aerosols.</t>
  </si>
  <si>
    <t>http://geo.arc.nasa.gov/sgg/mms/index.htm</t>
  </si>
  <si>
    <t>MTP is a radiometer that detects the naturally-occurring emission of microwaves (a longer wavelength form of light) from oxygen molecules in the atmosphere. This measurement is translated into a picture of the "temperature field" above, at, and below the flight path of the plane, giving context to what is observed by other instruments.</t>
  </si>
  <si>
    <t>MJ Mahoney, JPL</t>
  </si>
  <si>
    <t>Since the 1970s, variations of the MTP have been deployed 51 times on more than 800 flights in North, Central, and South America; Europe; Australia; the tropical Pacific Ocean; and from the North Pole to the South Pole over the Pacific Ocean.</t>
  </si>
  <si>
    <t>The temperature field helps scientists identify the height of the tropopause — the boundary between the troposphere (the atmospheric layer closest to Earth), and the stratosphere, where protective ozone is found. Knowing this boundary helps researchers specify the location of the gases and aerosols they measure, and perhaps where they are coming from or going to.</t>
  </si>
  <si>
    <t>http://mtp.jpl.nasa.gov/</t>
  </si>
  <si>
    <t>Bruce Gandrud, Droplet Measurement Technologies</t>
  </si>
  <si>
    <t>http://www.dropletmeasurement.com/products/airborne/71</t>
  </si>
  <si>
    <t>UHSAS measures the concentration and size of atmospheric aerosol particles by collecting air samples and detecting laser light scattered from individual particles in the sample chamber. Aerosols come from natural sources — wildfires, volcanic eruptions, sand storms, etc. — and human sources — such as vehicle and industrial pollution. These particles play a role in the warming and cooling of the planet by modifying the amount of solar radiation that reaches Earth's surface and returns to space from reflection and emission.</t>
  </si>
  <si>
    <t>This airborne optical spectrometer measures aerosol particles in the 0.06 µm to 1 µm range</t>
  </si>
  <si>
    <t>100-bin resolution</t>
  </si>
  <si>
    <t>Real-time data viewing</t>
  </si>
  <si>
    <t>Suitable for standard aircraft canister mount</t>
  </si>
  <si>
    <t>U.S. Patent #5,889,589</t>
  </si>
  <si>
    <t>UHSAS Specficiations</t>
  </si>
  <si>
    <t>60 nm to 1 µm range</t>
  </si>
  <si>
    <t>Aerosols</t>
  </si>
  <si>
    <t xml:space="preserve">Sample flow rate: </t>
  </si>
  <si>
    <t>10-100 cc/min</t>
  </si>
  <si>
    <t xml:space="preserve">Data sampling rate: </t>
  </si>
  <si>
    <t>up to 10 Hz</t>
  </si>
  <si>
    <t xml:space="preserve">Maximum count rate: </t>
  </si>
  <si>
    <t>3000 particles/second</t>
  </si>
  <si>
    <t xml:space="preserve">Instrument weight: </t>
  </si>
  <si>
    <t>31 kg</t>
  </si>
  <si>
    <t xml:space="preserve">Power: </t>
  </si>
  <si>
    <t>100-240 VAC, 47 - 63Hz 200 W</t>
  </si>
  <si>
    <t>UCATS uses two gas chromatographs (GCs) to separate out the different molecules from air, and two absorption photometers to measure ozone (detectable in the ultraviolet) and water vapor (detectable in the infrared). The GCs detects the presence and amount of greenhouse gases such as nitrous oxide (N2O), sulfur hexafluoride (SF6), and methane (CH4). The instrument also measures ozone-depleting gases (such as CFC-11, CFC-12, and halon-1211), carbon monoxide (important for air quality), and hydrogen. All of these gases are important components for building models of climate change.</t>
  </si>
  <si>
    <t>James W. Elkins, NOAA ESRL</t>
  </si>
  <si>
    <t>Earlier versions of UCATS have flown on NOAA, NASA, and National Science Foundation missions from 2005 to the present.</t>
  </si>
  <si>
    <t>http://www.acd.ucar.edu/start/ucats.shtml</t>
  </si>
  <si>
    <t>UCATS was designed and built for autonomous operation aboard the Altair Unmanned Aircraft System in an unpressurized, ambient temperature environment. To date it has amassed &gt;140 operational flight hours, including three flights &gt;20 hours in duration</t>
  </si>
  <si>
    <t>The UAS Ozone instrument directly samples ozone (O3) in the atmosphere. It takes a sample of air from outside the aircraft and passes it between a lamp that emits ultraviolet (UV) radiation and a UV detector. Because ozone strongly absorbs ultraviolet light, if there is more ozone in the air, then there is less UV at the detector. If there is less ozone in the air stream, then more ultraviolet light is detected.</t>
  </si>
  <si>
    <t>Ru-Shan Gao, NOAA ESRL</t>
  </si>
  <si>
    <t>Their instruments have flown on NASA's WB-57F high-altitude research aircraft in Houston</t>
  </si>
  <si>
    <t>http://sine.ni.com/cs/app/doc/p/id/cs-12343</t>
  </si>
  <si>
    <t>Robert Herman, JPL</t>
  </si>
  <si>
    <t>Laser Hygrometer</t>
  </si>
  <si>
    <t>ULH uses a continuous beam of laser light and two mirrors to sense the amount of water vapor present in packets of air around the plane. These measurements are important because the amount of water vapor in the upper troposphere and lower stratosphere has a disproportionate impact on climate and future climate change.</t>
  </si>
  <si>
    <t>The stratosphere is very dry — just a few molecules per million are water, roughly 10,000 times less than at Earth's surface. Accurate measurements of water vapor provide "ground truth" for remote measurements made by satellite instruments such as the Microwave Limb Sounder on the NASA Aura spacecraft.</t>
  </si>
  <si>
    <t>http://laserweb.jpl.nasa.gov/ulh/index.html</t>
  </si>
  <si>
    <t>It is designed for long-duration flights of the NASA Global Hawk UAS to monitor upper tropospheric (UT) and lower stratospheric (LS) water vapor for climate studies, atmospheric chemistry, and satellite validation.</t>
  </si>
  <si>
    <t>Measurements</t>
  </si>
  <si>
    <t>1.1.1 aerosol height/optical depth</t>
  </si>
  <si>
    <t>1.1.2 aerosol shape, composition, physical and chemical properties</t>
  </si>
  <si>
    <t>1.1.4 aerosol extinction profiles/vertical concentration</t>
  </si>
  <si>
    <t>1.1.5 aerosol size and size distribution</t>
  </si>
  <si>
    <t>1.1.6 aerosol absorption optical thickness and profiles</t>
  </si>
  <si>
    <t>1.2.1 Atmospheric temperature fields</t>
  </si>
  <si>
    <t>1.3.1 Atmospheric humidity (indirect)</t>
  </si>
  <si>
    <t>1.3.2 Water vapor transport - Winds</t>
  </si>
  <si>
    <t>1.3.3 GPS radio occultation</t>
  </si>
  <si>
    <t>1.4.1 atmospheric wind speed</t>
  </si>
  <si>
    <t>1.4.2 atmospheric wind direction</t>
  </si>
  <si>
    <t>1.5.1 cloud top temperature</t>
  </si>
  <si>
    <t>1.5.3 Cloud amount/distribution</t>
  </si>
  <si>
    <t>1.6.2 cloud ice particle size distribution</t>
  </si>
  <si>
    <t>1.6.3 Cloud particle phase - ice/water transition</t>
  </si>
  <si>
    <t>1.7.1 Cloud liquid water and precipitation rate</t>
  </si>
  <si>
    <t>1.7.2 Cloud droplet size</t>
  </si>
  <si>
    <t>1.8.1 H2O</t>
  </si>
  <si>
    <t>1.8.2 O3</t>
  </si>
  <si>
    <t>1.8.3 CO2</t>
  </si>
  <si>
    <t>1.8.4 CH4</t>
  </si>
  <si>
    <t>1.8.5 CO</t>
  </si>
  <si>
    <t>1.8.6 O2</t>
  </si>
  <si>
    <t>1.8.7 NOx(NO, NO2), N2O5, HNO3</t>
  </si>
  <si>
    <t>1.8.8 CH2O and non-CH4 VOC</t>
  </si>
  <si>
    <t>1.8.9 CFCs/HFCs</t>
  </si>
  <si>
    <t>1.8.10 H2O2, OH, HO2 and isotopes (HDO, H218O)</t>
  </si>
  <si>
    <t>1.8.11 SO2</t>
  </si>
  <si>
    <t>1.8.13 Black carbon and other polluting aerosols</t>
  </si>
  <si>
    <t>1.8.14 ClO, BrO, halogen compounds</t>
  </si>
  <si>
    <t>1.8.15 Upper-troposphere/stratosphere - Polar Stratospheric Clouds</t>
  </si>
  <si>
    <t>1.8.16 Visible atmospheric plumes</t>
  </si>
  <si>
    <t>1.9.1 Spectrally resolved solar irradiance</t>
  </si>
  <si>
    <t>1.9.2 Spectrally resolved IR radiance (200-2000cm-1)</t>
  </si>
  <si>
    <t>1.9.3 Spectrally resolved SW radiance (0.3-2um)</t>
  </si>
  <si>
    <t>2.1.1 Albedo and reflectance</t>
  </si>
  <si>
    <t>2.3.1 Freeze/thaw state</t>
  </si>
  <si>
    <t>2.3.2 soil moisture</t>
  </si>
  <si>
    <t>2.4.1 vegetation type and structure</t>
  </si>
  <si>
    <t>2.4.2 vegetation state</t>
  </si>
  <si>
    <t>2.5.1 Surface temperature (land)</t>
  </si>
  <si>
    <t>2.6.1 land use</t>
  </si>
  <si>
    <t>2.6.2 landcover status</t>
  </si>
  <si>
    <t>2.6.3 disaster monitoring</t>
  </si>
  <si>
    <t>2.6.4 hydrocarbon reservoir monitoring</t>
  </si>
  <si>
    <t>2.6.5 surface composition</t>
  </si>
  <si>
    <t>2.7.2 flood monitoring</t>
  </si>
  <si>
    <t>2.7.3 groundwater storage</t>
  </si>
  <si>
    <t>3.1.1 Ocean color - 410-680nm (Chlorophyll absorption and fluorescence, pigments, phytoplankton, CDOM)</t>
  </si>
  <si>
    <t>3.1.2 Extended ocean color - UV (enhanced DOC, CDOM)</t>
  </si>
  <si>
    <t>3.1.3 Extended ocean color - NIR (atmospheric correction)</t>
  </si>
  <si>
    <t>3.2.1 Sea level height</t>
  </si>
  <si>
    <t>3.2.2 seafloor topography</t>
  </si>
  <si>
    <t>3.2.4 thermal plumes</t>
  </si>
  <si>
    <t>3.2.5 river plumes/sediment fluxes</t>
  </si>
  <si>
    <t>3.2.6 Ocean mass distribution</t>
  </si>
  <si>
    <t>3.3.1 Ocean salinity</t>
  </si>
  <si>
    <t>3.4.1 Ocean surface wind speed</t>
  </si>
  <si>
    <t>3.4.2 Ocean surface wind direction</t>
  </si>
  <si>
    <t>3.5.1 Surface temperature (ocean)</t>
  </si>
  <si>
    <t>3.6.1 Ocean wave height and spectrum</t>
  </si>
  <si>
    <t>3.7.2 coral reef health/extent</t>
  </si>
  <si>
    <t>4.2.1 snow-water equivalence</t>
  </si>
  <si>
    <t>4.2.3 snow wetness</t>
  </si>
  <si>
    <t>5.1.1 gravity field variations</t>
  </si>
  <si>
    <t>Measurement(s)</t>
  </si>
  <si>
    <t>LEO-Capability</t>
  </si>
  <si>
    <t>Horizontal Spatial Resolution</t>
  </si>
  <si>
    <t>Temporal Resolution</t>
  </si>
  <si>
    <t>GLOPAC</t>
  </si>
  <si>
    <t>P3-B</t>
  </si>
  <si>
    <t>ER-2</t>
  </si>
  <si>
    <t>WB-57</t>
  </si>
  <si>
    <t>GRIP</t>
  </si>
  <si>
    <t>OIB</t>
  </si>
  <si>
    <t>AMDAR</t>
  </si>
  <si>
    <t>ARGOSS</t>
  </si>
  <si>
    <t>TAMDAR</t>
  </si>
  <si>
    <t>Water Vapor Sensing System II</t>
  </si>
  <si>
    <t>Turbo Prop</t>
  </si>
  <si>
    <t>Commercial Jet</t>
  </si>
  <si>
    <t>Panel</t>
  </si>
  <si>
    <t>Objective</t>
  </si>
  <si>
    <t>Sub-Objective</t>
  </si>
  <si>
    <t>Measurement</t>
  </si>
  <si>
    <t>Climate Change</t>
  </si>
  <si>
    <t>Aerosol-Cloud Forcing</t>
  </si>
  <si>
    <t>Ice Sheet, Sea Ice Volume and Ice Dynamics</t>
  </si>
  <si>
    <t>Carbon Sources and Sinks</t>
  </si>
  <si>
    <t>Radiance Calibration and Time-Reference Observatory</t>
  </si>
  <si>
    <t>Ocean Circulation, Heat Storage, and Climate Forcing</t>
  </si>
  <si>
    <t>Cloud type</t>
  </si>
  <si>
    <t>Cloud amount/distribution</t>
  </si>
  <si>
    <t>1.5.3 Cloud amount/distribution (horizontal and vertical)</t>
  </si>
  <si>
    <t>cloud height/optical thickness</t>
  </si>
  <si>
    <t>cloud particle size distribution</t>
  </si>
  <si>
    <t>ice/water transition in clouds</t>
  </si>
  <si>
    <t>Cloud liquid water and precipitation rate</t>
  </si>
  <si>
    <t>Cloud droplet size</t>
  </si>
  <si>
    <t>aerosol height/optical depth</t>
  </si>
  <si>
    <t>aerosol shape, composition, physical and chemical properties</t>
  </si>
  <si>
    <t>aerosol scattering properties</t>
  </si>
  <si>
    <t>aerosol extinction profiles/vertical concentration</t>
  </si>
  <si>
    <t>aerosol size and size distribution</t>
  </si>
  <si>
    <t>ice sheet volume (LIDAR)</t>
  </si>
  <si>
    <t>Glacier surface elevation (LIDAR)</t>
  </si>
  <si>
    <t>glacier mass balance (GRACE)</t>
  </si>
  <si>
    <t>Ice Sheet topography (LIDAR)</t>
  </si>
  <si>
    <t>Sea ice thickness (LIDAR, RADAR)</t>
  </si>
  <si>
    <t>Sea ice cover (RADAR, MWR/MWI)</t>
  </si>
  <si>
    <t>Ice dynamics (4.1.4 Ice sheet velocity) DESDYNI InSAR</t>
  </si>
  <si>
    <t>Land carbon</t>
  </si>
  <si>
    <t>Ocean carbon</t>
  </si>
  <si>
    <t>Radiation budget</t>
  </si>
  <si>
    <t>GPS occultation</t>
  </si>
  <si>
    <t>Lower circulation = dynamic topography = altimetry - geoid</t>
  </si>
  <si>
    <t>5.1.1 Geoid and gravity field variations</t>
  </si>
  <si>
    <t>Upper or surface circulation = scatterometry</t>
  </si>
  <si>
    <t>Pathfinder Advanced Radar Ice Sounder</t>
  </si>
  <si>
    <t>Laser Vegetation and Ice Sensor</t>
  </si>
  <si>
    <t>Global</t>
  </si>
  <si>
    <t>Highest</t>
  </si>
  <si>
    <t>Medium</t>
  </si>
  <si>
    <t>Lowest</t>
  </si>
  <si>
    <t>LIDAR: 1064, 532, 355 nm to get 30m vertical and 200m horizontal resolution</t>
  </si>
  <si>
    <t>two miniature spectrometers and a high-definition video camera. 310nm to 520nm at 0.8nm spectral resolution. 460nm to 900nm at 1.7nm resolution</t>
  </si>
  <si>
    <t xml:space="preserve"> 2-channel gas chromatograph (GC) Accurate with a low detection limit &lt;1 ppmv.
 Dual-beam ozone photometer (OZ)
 Tunable diode laser (TDL) spectrometer for water vapor (WV) </t>
  </si>
  <si>
    <t xml:space="preserve">Aerosol Spectrometer. The FCAS II sizes particles in the approximate diameter range from 0.07 mm to 1 mm.  Particles are sampled from the free stream with a near isokinetic sampler and are transported to the instrument.  They are then passed through a laser beam and the light scattered by individual particles is measured (Figure 1).  Particle size is related to the scattered light.  The data reduction for the FCAS II takes into account the water which is evaporated from the particle in sampling and the effects of anisokinetic sampling </t>
  </si>
  <si>
    <t>http://www.dropletmeasurement.com/products/airborne/caps.html</t>
  </si>
  <si>
    <t>When flying at an altitude of 35,000 ft (11 km), HIRad provides a measurement swath of 22 km and a spatial resolution of 1-3 km depending upon the operating frequency and cross-track position in the swath. This geometry provides excellent opportunity to image the high wind gradients and spiral rain bands surrounding the hurricane eye while flying the typical “butterfly” transects. This gives HIRad an obvious advantage over a profiling sensor such as SFMR. The equivalent SFMR coverage would be a single strip (one pixel wide) centered along each the aircraft track.</t>
  </si>
  <si>
    <t>http://www.nasa.gov/mission_pages/hurricanes/missions/grip/news/hirad.html</t>
  </si>
  <si>
    <t>http://www.igarss08.org/Abstracts/pdfs/2334.pdf</t>
  </si>
  <si>
    <t>http://esto.nasa.gov/conferences/estc2008/papers/Heymsfield_Gerald_B5P2.pdf</t>
  </si>
  <si>
    <t>http://esto.nasa.gov/conferences/nstc2007/papers/Heymsfield_Gerald_B5P2_NSTC-07-0085.pdf</t>
  </si>
  <si>
    <t>http://www.inemet.com/pdf/sondeo/dropsonde.pdf</t>
  </si>
  <si>
    <t>http://www.eol.ucar.edu/development/avaps-iii/documentation/overall-global-hawk-dropsonde-system-description</t>
  </si>
  <si>
    <t>http://asd-www.larc.nasa.gov/lase/ASDlase.html</t>
  </si>
  <si>
    <t>http://www.nasa.gov/centers/langley/news/factsheets/LASE.html</t>
  </si>
  <si>
    <t>http://www.nasa.gov/centers/langley/news/researchernews/rn_arctichaze.html</t>
  </si>
  <si>
    <t>http://space.hsv.usra.edu/LWG/Jun09/Papers.jun09/Kavaya1.jun09.pdf</t>
  </si>
  <si>
    <t>Ku-band</t>
  </si>
  <si>
    <t>Ka-band</t>
  </si>
  <si>
    <t xml:space="preserve">Frequency: </t>
  </si>
  <si>
    <t xml:space="preserve">13.4 GHz </t>
  </si>
  <si>
    <t>35.6 GHz</t>
  </si>
  <si>
    <t xml:space="preserve">Polarization: </t>
  </si>
  <si>
    <t>HH, HV</t>
  </si>
  <si>
    <t xml:space="preserve">Antenna effective diameter: </t>
  </si>
  <si>
    <t xml:space="preserve">0.4 m </t>
  </si>
  <si>
    <t>0.14 m</t>
  </si>
  <si>
    <t xml:space="preserve">Antenna gain: </t>
  </si>
  <si>
    <t xml:space="preserve">34 dBi </t>
  </si>
  <si>
    <t>33 dBi</t>
  </si>
  <si>
    <t xml:space="preserve">Antenna sidelobe: </t>
  </si>
  <si>
    <t>-30 dB</t>
  </si>
  <si>
    <t xml:space="preserve">Antenna scan angle: </t>
  </si>
  <si>
    <t xml:space="preserve">± 25 o </t>
  </si>
  <si>
    <t>± 25 o</t>
  </si>
  <si>
    <t xml:space="preserve">Polarization isolation: </t>
  </si>
  <si>
    <t>-25 dB</t>
  </si>
  <si>
    <t xml:space="preserve">Peak power: </t>
  </si>
  <si>
    <t>200 W</t>
  </si>
  <si>
    <t xml:space="preserve">Bandwidth: </t>
  </si>
  <si>
    <t>4 MHz</t>
  </si>
  <si>
    <t xml:space="preserve">Pulse width: </t>
  </si>
  <si>
    <t>10 - 40 microsecs</t>
  </si>
  <si>
    <t xml:space="preserve">Pulse Repetition Frequency: </t>
  </si>
  <si>
    <t xml:space="preserve">Vertical resolution: </t>
  </si>
  <si>
    <t>37 m</t>
  </si>
  <si>
    <t>Horizontal resolution</t>
  </si>
  <si>
    <t xml:space="preserve">    at 9 km (30,000 ft) altitude:</t>
  </si>
  <si>
    <t xml:space="preserve">600 m </t>
  </si>
  <si>
    <t>600 m</t>
  </si>
  <si>
    <t xml:space="preserve">    at 6 km (30,000 ft) altitude:</t>
  </si>
  <si>
    <t xml:space="preserve">400 m </t>
  </si>
  <si>
    <t>400 m</t>
  </si>
  <si>
    <t>Ground swath</t>
  </si>
  <si>
    <t xml:space="preserve">8.5 km </t>
  </si>
  <si>
    <t>8.5 km</t>
  </si>
  <si>
    <t xml:space="preserve">5.6 km </t>
  </si>
  <si>
    <t>5.6 km</t>
  </si>
  <si>
    <t>Sensitivity</t>
  </si>
  <si>
    <t xml:space="preserve">    at 7 km range: </t>
  </si>
  <si>
    <t xml:space="preserve">5 dBZ </t>
  </si>
  <si>
    <t>5 dBZ</t>
  </si>
  <si>
    <t xml:space="preserve">Doppler precision: </t>
  </si>
  <si>
    <t xml:space="preserve">0.3 m/s </t>
  </si>
  <si>
    <t>1 m/s</t>
  </si>
  <si>
    <t xml:space="preserve">APR_2 Parameters </t>
  </si>
  <si>
    <t>In situ</t>
  </si>
  <si>
    <t>Brandon's Notes</t>
  </si>
  <si>
    <t>Spatial Resolution</t>
  </si>
  <si>
    <t>Term</t>
  </si>
  <si>
    <t>Definition</t>
  </si>
  <si>
    <t>Hemisphere</t>
  </si>
  <si>
    <t>Regional</t>
  </si>
  <si>
    <t>~100m</t>
  </si>
  <si>
    <t>~1km</t>
  </si>
  <si>
    <t>~10km</t>
  </si>
  <si>
    <t>Monthly</t>
  </si>
  <si>
    <t>1.8.12 Volcanic SO2, OCS and other volcanic aerosols</t>
  </si>
  <si>
    <t>Doppler Aerosol WiNd Lidar</t>
  </si>
  <si>
    <t>Tropospheric AMDAR</t>
  </si>
  <si>
    <t>Regional because of GH's ability ot fly over 24 hours and measurements have regional applicabillity. Med HSR because resoltuion on mini spectrometers is not as good, but saves weight and power. GH can do daily missions</t>
  </si>
  <si>
    <t xml:space="preserve">Regional because of GH's ability ot fly over 24 hours and measurements have regional applicabillity. Med HSR b/c documents talk about 200m for cloud resoltuion. </t>
  </si>
  <si>
    <t>Local because its an in-situ measurement so although GH can get regional coverage, measurments do not. In-Situ measurement gets highest HSR. TR based on GH and mission</t>
  </si>
  <si>
    <t>Local because its an in-situ measurement so although GH can get regional coverage, measurments do not.  SR based on instrument being highest accuracy for sceince missions. TR based on GH and mission</t>
  </si>
  <si>
    <t>Regional because of GH's ability ot fly over 24 hours and measurements have regional applicabillity. SR based on 2km spacing along track and TR based on GH</t>
  </si>
  <si>
    <t>Local because its an in-situ measurement so although GH can get regional coverage, measurments do not. Insitu and GH</t>
  </si>
  <si>
    <t>Regional because of GH's ability ot fly over 24 hours and measurements have regional applicabillity. High SR in the title of the instrument on GH gets good TR</t>
  </si>
  <si>
    <t>Local because its an in-situ measurement so although GH can get regional coverage, measurments do not.  Great h2o measurement</t>
  </si>
  <si>
    <t>HD camera is still not that good, good for picking out clouds but not real details</t>
  </si>
  <si>
    <t>Instruments flying on GRIP get local coverage bc event they are covering is local to the ocean but high TR based on daily revisit if they want</t>
  </si>
  <si>
    <t>Based on instrument definition and mission</t>
  </si>
  <si>
    <t>Dropsondes get great resolution in the environment right around them</t>
  </si>
  <si>
    <t>All</t>
  </si>
  <si>
    <t>Most</t>
  </si>
  <si>
    <t>Some</t>
  </si>
  <si>
    <t>Insitu measurments only capture some of the area of interest because not getting a great sample</t>
  </si>
  <si>
    <t>ARGOSS gets all of the area of interestl because it has the ability to cover an entire region  in autonomous mode without having a huge infrastructure behind it.</t>
  </si>
  <si>
    <t>OIB only gets most of the area of interest because over the life of a campaign, there are only certain places that they can get, which is great bc they can pick their spots, but bad because they can't really learn much new about the area of interest</t>
  </si>
  <si>
    <t>FCAS-NMASS</t>
  </si>
  <si>
    <t>Snow-Radar</t>
  </si>
  <si>
    <t>Ku--Band-Radar</t>
  </si>
  <si>
    <t>LEO-Satellite-that-can-cover-the-majority-of-the-globe.</t>
  </si>
  <si>
    <t>Covers-50%-or-more-of-the-Globe-through-GEO-Satellite-or-large-scale-aircraft-campaign</t>
  </si>
  <si>
    <t>Covers-large-landmass-(US)-or-most-of-the-oceans</t>
  </si>
  <si>
    <t>Geographically-contained-over-one-area</t>
  </si>
  <si>
    <t>Doesn't-cover-the-measurement</t>
  </si>
  <si>
    <t>~1m-or-state-of-the-art</t>
  </si>
  <si>
    <t>~10m-or-very-good-satellite-measurement,-ok-aircraft-measurement</t>
  </si>
  <si>
    <t>Hourly-Passes-or-GEO</t>
  </si>
  <si>
    <t>Daily-Passes</t>
  </si>
  <si>
    <t>Weekly-Passes,-most-LEO-applications</t>
  </si>
  <si>
    <t>Yearly-or-very-intermittently</t>
  </si>
  <si>
    <t>Accuracy</t>
  </si>
</sst>
</file>

<file path=xl/styles.xml><?xml version="1.0" encoding="utf-8"?>
<styleSheet xmlns="http://schemas.openxmlformats.org/spreadsheetml/2006/main">
  <numFmts count="7">
    <numFmt numFmtId="6" formatCode="&quot;$&quot;#,##0_);[Red]\(&quot;$&quot;#,##0\)"/>
    <numFmt numFmtId="44" formatCode="_(&quot;$&quot;* #,##0.00_);_(&quot;$&quot;* \(#,##0.00\);_(&quot;$&quot;* &quot;-&quot;??_);_(@_)"/>
    <numFmt numFmtId="43" formatCode="_(* #,##0.00_);_(* \(#,##0.00\);_(* &quot;-&quot;??_);_(@_)"/>
    <numFmt numFmtId="164" formatCode="&quot;$&quot;#,##0"/>
    <numFmt numFmtId="165" formatCode="0.000000000000E+00"/>
    <numFmt numFmtId="166" formatCode="_(&quot;$&quot;* #,##0_);_(&quot;$&quot;* \(#,##0\);_(&quot;$&quot;* &quot;-&quot;??_);_(@_)"/>
    <numFmt numFmtId="167" formatCode="_(* #,##0_);_(* \(#,##0\);_(* &quot;-&quot;??_);_(@_)"/>
  </numFmts>
  <fonts count="8">
    <font>
      <sz val="11"/>
      <color theme="1"/>
      <name val="Calibri"/>
      <family val="2"/>
      <scheme val="minor"/>
    </font>
    <font>
      <b/>
      <sz val="11"/>
      <color theme="1"/>
      <name val="Calibri"/>
      <family val="2"/>
      <scheme val="minor"/>
    </font>
    <font>
      <u/>
      <sz val="11"/>
      <color theme="10"/>
      <name val="Calibri"/>
      <family val="2"/>
    </font>
    <font>
      <sz val="11"/>
      <color theme="1"/>
      <name val="Calibri"/>
      <family val="2"/>
    </font>
    <font>
      <sz val="11"/>
      <color theme="1"/>
      <name val="Calibri"/>
      <family val="2"/>
      <scheme val="minor"/>
    </font>
    <font>
      <i/>
      <sz val="11"/>
      <color theme="1"/>
      <name val="Calibri"/>
      <family val="2"/>
      <scheme val="minor"/>
    </font>
    <font>
      <sz val="11"/>
      <color indexed="8"/>
      <name val="Calibri"/>
      <family val="2"/>
    </font>
    <font>
      <sz val="12"/>
      <color indexed="8"/>
      <name val="Calibri"/>
      <family val="2"/>
    </font>
  </fonts>
  <fills count="17">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6"/>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3"/>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8"/>
        <bgColor indexed="64"/>
      </patternFill>
    </fill>
    <fill>
      <patternFill patternType="solid">
        <fgColor theme="2" tint="-0.499984740745262"/>
        <bgColor indexed="64"/>
      </patternFill>
    </fill>
    <fill>
      <patternFill patternType="solid">
        <fgColor theme="1" tint="0.499984740745262"/>
        <bgColor indexed="64"/>
      </patternFill>
    </fill>
    <fill>
      <patternFill patternType="solid">
        <fgColor theme="1"/>
        <bgColor indexed="64"/>
      </patternFill>
    </fill>
    <fill>
      <patternFill patternType="solid">
        <fgColor theme="9" tint="0.59999389629810485"/>
        <bgColor indexed="64"/>
      </patternFill>
    </fill>
  </fills>
  <borders count="24">
    <border>
      <left/>
      <right/>
      <top/>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44"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6" fillId="0" borderId="0"/>
  </cellStyleXfs>
  <cellXfs count="282">
    <xf numFmtId="0" fontId="0" fillId="0" borderId="0" xfId="0"/>
    <xf numFmtId="164" fontId="0" fillId="0" borderId="0" xfId="0" applyNumberFormat="1"/>
    <xf numFmtId="0" fontId="0" fillId="0" borderId="0" xfId="0" applyFill="1"/>
    <xf numFmtId="6" fontId="0" fillId="0" borderId="1" xfId="0" applyNumberFormat="1" applyBorder="1"/>
    <xf numFmtId="6" fontId="0" fillId="0" borderId="0" xfId="0" applyNumberFormat="1" applyBorder="1"/>
    <xf numFmtId="0" fontId="0" fillId="0" borderId="0" xfId="0" applyBorder="1"/>
    <xf numFmtId="0" fontId="0" fillId="0" borderId="2" xfId="0" applyBorder="1"/>
    <xf numFmtId="6" fontId="0" fillId="3" borderId="0" xfId="0" applyNumberFormat="1" applyFill="1" applyBorder="1"/>
    <xf numFmtId="0" fontId="0" fillId="3" borderId="0" xfId="0" applyFill="1" applyBorder="1"/>
    <xf numFmtId="0" fontId="0" fillId="3" borderId="2" xfId="0" applyFill="1" applyBorder="1"/>
    <xf numFmtId="10" fontId="0" fillId="0" borderId="0" xfId="0" applyNumberFormat="1" applyBorder="1"/>
    <xf numFmtId="6" fontId="0" fillId="4" borderId="0" xfId="0" applyNumberFormat="1" applyFill="1" applyBorder="1"/>
    <xf numFmtId="6" fontId="0" fillId="5" borderId="0" xfId="0" applyNumberFormat="1" applyFill="1" applyBorder="1"/>
    <xf numFmtId="0" fontId="0" fillId="0" borderId="1" xfId="0" applyBorder="1"/>
    <xf numFmtId="0" fontId="0" fillId="0" borderId="6" xfId="0" applyBorder="1"/>
    <xf numFmtId="0" fontId="0" fillId="0" borderId="7" xfId="0" applyBorder="1"/>
    <xf numFmtId="0" fontId="0" fillId="4" borderId="7" xfId="0" applyFill="1" applyBorder="1"/>
    <xf numFmtId="0" fontId="0" fillId="0" borderId="8" xfId="0" applyBorder="1"/>
    <xf numFmtId="0" fontId="0" fillId="5" borderId="0" xfId="0" applyFill="1" applyBorder="1"/>
    <xf numFmtId="6" fontId="0" fillId="3" borderId="1" xfId="0" applyNumberFormat="1" applyFill="1" applyBorder="1"/>
    <xf numFmtId="6" fontId="0" fillId="0" borderId="0" xfId="0" applyNumberFormat="1"/>
    <xf numFmtId="0" fontId="0" fillId="0" borderId="0" xfId="0" applyAlignment="1"/>
    <xf numFmtId="165" fontId="0" fillId="0" borderId="0" xfId="0" applyNumberFormat="1"/>
    <xf numFmtId="11" fontId="0" fillId="0" borderId="0" xfId="0" applyNumberFormat="1"/>
    <xf numFmtId="47" fontId="0" fillId="0" borderId="0" xfId="0" applyNumberFormat="1"/>
    <xf numFmtId="0" fontId="2" fillId="0" borderId="0" xfId="1" applyAlignment="1" applyProtection="1">
      <alignment wrapText="1"/>
    </xf>
    <xf numFmtId="0" fontId="0" fillId="0" borderId="0" xfId="0" applyAlignment="1">
      <alignment wrapText="1"/>
    </xf>
    <xf numFmtId="0" fontId="2" fillId="0" borderId="0" xfId="1" applyAlignment="1" applyProtection="1"/>
    <xf numFmtId="0" fontId="0" fillId="6" borderId="0" xfId="0" applyFill="1"/>
    <xf numFmtId="0" fontId="0" fillId="5" borderId="0" xfId="0" applyFill="1"/>
    <xf numFmtId="0" fontId="0" fillId="4" borderId="0" xfId="0" applyFill="1"/>
    <xf numFmtId="0" fontId="0" fillId="0" borderId="0" xfId="0" applyAlignment="1">
      <alignment horizontal="center"/>
    </xf>
    <xf numFmtId="3" fontId="0" fillId="0" borderId="0" xfId="0" applyNumberFormat="1" applyAlignment="1">
      <alignment horizontal="center"/>
    </xf>
    <xf numFmtId="0" fontId="0" fillId="0" borderId="0" xfId="0" applyBorder="1" applyAlignment="1">
      <alignment horizontal="center"/>
    </xf>
    <xf numFmtId="0" fontId="0" fillId="0" borderId="0" xfId="0" applyAlignment="1">
      <alignment horizontal="center"/>
    </xf>
    <xf numFmtId="0" fontId="0" fillId="0" borderId="0" xfId="0" applyAlignment="1">
      <alignment horizontal="left"/>
    </xf>
    <xf numFmtId="16" fontId="0" fillId="0" borderId="1" xfId="0" applyNumberFormat="1" applyBorder="1"/>
    <xf numFmtId="0" fontId="0" fillId="0" borderId="0" xfId="0" applyFill="1" applyAlignment="1">
      <alignment horizontal="center"/>
    </xf>
    <xf numFmtId="2" fontId="0" fillId="0" borderId="0" xfId="0" applyNumberFormat="1" applyFill="1"/>
    <xf numFmtId="166" fontId="0" fillId="0" borderId="0" xfId="0" applyNumberFormat="1"/>
    <xf numFmtId="0" fontId="0" fillId="0" borderId="9" xfId="0" applyBorder="1"/>
    <xf numFmtId="0" fontId="0" fillId="0" borderId="10" xfId="0" applyBorder="1"/>
    <xf numFmtId="0" fontId="0" fillId="0" borderId="11" xfId="0" applyBorder="1"/>
    <xf numFmtId="166" fontId="0" fillId="0" borderId="13" xfId="2" applyNumberFormat="1" applyFont="1" applyBorder="1"/>
    <xf numFmtId="166" fontId="0" fillId="0" borderId="16" xfId="2" applyNumberFormat="1" applyFont="1" applyBorder="1"/>
    <xf numFmtId="0" fontId="0" fillId="0" borderId="12" xfId="0" applyBorder="1"/>
    <xf numFmtId="166" fontId="0" fillId="0" borderId="0" xfId="0" applyNumberFormat="1" applyBorder="1"/>
    <xf numFmtId="0" fontId="0" fillId="0" borderId="13" xfId="0" applyBorder="1"/>
    <xf numFmtId="166" fontId="0" fillId="0" borderId="0" xfId="2" applyNumberFormat="1" applyFont="1" applyBorder="1"/>
    <xf numFmtId="0" fontId="0" fillId="0" borderId="14" xfId="0" applyBorder="1"/>
    <xf numFmtId="166" fontId="0" fillId="0" borderId="15" xfId="0" applyNumberFormat="1" applyBorder="1"/>
    <xf numFmtId="0" fontId="0" fillId="0" borderId="15" xfId="0" applyBorder="1"/>
    <xf numFmtId="0" fontId="0" fillId="0" borderId="16" xfId="0" applyBorder="1"/>
    <xf numFmtId="166" fontId="0" fillId="0" borderId="0" xfId="0" applyNumberFormat="1" applyFill="1"/>
    <xf numFmtId="0" fontId="0" fillId="0" borderId="11" xfId="0" applyFill="1" applyBorder="1" applyAlignment="1">
      <alignment horizontal="center"/>
    </xf>
    <xf numFmtId="0" fontId="0" fillId="2" borderId="0" xfId="0" applyFill="1" applyBorder="1"/>
    <xf numFmtId="2" fontId="0" fillId="0" borderId="0" xfId="0" applyNumberFormat="1" applyBorder="1"/>
    <xf numFmtId="2" fontId="0" fillId="2" borderId="0" xfId="0" applyNumberFormat="1" applyFill="1" applyBorder="1"/>
    <xf numFmtId="166" fontId="0" fillId="0" borderId="13" xfId="2" applyNumberFormat="1" applyFont="1" applyFill="1" applyBorder="1"/>
    <xf numFmtId="166" fontId="0" fillId="2" borderId="0" xfId="2" applyNumberFormat="1" applyFont="1" applyFill="1" applyBorder="1"/>
    <xf numFmtId="166" fontId="0" fillId="2" borderId="13" xfId="2" applyNumberFormat="1" applyFont="1" applyFill="1" applyBorder="1"/>
    <xf numFmtId="0" fontId="0" fillId="0" borderId="0" xfId="0" applyFill="1" applyBorder="1"/>
    <xf numFmtId="166" fontId="0" fillId="0" borderId="0" xfId="2" applyNumberFormat="1" applyFont="1" applyFill="1" applyBorder="1"/>
    <xf numFmtId="2" fontId="0" fillId="0" borderId="15" xfId="0" applyNumberFormat="1" applyBorder="1"/>
    <xf numFmtId="166" fontId="0" fillId="0" borderId="15" xfId="2" applyNumberFormat="1" applyFont="1" applyBorder="1"/>
    <xf numFmtId="2" fontId="0" fillId="2" borderId="15" xfId="0" applyNumberFormat="1" applyFill="1" applyBorder="1"/>
    <xf numFmtId="166" fontId="0" fillId="0" borderId="16" xfId="2" applyNumberFormat="1" applyFont="1" applyFill="1" applyBorder="1"/>
    <xf numFmtId="164" fontId="0" fillId="0" borderId="10" xfId="0" applyNumberFormat="1" applyBorder="1"/>
    <xf numFmtId="164" fontId="0" fillId="0" borderId="11" xfId="0" applyNumberFormat="1" applyBorder="1"/>
    <xf numFmtId="164" fontId="0" fillId="0" borderId="0" xfId="0" applyNumberFormat="1" applyBorder="1"/>
    <xf numFmtId="164" fontId="0" fillId="0" borderId="13" xfId="0" applyNumberFormat="1" applyBorder="1"/>
    <xf numFmtId="3" fontId="0" fillId="2" borderId="0" xfId="0" applyNumberFormat="1" applyFill="1" applyBorder="1"/>
    <xf numFmtId="164" fontId="0" fillId="2" borderId="0" xfId="0" applyNumberFormat="1" applyFill="1" applyBorder="1"/>
    <xf numFmtId="164" fontId="0" fillId="2" borderId="13" xfId="0" applyNumberFormat="1" applyFill="1" applyBorder="1"/>
    <xf numFmtId="3" fontId="0" fillId="0" borderId="0" xfId="0" applyNumberFormat="1" applyBorder="1"/>
    <xf numFmtId="0" fontId="0" fillId="0" borderId="0" xfId="0" applyBorder="1" applyAlignment="1">
      <alignment wrapText="1"/>
    </xf>
    <xf numFmtId="2" fontId="0" fillId="0" borderId="12" xfId="0" applyNumberFormat="1" applyBorder="1"/>
    <xf numFmtId="0" fontId="1" fillId="0" borderId="0" xfId="0" applyFont="1" applyFill="1" applyBorder="1"/>
    <xf numFmtId="164" fontId="1" fillId="0" borderId="0" xfId="0" applyNumberFormat="1" applyFont="1" applyFill="1" applyBorder="1"/>
    <xf numFmtId="164" fontId="1" fillId="0" borderId="13" xfId="0" applyNumberFormat="1" applyFont="1" applyFill="1" applyBorder="1"/>
    <xf numFmtId="3" fontId="0" fillId="0" borderId="13" xfId="0" applyNumberFormat="1" applyBorder="1"/>
    <xf numFmtId="3" fontId="0" fillId="2" borderId="13" xfId="0" applyNumberFormat="1" applyFill="1" applyBorder="1"/>
    <xf numFmtId="164" fontId="0" fillId="0" borderId="15" xfId="0" applyNumberFormat="1" applyBorder="1"/>
    <xf numFmtId="164" fontId="0" fillId="0" borderId="16" xfId="0" applyNumberFormat="1" applyBorder="1"/>
    <xf numFmtId="6" fontId="0" fillId="0" borderId="0" xfId="0" applyNumberFormat="1" applyAlignment="1">
      <alignment horizontal="center"/>
    </xf>
    <xf numFmtId="166" fontId="0" fillId="0" borderId="0" xfId="0" applyNumberFormat="1" applyAlignment="1">
      <alignment horizontal="center"/>
    </xf>
    <xf numFmtId="0" fontId="0" fillId="2" borderId="12" xfId="0" applyFill="1" applyBorder="1"/>
    <xf numFmtId="0" fontId="0" fillId="2" borderId="0" xfId="0" applyFill="1" applyBorder="1" applyAlignment="1">
      <alignment horizontal="center"/>
    </xf>
    <xf numFmtId="166" fontId="0" fillId="0" borderId="0" xfId="2" applyNumberFormat="1" applyFont="1" applyBorder="1" applyAlignment="1">
      <alignment horizontal="center"/>
    </xf>
    <xf numFmtId="166" fontId="0" fillId="2" borderId="13" xfId="2" applyNumberFormat="1" applyFont="1" applyFill="1" applyBorder="1" applyAlignment="1">
      <alignment horizontal="center"/>
    </xf>
    <xf numFmtId="0" fontId="0" fillId="0" borderId="0" xfId="0" applyBorder="1" applyAlignment="1">
      <alignment horizontal="center" wrapText="1"/>
    </xf>
    <xf numFmtId="10" fontId="0" fillId="0" borderId="0" xfId="0" applyNumberFormat="1" applyBorder="1" applyAlignment="1">
      <alignment horizontal="center"/>
    </xf>
    <xf numFmtId="166" fontId="0" fillId="0" borderId="0" xfId="0" applyNumberFormat="1" applyBorder="1" applyAlignment="1">
      <alignment horizontal="center"/>
    </xf>
    <xf numFmtId="166" fontId="0" fillId="2" borderId="0" xfId="0" applyNumberFormat="1" applyFill="1" applyBorder="1" applyAlignment="1">
      <alignment horizontal="center"/>
    </xf>
    <xf numFmtId="44" fontId="0" fillId="0" borderId="0" xfId="2" applyFont="1" applyBorder="1" applyAlignment="1">
      <alignment horizontal="center"/>
    </xf>
    <xf numFmtId="44" fontId="0" fillId="2" borderId="0" xfId="2" applyFont="1" applyFill="1" applyBorder="1" applyAlignment="1">
      <alignment horizontal="center"/>
    </xf>
    <xf numFmtId="0" fontId="0" fillId="0" borderId="15" xfId="0" applyBorder="1" applyAlignment="1">
      <alignment horizontal="center"/>
    </xf>
    <xf numFmtId="166" fontId="0" fillId="2" borderId="15" xfId="0" applyNumberFormat="1" applyFill="1" applyBorder="1" applyAlignment="1">
      <alignment horizontal="center"/>
    </xf>
    <xf numFmtId="166" fontId="0" fillId="2" borderId="16" xfId="2" applyNumberFormat="1" applyFont="1" applyFill="1" applyBorder="1" applyAlignment="1">
      <alignment horizontal="center"/>
    </xf>
    <xf numFmtId="0" fontId="0" fillId="7" borderId="0" xfId="0" applyFill="1"/>
    <xf numFmtId="0" fontId="0" fillId="7" borderId="0" xfId="0" applyFill="1" applyAlignment="1"/>
    <xf numFmtId="0" fontId="0" fillId="7" borderId="0" xfId="0" applyFill="1" applyAlignment="1">
      <alignment horizontal="center"/>
    </xf>
    <xf numFmtId="0" fontId="0" fillId="7" borderId="0" xfId="0" applyFill="1" applyBorder="1" applyAlignment="1">
      <alignment horizontal="center"/>
    </xf>
    <xf numFmtId="0" fontId="0" fillId="7" borderId="0" xfId="0" applyFill="1" applyBorder="1"/>
    <xf numFmtId="2" fontId="0" fillId="7" borderId="0" xfId="0" applyNumberFormat="1" applyFill="1" applyBorder="1"/>
    <xf numFmtId="166" fontId="0" fillId="7" borderId="0" xfId="2" applyNumberFormat="1" applyFont="1" applyFill="1" applyBorder="1"/>
    <xf numFmtId="0" fontId="0" fillId="9" borderId="0" xfId="0" applyFill="1" applyBorder="1" applyAlignment="1">
      <alignment horizontal="center"/>
    </xf>
    <xf numFmtId="0" fontId="0" fillId="4" borderId="0" xfId="0" applyFill="1" applyBorder="1" applyAlignment="1">
      <alignment horizontal="center"/>
    </xf>
    <xf numFmtId="0" fontId="0" fillId="10" borderId="0" xfId="0" applyFill="1" applyBorder="1" applyAlignment="1">
      <alignment horizontal="center"/>
    </xf>
    <xf numFmtId="0" fontId="0" fillId="12" borderId="0" xfId="0" applyFill="1" applyBorder="1" applyAlignment="1">
      <alignment horizontal="center" wrapText="1"/>
    </xf>
    <xf numFmtId="0" fontId="0" fillId="11" borderId="0" xfId="0" applyFill="1" applyBorder="1" applyAlignment="1">
      <alignment horizontal="center"/>
    </xf>
    <xf numFmtId="0" fontId="0" fillId="8" borderId="0" xfId="0" applyFill="1" applyBorder="1" applyAlignment="1">
      <alignment horizontal="center" wrapText="1"/>
    </xf>
    <xf numFmtId="0" fontId="0" fillId="13" borderId="0" xfId="0" applyFill="1" applyBorder="1" applyAlignment="1">
      <alignment horizontal="center"/>
    </xf>
    <xf numFmtId="0" fontId="0" fillId="14" borderId="0" xfId="0" applyFill="1" applyBorder="1" applyAlignment="1">
      <alignment horizontal="center"/>
    </xf>
    <xf numFmtId="0" fontId="0" fillId="5" borderId="0" xfId="0" applyFill="1" applyBorder="1" applyAlignment="1">
      <alignment horizontal="center"/>
    </xf>
    <xf numFmtId="0" fontId="0" fillId="4" borderId="0" xfId="0" applyFill="1" applyBorder="1"/>
    <xf numFmtId="0" fontId="0" fillId="10" borderId="0" xfId="0" applyFill="1" applyBorder="1"/>
    <xf numFmtId="0" fontId="0" fillId="0" borderId="0" xfId="0" applyBorder="1" applyAlignment="1">
      <alignment horizontal="center" wrapText="1"/>
    </xf>
    <xf numFmtId="0" fontId="0" fillId="0" borderId="9" xfId="0" applyBorder="1" applyAlignment="1">
      <alignment horizontal="center"/>
    </xf>
    <xf numFmtId="0" fontId="0" fillId="0" borderId="10" xfId="0" applyBorder="1" applyAlignment="1">
      <alignment horizontal="center"/>
    </xf>
    <xf numFmtId="0" fontId="0" fillId="0" borderId="0" xfId="0" applyAlignment="1">
      <alignment horizontal="left"/>
    </xf>
    <xf numFmtId="0" fontId="0" fillId="0" borderId="0" xfId="0"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0" xfId="0" applyAlignment="1">
      <alignment textRotation="90"/>
    </xf>
    <xf numFmtId="9" fontId="0" fillId="0" borderId="0" xfId="4" applyFont="1"/>
    <xf numFmtId="43" fontId="0" fillId="0" borderId="0" xfId="3" applyFont="1"/>
    <xf numFmtId="43" fontId="0" fillId="0" borderId="0" xfId="0" applyNumberFormat="1"/>
    <xf numFmtId="2" fontId="0" fillId="0" borderId="0" xfId="2" applyNumberFormat="1" applyFont="1"/>
    <xf numFmtId="167" fontId="0" fillId="0" borderId="0" xfId="3" applyNumberFormat="1" applyFont="1"/>
    <xf numFmtId="10" fontId="0" fillId="0" borderId="0" xfId="4" applyNumberFormat="1" applyFont="1"/>
    <xf numFmtId="167" fontId="0" fillId="0" borderId="0" xfId="0" applyNumberFormat="1"/>
    <xf numFmtId="0" fontId="0" fillId="0" borderId="0" xfId="0" applyAlignment="1">
      <alignment horizontal="left" wrapText="1"/>
    </xf>
    <xf numFmtId="0" fontId="0" fillId="0" borderId="12" xfId="0" applyBorder="1" applyAlignment="1">
      <alignment horizontal="center"/>
    </xf>
    <xf numFmtId="3" fontId="0" fillId="0" borderId="0" xfId="0" applyNumberFormat="1" applyBorder="1" applyAlignment="1">
      <alignment horizontal="center"/>
    </xf>
    <xf numFmtId="16" fontId="0" fillId="0" borderId="0" xfId="0" applyNumberFormat="1" applyBorder="1" applyAlignment="1">
      <alignment horizontal="center"/>
    </xf>
    <xf numFmtId="0" fontId="0" fillId="0" borderId="13" xfId="0" applyBorder="1" applyAlignment="1">
      <alignment horizontal="center"/>
    </xf>
    <xf numFmtId="2" fontId="0" fillId="0" borderId="0" xfId="0" applyNumberFormat="1" applyBorder="1" applyAlignment="1">
      <alignment horizontal="center"/>
    </xf>
    <xf numFmtId="0" fontId="0" fillId="0" borderId="14" xfId="0" applyBorder="1" applyAlignment="1">
      <alignment horizontal="center"/>
    </xf>
    <xf numFmtId="0" fontId="0" fillId="0" borderId="15" xfId="0" applyBorder="1" applyAlignment="1">
      <alignment wrapText="1"/>
    </xf>
    <xf numFmtId="3" fontId="0" fillId="0" borderId="0" xfId="0" applyNumberFormat="1"/>
    <xf numFmtId="0" fontId="0" fillId="0" borderId="5" xfId="0" applyBorder="1"/>
    <xf numFmtId="0" fontId="0" fillId="0" borderId="4" xfId="0" applyBorder="1"/>
    <xf numFmtId="0" fontId="0" fillId="0" borderId="3" xfId="0" applyBorder="1"/>
    <xf numFmtId="0" fontId="1" fillId="0" borderId="2" xfId="0" applyFont="1" applyBorder="1"/>
    <xf numFmtId="0" fontId="1" fillId="0" borderId="0" xfId="0" applyFont="1" applyBorder="1"/>
    <xf numFmtId="1" fontId="0" fillId="0" borderId="0" xfId="2" applyNumberFormat="1" applyFont="1" applyBorder="1"/>
    <xf numFmtId="1" fontId="1" fillId="0" borderId="0" xfId="2" applyNumberFormat="1" applyFont="1" applyBorder="1"/>
    <xf numFmtId="1" fontId="0" fillId="0" borderId="0" xfId="0" applyNumberFormat="1" applyBorder="1"/>
    <xf numFmtId="1" fontId="1" fillId="0" borderId="0" xfId="0" applyNumberFormat="1" applyFont="1" applyBorder="1"/>
    <xf numFmtId="6" fontId="1" fillId="0" borderId="0" xfId="0" applyNumberFormat="1" applyFont="1" applyBorder="1"/>
    <xf numFmtId="0" fontId="1" fillId="0" borderId="5" xfId="0" applyFont="1" applyBorder="1" applyAlignment="1">
      <alignment horizontal="center"/>
    </xf>
    <xf numFmtId="0" fontId="1" fillId="0" borderId="4" xfId="0" applyFont="1" applyBorder="1"/>
    <xf numFmtId="0" fontId="1" fillId="0" borderId="3" xfId="0" applyFont="1" applyBorder="1"/>
    <xf numFmtId="0" fontId="1" fillId="0" borderId="2" xfId="0" applyFont="1" applyBorder="1" applyAlignment="1">
      <alignment horizontal="center"/>
    </xf>
    <xf numFmtId="0" fontId="0" fillId="0" borderId="8" xfId="0" applyBorder="1" applyAlignment="1">
      <alignment horizontal="center"/>
    </xf>
    <xf numFmtId="0" fontId="0" fillId="0" borderId="0" xfId="0" applyBorder="1" applyAlignment="1">
      <alignment horizontal="left"/>
    </xf>
    <xf numFmtId="0" fontId="0" fillId="0" borderId="0" xfId="0" applyAlignment="1">
      <alignment horizontal="left"/>
    </xf>
    <xf numFmtId="0" fontId="0" fillId="0" borderId="15" xfId="0" applyBorder="1" applyAlignment="1">
      <alignment horizontal="left"/>
    </xf>
    <xf numFmtId="16" fontId="0" fillId="0" borderId="0" xfId="0" applyNumberFormat="1"/>
    <xf numFmtId="17" fontId="0" fillId="0" borderId="0" xfId="0" applyNumberFormat="1"/>
    <xf numFmtId="46" fontId="0" fillId="0" borderId="0" xfId="0" applyNumberFormat="1"/>
    <xf numFmtId="0" fontId="1" fillId="0" borderId="0" xfId="0" applyFont="1"/>
    <xf numFmtId="16" fontId="0" fillId="0" borderId="0" xfId="0" applyNumberFormat="1" applyFill="1"/>
    <xf numFmtId="0" fontId="0" fillId="0" borderId="0" xfId="0" applyFill="1" applyAlignment="1">
      <alignment wrapText="1"/>
    </xf>
    <xf numFmtId="0" fontId="1" fillId="0" borderId="0" xfId="0" applyFont="1" applyFill="1" applyBorder="1" applyAlignment="1">
      <alignment vertical="top" wrapText="1"/>
    </xf>
    <xf numFmtId="0" fontId="1" fillId="0" borderId="0" xfId="0" applyFont="1" applyFill="1" applyBorder="1" applyAlignment="1">
      <alignment horizontal="center" vertical="top" wrapText="1"/>
    </xf>
    <xf numFmtId="0" fontId="2" fillId="0" borderId="0" xfId="1" applyFill="1" applyBorder="1" applyAlignment="1" applyProtection="1">
      <alignment vertical="top" wrapText="1"/>
    </xf>
    <xf numFmtId="0" fontId="0" fillId="0" borderId="0" xfId="0" applyFill="1" applyBorder="1" applyAlignment="1">
      <alignment vertical="top" wrapText="1"/>
    </xf>
    <xf numFmtId="0" fontId="0" fillId="0" borderId="10" xfId="0" applyBorder="1" applyAlignment="1">
      <alignment wrapText="1"/>
    </xf>
    <xf numFmtId="0" fontId="0" fillId="0" borderId="11" xfId="0" applyBorder="1" applyAlignment="1">
      <alignment wrapText="1"/>
    </xf>
    <xf numFmtId="0" fontId="0" fillId="0" borderId="16" xfId="0" applyBorder="1" applyAlignment="1">
      <alignment wrapText="1"/>
    </xf>
    <xf numFmtId="0" fontId="0" fillId="0" borderId="0" xfId="0" applyAlignment="1">
      <alignment vertical="center"/>
    </xf>
    <xf numFmtId="0" fontId="2" fillId="0" borderId="14" xfId="1" applyBorder="1" applyAlignment="1" applyProtection="1">
      <alignment vertical="center"/>
    </xf>
    <xf numFmtId="0" fontId="1" fillId="0" borderId="9" xfId="0" applyFont="1" applyBorder="1" applyAlignment="1">
      <alignment vertical="center"/>
    </xf>
    <xf numFmtId="0" fontId="1" fillId="0" borderId="0" xfId="0" applyFont="1" applyAlignment="1">
      <alignment vertical="center"/>
    </xf>
    <xf numFmtId="0" fontId="2" fillId="0" borderId="0" xfId="1" applyAlignment="1" applyProtection="1">
      <alignment vertical="center"/>
    </xf>
    <xf numFmtId="0" fontId="1" fillId="0" borderId="12" xfId="0" applyFont="1" applyBorder="1"/>
    <xf numFmtId="0" fontId="1" fillId="0" borderId="13" xfId="0" applyFont="1" applyBorder="1"/>
    <xf numFmtId="0" fontId="2" fillId="0" borderId="16" xfId="1" applyBorder="1" applyAlignment="1" applyProtection="1">
      <alignment wrapText="1"/>
    </xf>
    <xf numFmtId="0" fontId="0" fillId="0" borderId="14" xfId="0" applyBorder="1" applyAlignment="1">
      <alignment vertical="center"/>
    </xf>
    <xf numFmtId="0" fontId="7" fillId="0" borderId="0" xfId="5" applyFont="1" applyBorder="1" applyAlignment="1">
      <alignment wrapText="1"/>
    </xf>
    <xf numFmtId="0" fontId="0" fillId="0" borderId="0" xfId="0" applyFont="1"/>
    <xf numFmtId="0" fontId="0" fillId="0" borderId="9" xfId="0" applyFont="1" applyBorder="1" applyAlignment="1">
      <alignment vertical="center"/>
    </xf>
    <xf numFmtId="0" fontId="0" fillId="15" borderId="0" xfId="0" applyFill="1"/>
    <xf numFmtId="16" fontId="0" fillId="0" borderId="0" xfId="0" applyNumberFormat="1" applyFill="1" applyBorder="1" applyAlignment="1">
      <alignment vertical="top" wrapText="1"/>
    </xf>
    <xf numFmtId="0" fontId="0" fillId="0" borderId="0" xfId="0" applyFill="1" applyBorder="1" applyAlignment="1">
      <alignment horizontal="center" vertical="top" wrapText="1"/>
    </xf>
    <xf numFmtId="0" fontId="1" fillId="0" borderId="0" xfId="0" applyFont="1" applyAlignment="1">
      <alignment horizontal="left"/>
    </xf>
    <xf numFmtId="0" fontId="0" fillId="0" borderId="0" xfId="0" applyFont="1" applyBorder="1" applyAlignment="1">
      <alignment horizontal="left"/>
    </xf>
    <xf numFmtId="0" fontId="0" fillId="0" borderId="0" xfId="0" applyFill="1" applyBorder="1" applyAlignment="1">
      <alignment horizontal="left" vertical="top" wrapText="1"/>
    </xf>
    <xf numFmtId="0" fontId="5" fillId="0" borderId="0" xfId="0" applyFont="1" applyFill="1" applyBorder="1" applyAlignment="1">
      <alignment vertical="top" wrapText="1"/>
    </xf>
    <xf numFmtId="0" fontId="0" fillId="0" borderId="0" xfId="0" applyFont="1" applyFill="1" applyBorder="1" applyAlignment="1">
      <alignment vertical="top" wrapText="1"/>
    </xf>
    <xf numFmtId="0" fontId="1" fillId="0" borderId="5" xfId="0" applyFont="1" applyFill="1" applyBorder="1" applyAlignment="1">
      <alignment vertical="top" wrapText="1"/>
    </xf>
    <xf numFmtId="0" fontId="1" fillId="0" borderId="4" xfId="0" applyFont="1" applyFill="1" applyBorder="1" applyAlignment="1">
      <alignment vertical="top" wrapText="1"/>
    </xf>
    <xf numFmtId="0" fontId="1" fillId="0" borderId="3" xfId="0" applyFont="1" applyFill="1" applyBorder="1" applyAlignment="1">
      <alignment vertical="top" wrapText="1"/>
    </xf>
    <xf numFmtId="0" fontId="1" fillId="0" borderId="2" xfId="0" applyFont="1" applyFill="1" applyBorder="1" applyAlignment="1">
      <alignment horizontal="center" vertical="top" wrapText="1"/>
    </xf>
    <xf numFmtId="0" fontId="1" fillId="0" borderId="1" xfId="0" applyFont="1" applyFill="1" applyBorder="1" applyAlignment="1">
      <alignment horizontal="center" vertical="top" wrapText="1"/>
    </xf>
    <xf numFmtId="0" fontId="1" fillId="0" borderId="1" xfId="0" applyFont="1" applyFill="1" applyBorder="1" applyAlignment="1">
      <alignment vertical="top" wrapText="1"/>
    </xf>
    <xf numFmtId="0" fontId="2" fillId="0" borderId="2" xfId="1" applyFill="1" applyBorder="1" applyAlignment="1" applyProtection="1">
      <alignment vertical="top" wrapText="1"/>
    </xf>
    <xf numFmtId="0" fontId="0" fillId="0" borderId="1" xfId="0" applyFill="1" applyBorder="1" applyAlignment="1">
      <alignment vertical="top" wrapText="1"/>
    </xf>
    <xf numFmtId="0" fontId="0" fillId="0" borderId="1" xfId="0" applyFont="1" applyFill="1" applyBorder="1" applyAlignment="1">
      <alignment vertical="top" wrapText="1"/>
    </xf>
    <xf numFmtId="0" fontId="0" fillId="0" borderId="2" xfId="0" applyFill="1" applyBorder="1"/>
    <xf numFmtId="0" fontId="0" fillId="0" borderId="1" xfId="0" applyFill="1" applyBorder="1"/>
    <xf numFmtId="0" fontId="2" fillId="0" borderId="8" xfId="1" applyFill="1" applyBorder="1" applyAlignment="1" applyProtection="1">
      <alignment vertical="top" wrapText="1"/>
    </xf>
    <xf numFmtId="0" fontId="0" fillId="0" borderId="7" xfId="0" applyFill="1" applyBorder="1" applyAlignment="1">
      <alignment vertical="top" wrapText="1"/>
    </xf>
    <xf numFmtId="0" fontId="0" fillId="0" borderId="6" xfId="0" applyFill="1" applyBorder="1" applyAlignment="1">
      <alignment vertical="top" wrapText="1"/>
    </xf>
    <xf numFmtId="0" fontId="1" fillId="0" borderId="10" xfId="0" applyFont="1" applyFill="1" applyBorder="1" applyAlignment="1">
      <alignment vertical="top" wrapText="1"/>
    </xf>
    <xf numFmtId="0" fontId="0" fillId="0" borderId="15" xfId="0" applyFill="1" applyBorder="1" applyAlignment="1">
      <alignment vertical="top" wrapText="1"/>
    </xf>
    <xf numFmtId="0" fontId="2" fillId="0" borderId="17" xfId="1" applyFill="1" applyBorder="1" applyAlignment="1" applyProtection="1">
      <alignment vertical="top" wrapText="1"/>
    </xf>
    <xf numFmtId="0" fontId="0" fillId="0" borderId="18" xfId="0" applyFill="1" applyBorder="1" applyAlignment="1">
      <alignment vertical="top" wrapText="1"/>
    </xf>
    <xf numFmtId="0" fontId="1" fillId="0" borderId="19" xfId="0" applyFont="1" applyFill="1" applyBorder="1" applyAlignment="1">
      <alignment vertical="top" wrapText="1"/>
    </xf>
    <xf numFmtId="0" fontId="1" fillId="0" borderId="20" xfId="0" applyFont="1" applyFill="1" applyBorder="1" applyAlignment="1">
      <alignment vertical="top" wrapText="1"/>
    </xf>
    <xf numFmtId="0" fontId="1" fillId="0" borderId="18" xfId="0" applyFont="1" applyFill="1" applyBorder="1" applyAlignment="1">
      <alignment vertical="top" wrapText="1"/>
    </xf>
    <xf numFmtId="0" fontId="2" fillId="0" borderId="1" xfId="1" applyFill="1" applyBorder="1" applyAlignment="1" applyProtection="1">
      <alignment vertical="top" wrapText="1"/>
    </xf>
    <xf numFmtId="0" fontId="2" fillId="0" borderId="2" xfId="1" applyBorder="1" applyAlignment="1" applyProtection="1"/>
    <xf numFmtId="0" fontId="0" fillId="0" borderId="8" xfId="0" applyFill="1" applyBorder="1"/>
    <xf numFmtId="0" fontId="0" fillId="0" borderId="7" xfId="0" applyFill="1" applyBorder="1"/>
    <xf numFmtId="0" fontId="0" fillId="0" borderId="6" xfId="0" applyFill="1" applyBorder="1"/>
    <xf numFmtId="0" fontId="0" fillId="0" borderId="10" xfId="0" applyFont="1" applyBorder="1" applyAlignment="1">
      <alignment horizontal="left"/>
    </xf>
    <xf numFmtId="0" fontId="0" fillId="0" borderId="12" xfId="0" applyFont="1" applyBorder="1" applyAlignment="1">
      <alignment vertical="center"/>
    </xf>
    <xf numFmtId="0" fontId="0" fillId="0" borderId="14" xfId="0" applyFont="1" applyBorder="1" applyAlignment="1">
      <alignment vertical="center"/>
    </xf>
    <xf numFmtId="0" fontId="0" fillId="0" borderId="15" xfId="0" applyFont="1" applyBorder="1" applyAlignment="1">
      <alignment horizontal="left"/>
    </xf>
    <xf numFmtId="0" fontId="0" fillId="16" borderId="0" xfId="0" applyFill="1" applyBorder="1"/>
    <xf numFmtId="0" fontId="0" fillId="16" borderId="15" xfId="0" applyFill="1" applyBorder="1"/>
    <xf numFmtId="0" fontId="0" fillId="0" borderId="21" xfId="0" applyFont="1" applyBorder="1" applyAlignment="1">
      <alignment vertical="center"/>
    </xf>
    <xf numFmtId="0" fontId="0" fillId="0" borderId="22" xfId="0" applyFont="1" applyBorder="1" applyAlignment="1">
      <alignment horizontal="left"/>
    </xf>
    <xf numFmtId="0" fontId="0" fillId="0" borderId="22" xfId="0" applyBorder="1"/>
    <xf numFmtId="0" fontId="0" fillId="0" borderId="23" xfId="0" applyBorder="1"/>
    <xf numFmtId="16" fontId="0" fillId="0" borderId="10" xfId="0" applyNumberFormat="1" applyFill="1" applyBorder="1" applyAlignment="1">
      <alignment horizontal="left" vertical="top" wrapText="1"/>
    </xf>
    <xf numFmtId="16" fontId="0" fillId="0" borderId="15" xfId="0" applyNumberFormat="1" applyFill="1" applyBorder="1" applyAlignment="1">
      <alignment horizontal="left" vertical="top" wrapText="1"/>
    </xf>
    <xf numFmtId="0" fontId="0" fillId="0" borderId="10" xfId="0" applyFill="1" applyBorder="1" applyAlignment="1">
      <alignment horizontal="left" vertical="top" wrapText="1"/>
    </xf>
    <xf numFmtId="0" fontId="0" fillId="0" borderId="15" xfId="0" applyFill="1" applyBorder="1" applyAlignment="1">
      <alignment horizontal="left" vertical="top" wrapText="1"/>
    </xf>
    <xf numFmtId="0" fontId="0" fillId="0" borderId="9" xfId="0" applyFont="1" applyBorder="1"/>
    <xf numFmtId="0" fontId="0" fillId="0" borderId="12" xfId="0" applyFont="1" applyBorder="1"/>
    <xf numFmtId="0" fontId="0" fillId="0" borderId="14" xfId="0" applyFont="1" applyBorder="1"/>
    <xf numFmtId="0" fontId="0" fillId="0" borderId="9" xfId="0" applyFont="1" applyFill="1" applyBorder="1"/>
    <xf numFmtId="0" fontId="0" fillId="0" borderId="14" xfId="0" applyFont="1" applyFill="1" applyBorder="1"/>
    <xf numFmtId="0" fontId="0" fillId="0" borderId="9" xfId="0" applyBorder="1" applyAlignment="1">
      <alignment horizontal="left" vertical="center"/>
    </xf>
    <xf numFmtId="0" fontId="0" fillId="0" borderId="10" xfId="0" applyBorder="1" applyAlignment="1">
      <alignment horizontal="left"/>
    </xf>
    <xf numFmtId="0" fontId="0" fillId="0" borderId="12" xfId="0" applyBorder="1" applyAlignment="1">
      <alignment horizontal="left" vertical="center"/>
    </xf>
    <xf numFmtId="0" fontId="0" fillId="0" borderId="14" xfId="0" applyBorder="1" applyAlignment="1">
      <alignment horizontal="left" vertical="center"/>
    </xf>
    <xf numFmtId="0" fontId="0" fillId="0" borderId="9" xfId="0" applyFont="1" applyFill="1" applyBorder="1" applyAlignment="1">
      <alignment horizontal="left" vertical="center"/>
    </xf>
    <xf numFmtId="0" fontId="0" fillId="0" borderId="12" xfId="0" applyFont="1" applyFill="1" applyBorder="1" applyAlignment="1">
      <alignment horizontal="left" vertical="center"/>
    </xf>
    <xf numFmtId="0" fontId="0" fillId="0" borderId="14" xfId="0" applyFont="1" applyFill="1" applyBorder="1" applyAlignment="1">
      <alignment horizontal="left" vertical="center"/>
    </xf>
    <xf numFmtId="0" fontId="0" fillId="0" borderId="14" xfId="0" applyFont="1" applyBorder="1" applyAlignment="1">
      <alignment horizontal="left" vertical="center"/>
    </xf>
    <xf numFmtId="0" fontId="1" fillId="0" borderId="0" xfId="0" applyFont="1" applyAlignment="1"/>
    <xf numFmtId="0" fontId="1" fillId="0" borderId="0" xfId="0" applyFont="1" applyAlignment="1">
      <alignment wrapText="1"/>
    </xf>
    <xf numFmtId="0" fontId="0" fillId="0" borderId="0" xfId="0" applyAlignment="1">
      <alignment horizontal="left" vertical="top" wrapText="1"/>
    </xf>
    <xf numFmtId="0" fontId="0" fillId="0" borderId="0" xfId="0" applyAlignment="1">
      <alignment horizontal="left"/>
    </xf>
    <xf numFmtId="0" fontId="0" fillId="0" borderId="12" xfId="0" applyBorder="1" applyAlignment="1">
      <alignment horizontal="left" vertical="top" wrapText="1"/>
    </xf>
    <xf numFmtId="0" fontId="0" fillId="0" borderId="5" xfId="0" applyBorder="1" applyAlignment="1">
      <alignment horizontal="center"/>
    </xf>
    <xf numFmtId="0" fontId="0" fillId="0" borderId="3"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2" xfId="0" applyBorder="1" applyAlignment="1">
      <alignment horizontal="right"/>
    </xf>
    <xf numFmtId="0" fontId="0" fillId="0" borderId="0" xfId="0" applyBorder="1" applyAlignment="1">
      <alignment horizontal="right"/>
    </xf>
    <xf numFmtId="0" fontId="0" fillId="0" borderId="0" xfId="0"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12" xfId="0" applyBorder="1" applyAlignment="1">
      <alignment horizontal="left"/>
    </xf>
    <xf numFmtId="0" fontId="0" fillId="0" borderId="0" xfId="0" applyBorder="1" applyAlignment="1">
      <alignment horizontal="left"/>
    </xf>
    <xf numFmtId="0" fontId="0" fillId="0" borderId="12" xfId="0" applyBorder="1" applyAlignment="1">
      <alignment horizontal="center" wrapText="1"/>
    </xf>
    <xf numFmtId="0" fontId="0" fillId="0" borderId="0" xfId="0" applyBorder="1" applyAlignment="1">
      <alignment horizontal="center" wrapText="1"/>
    </xf>
    <xf numFmtId="0" fontId="0" fillId="0" borderId="9" xfId="0" applyBorder="1" applyAlignment="1">
      <alignment horizontal="center"/>
    </xf>
    <xf numFmtId="0" fontId="0" fillId="0" borderId="11" xfId="0" applyBorder="1" applyAlignment="1">
      <alignment horizontal="center"/>
    </xf>
    <xf numFmtId="0" fontId="0" fillId="0" borderId="13" xfId="0" applyBorder="1" applyAlignment="1">
      <alignment horizontal="left"/>
    </xf>
    <xf numFmtId="0" fontId="0" fillId="2" borderId="12" xfId="0" applyFill="1" applyBorder="1" applyAlignment="1">
      <alignment horizontal="center"/>
    </xf>
    <xf numFmtId="0" fontId="0" fillId="2" borderId="0" xfId="0" applyFill="1" applyBorder="1" applyAlignment="1">
      <alignment horizontal="center"/>
    </xf>
    <xf numFmtId="0" fontId="0" fillId="2" borderId="13" xfId="0" applyFill="1" applyBorder="1" applyAlignment="1">
      <alignment horizontal="center"/>
    </xf>
    <xf numFmtId="0" fontId="0" fillId="0" borderId="0" xfId="0" applyAlignment="1">
      <alignment horizontal="center" wrapText="1"/>
    </xf>
    <xf numFmtId="0" fontId="0" fillId="0" borderId="2"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0" fillId="0" borderId="5" xfId="0" applyFill="1" applyBorder="1" applyAlignment="1">
      <alignment horizontal="center"/>
    </xf>
    <xf numFmtId="0" fontId="0" fillId="0" borderId="4" xfId="0" applyFill="1" applyBorder="1" applyAlignment="1">
      <alignment horizontal="center"/>
    </xf>
    <xf numFmtId="0" fontId="0" fillId="0" borderId="3" xfId="0" applyFill="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xf numFmtId="0" fontId="0" fillId="0" borderId="12" xfId="0" applyBorder="1" applyAlignment="1">
      <alignment horizontal="left" vertical="top" wrapText="1"/>
    </xf>
  </cellXfs>
  <cellStyles count="6">
    <cellStyle name="Comma" xfId="3" builtinId="3"/>
    <cellStyle name="Currency" xfId="2" builtinId="4"/>
    <cellStyle name="Excel Built-in Normal" xfId="5"/>
    <cellStyle name="Hyperlink" xfId="1" builtinId="8"/>
    <cellStyle name="Normal" xfId="0" builtinId="0"/>
    <cellStyle name="Percent" xfId="4"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80</xdr:row>
      <xdr:rowOff>0</xdr:rowOff>
    </xdr:from>
    <xdr:to>
      <xdr:col>4</xdr:col>
      <xdr:colOff>293914</xdr:colOff>
      <xdr:row>86</xdr:row>
      <xdr:rowOff>97012</xdr:rowOff>
    </xdr:to>
    <xdr:pic>
      <xdr:nvPicPr>
        <xdr:cNvPr id="2" name="Picture 1" descr="radar_parameters_1.jpg"/>
        <xdr:cNvPicPr>
          <a:picLocks noChangeAspect="1"/>
        </xdr:cNvPicPr>
      </xdr:nvPicPr>
      <xdr:blipFill>
        <a:blip xmlns:r="http://schemas.openxmlformats.org/officeDocument/2006/relationships" r:embed="rId1" cstate="print"/>
        <a:srcRect/>
        <a:stretch>
          <a:fillRect/>
        </a:stretch>
      </xdr:blipFill>
      <xdr:spPr bwMode="auto">
        <a:xfrm>
          <a:off x="1763486" y="13694229"/>
          <a:ext cx="3363685" cy="1207355"/>
        </a:xfrm>
        <a:prstGeom prst="rect">
          <a:avLst/>
        </a:prstGeom>
        <a:noFill/>
        <a:ln w="9525">
          <a:noFill/>
          <a:miter lim="800000"/>
          <a:headEnd/>
          <a:tailEnd/>
        </a:ln>
      </xdr:spPr>
    </xdr:pic>
    <xdr:clientData/>
  </xdr:twoCellAnchor>
  <xdr:twoCellAnchor editAs="oneCell">
    <xdr:from>
      <xdr:col>1</xdr:col>
      <xdr:colOff>1</xdr:colOff>
      <xdr:row>88</xdr:row>
      <xdr:rowOff>0</xdr:rowOff>
    </xdr:from>
    <xdr:to>
      <xdr:col>3</xdr:col>
      <xdr:colOff>461480</xdr:colOff>
      <xdr:row>94</xdr:row>
      <xdr:rowOff>76200</xdr:rowOff>
    </xdr:to>
    <xdr:pic>
      <xdr:nvPicPr>
        <xdr:cNvPr id="3" name="Picture 2" descr="radar_parameters_2.jpg"/>
        <xdr:cNvPicPr>
          <a:picLocks noChangeAspect="1"/>
        </xdr:cNvPicPr>
      </xdr:nvPicPr>
      <xdr:blipFill>
        <a:blip xmlns:r="http://schemas.openxmlformats.org/officeDocument/2006/relationships" r:embed="rId2" cstate="print"/>
        <a:srcRect/>
        <a:stretch>
          <a:fillRect/>
        </a:stretch>
      </xdr:blipFill>
      <xdr:spPr bwMode="auto">
        <a:xfrm>
          <a:off x="1763487" y="15174686"/>
          <a:ext cx="2529764" cy="118654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asa.gov/pdf/55396main_13%20ESS.pdf" TargetMode="External"/><Relationship Id="rId1" Type="http://schemas.openxmlformats.org/officeDocument/2006/relationships/hyperlink" Target="http://www.nasa.gov/pdf/118829main_FY03_budget.pdf"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amdar.noaa.gov/docs/Petersen_presentation.pdf" TargetMode="External"/><Relationship Id="rId7" Type="http://schemas.openxmlformats.org/officeDocument/2006/relationships/hyperlink" Target="http://www.spectrasensors.com/wvss/" TargetMode="External"/><Relationship Id="rId2" Type="http://schemas.openxmlformats.org/officeDocument/2006/relationships/hyperlink" Target="http://amdar.noaa.gov/" TargetMode="External"/><Relationship Id="rId1" Type="http://schemas.openxmlformats.org/officeDocument/2006/relationships/hyperlink" Target="http://www.arinc.com/products/voice_data_comm/acars.html" TargetMode="External"/><Relationship Id="rId6" Type="http://schemas.openxmlformats.org/officeDocument/2006/relationships/hyperlink" Target="http://www.eucos.net/cln_005/nn_133396/EN/Home/networks/eamdar/AMDAR__en" TargetMode="External"/><Relationship Id="rId5" Type="http://schemas.openxmlformats.org/officeDocument/2006/relationships/hyperlink" Target="http://www.wmo.int/pages/prog/amp/aemp/index_en.html" TargetMode="External"/><Relationship Id="rId4" Type="http://schemas.openxmlformats.org/officeDocument/2006/relationships/hyperlink" Target="http://cimss.ssec.wisc.edu/"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esto.nasa.gov/conferences/nstc2007/papers/Heymsfield_Gerald_B5P2_NSTC-07-0085.pdf" TargetMode="External"/><Relationship Id="rId13" Type="http://schemas.openxmlformats.org/officeDocument/2006/relationships/hyperlink" Target="http://www.nasa.gov/centers/langley/news/researchernews/rn_arctichaze.html" TargetMode="External"/><Relationship Id="rId3" Type="http://schemas.openxmlformats.org/officeDocument/2006/relationships/hyperlink" Target="http://microwavescience.jpl.nasa.gov/instruments/hamsr/" TargetMode="External"/><Relationship Id="rId7" Type="http://schemas.openxmlformats.org/officeDocument/2006/relationships/hyperlink" Target="http://esto.nasa.gov/conferences/estc2008/papers/Heymsfield_Gerald_B5P2.pdf" TargetMode="External"/><Relationship Id="rId12" Type="http://schemas.openxmlformats.org/officeDocument/2006/relationships/hyperlink" Target="http://www.nasa.gov/centers/langley/news/factsheets/LASE.html" TargetMode="External"/><Relationship Id="rId2" Type="http://schemas.openxmlformats.org/officeDocument/2006/relationships/hyperlink" Target="http://www.dropletmeasurement.com/" TargetMode="External"/><Relationship Id="rId1" Type="http://schemas.openxmlformats.org/officeDocument/2006/relationships/hyperlink" Target="http://trmm.jpl.nasa.gov/apr.html" TargetMode="External"/><Relationship Id="rId6" Type="http://schemas.openxmlformats.org/officeDocument/2006/relationships/hyperlink" Target="http://www.igarss08.org/Abstracts/pdfs/2334.pdf" TargetMode="External"/><Relationship Id="rId11" Type="http://schemas.openxmlformats.org/officeDocument/2006/relationships/hyperlink" Target="http://asd-www.larc.nasa.gov/lase/ASDlase.html" TargetMode="External"/><Relationship Id="rId5" Type="http://schemas.openxmlformats.org/officeDocument/2006/relationships/hyperlink" Target="http://www.nasa.gov/mission_pages/hurricanes/missions/grip/news/hirad.html" TargetMode="External"/><Relationship Id="rId15" Type="http://schemas.openxmlformats.org/officeDocument/2006/relationships/printerSettings" Target="../printerSettings/printerSettings4.bin"/><Relationship Id="rId10" Type="http://schemas.openxmlformats.org/officeDocument/2006/relationships/hyperlink" Target="http://www.eol.ucar.edu/development/avaps-iii/documentation/overall-global-hawk-dropsonde-system-description" TargetMode="External"/><Relationship Id="rId4" Type="http://schemas.openxmlformats.org/officeDocument/2006/relationships/hyperlink" Target="http://www.dropletmeasurement.com/products/airborne/caps.html" TargetMode="External"/><Relationship Id="rId9" Type="http://schemas.openxmlformats.org/officeDocument/2006/relationships/hyperlink" Target="http://www.inemet.com/pdf/sondeo/dropsonde.pdf" TargetMode="External"/><Relationship Id="rId14" Type="http://schemas.openxmlformats.org/officeDocument/2006/relationships/hyperlink" Target="http://space.hsv.usra.edu/LWG/Jun09/Papers.jun09/Kavaya1.jun09.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acd.ucar.edu/start/ucats.shtml" TargetMode="External"/><Relationship Id="rId3" Type="http://schemas.openxmlformats.org/officeDocument/2006/relationships/hyperlink" Target="http://www.engr.du.edu/aerosol/index.htm" TargetMode="External"/><Relationship Id="rId7" Type="http://schemas.openxmlformats.org/officeDocument/2006/relationships/hyperlink" Target="http://www.dropletmeasurement.com/products/airborne/71" TargetMode="External"/><Relationship Id="rId2" Type="http://schemas.openxmlformats.org/officeDocument/2006/relationships/hyperlink" Target="http://cpl.gsfc.nasa.gov/" TargetMode="External"/><Relationship Id="rId1" Type="http://schemas.openxmlformats.org/officeDocument/2006/relationships/hyperlink" Target="http://spiedigitallibrary.org/proceedings/resource/2/psisdg/7452/1/74520Q_1" TargetMode="External"/><Relationship Id="rId6" Type="http://schemas.openxmlformats.org/officeDocument/2006/relationships/hyperlink" Target="http://mtp.jpl.nasa.gov/" TargetMode="External"/><Relationship Id="rId11" Type="http://schemas.openxmlformats.org/officeDocument/2006/relationships/printerSettings" Target="../printerSettings/printerSettings5.bin"/><Relationship Id="rId5" Type="http://schemas.openxmlformats.org/officeDocument/2006/relationships/hyperlink" Target="http://geo.arc.nasa.gov/sgg/mms/index.htm" TargetMode="External"/><Relationship Id="rId10" Type="http://schemas.openxmlformats.org/officeDocument/2006/relationships/hyperlink" Target="http://laserweb.jpl.nasa.gov/ulh/index.html" TargetMode="External"/><Relationship Id="rId4" Type="http://schemas.openxmlformats.org/officeDocument/2006/relationships/hyperlink" Target="http://www.engr.du.edu/aerosol/instruments.htm" TargetMode="External"/><Relationship Id="rId9" Type="http://schemas.openxmlformats.org/officeDocument/2006/relationships/hyperlink" Target="http://sine.ni.com/cs/app/doc/p/id/cs-12343"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Y251"/>
  <sheetViews>
    <sheetView zoomScale="55" zoomScaleNormal="55" workbookViewId="0">
      <selection activeCell="AG22" sqref="AG22"/>
    </sheetView>
  </sheetViews>
  <sheetFormatPr defaultRowHeight="15"/>
  <cols>
    <col min="1" max="1" width="23.7109375" customWidth="1"/>
    <col min="2" max="2" width="28.42578125" customWidth="1"/>
    <col min="3" max="3" width="17.5703125" customWidth="1"/>
    <col min="4" max="4" width="18.7109375" bestFit="1" customWidth="1"/>
    <col min="5" max="5" width="21.28515625" customWidth="1"/>
    <col min="6" max="9" width="18.7109375" bestFit="1" customWidth="1"/>
    <col min="10" max="10" width="31.85546875" bestFit="1" customWidth="1"/>
    <col min="12" max="12" width="18.140625" bestFit="1" customWidth="1"/>
    <col min="13" max="13" width="13.7109375" bestFit="1" customWidth="1"/>
    <col min="14" max="14" width="46.85546875" bestFit="1" customWidth="1"/>
    <col min="15" max="15" width="35.5703125" bestFit="1" customWidth="1"/>
    <col min="23" max="23" width="21.5703125" customWidth="1"/>
    <col min="24" max="24" width="26.5703125" bestFit="1" customWidth="1"/>
    <col min="25" max="25" width="10.28515625" bestFit="1" customWidth="1"/>
    <col min="26" max="26" width="12" bestFit="1" customWidth="1"/>
    <col min="27" max="27" width="10.28515625" bestFit="1" customWidth="1"/>
    <col min="28" max="28" width="11.28515625" bestFit="1" customWidth="1"/>
    <col min="29" max="29" width="9.42578125" bestFit="1" customWidth="1"/>
    <col min="30" max="30" width="13" bestFit="1" customWidth="1"/>
    <col min="31" max="31" width="11.7109375" bestFit="1" customWidth="1"/>
    <col min="32" max="32" width="11" bestFit="1" customWidth="1"/>
    <col min="33" max="33" width="14.28515625" bestFit="1" customWidth="1"/>
    <col min="34" max="34" width="11" bestFit="1" customWidth="1"/>
    <col min="35" max="35" width="12.28515625" bestFit="1" customWidth="1"/>
    <col min="36" max="36" width="11" bestFit="1" customWidth="1"/>
    <col min="38" max="38" width="12.28515625" style="2" bestFit="1" customWidth="1"/>
    <col min="39" max="39" width="47" style="99" bestFit="1" customWidth="1"/>
    <col min="40" max="40" width="11.7109375" style="2" bestFit="1" customWidth="1"/>
    <col min="43" max="43" width="25.7109375" bestFit="1" customWidth="1"/>
    <col min="44" max="44" width="25.5703125" bestFit="1" customWidth="1"/>
    <col min="45" max="45" width="9.5703125" bestFit="1" customWidth="1"/>
    <col min="47" max="47" width="9" style="1" bestFit="1" customWidth="1"/>
    <col min="48" max="48" width="10.42578125" style="1" bestFit="1" customWidth="1"/>
    <col min="51" max="51" width="10.42578125" bestFit="1" customWidth="1"/>
  </cols>
  <sheetData>
    <row r="1" spans="1:48">
      <c r="A1" s="253" t="s">
        <v>491</v>
      </c>
      <c r="B1" s="253"/>
      <c r="C1" s="253"/>
      <c r="D1" s="253"/>
      <c r="E1" s="253"/>
      <c r="F1" s="253"/>
      <c r="J1" t="s">
        <v>268</v>
      </c>
      <c r="N1" t="s">
        <v>490</v>
      </c>
      <c r="W1" s="259" t="s">
        <v>489</v>
      </c>
      <c r="X1" s="259"/>
      <c r="Y1" s="259"/>
      <c r="Z1" s="35"/>
    </row>
    <row r="2" spans="1:48">
      <c r="A2" s="253" t="s">
        <v>488</v>
      </c>
      <c r="B2" s="253"/>
      <c r="C2" s="253" t="s">
        <v>486</v>
      </c>
      <c r="D2" s="253"/>
      <c r="E2" s="253"/>
      <c r="J2" s="253" t="s">
        <v>488</v>
      </c>
      <c r="K2" s="253"/>
      <c r="L2" t="s">
        <v>486</v>
      </c>
      <c r="N2" t="s">
        <v>487</v>
      </c>
      <c r="P2" t="s">
        <v>486</v>
      </c>
      <c r="W2" s="259" t="s">
        <v>485</v>
      </c>
      <c r="X2" s="259"/>
      <c r="Y2" s="259"/>
      <c r="Z2" s="35"/>
      <c r="AB2" s="40"/>
      <c r="AC2" s="41"/>
      <c r="AD2" s="42" t="s">
        <v>565</v>
      </c>
      <c r="AF2" s="40" t="s">
        <v>567</v>
      </c>
      <c r="AG2" s="41"/>
      <c r="AH2" s="41"/>
      <c r="AI2" s="41"/>
      <c r="AJ2" s="41"/>
      <c r="AK2" s="42"/>
    </row>
    <row r="3" spans="1:48">
      <c r="A3" t="s">
        <v>484</v>
      </c>
      <c r="B3" t="s">
        <v>483</v>
      </c>
      <c r="C3" t="s">
        <v>480</v>
      </c>
      <c r="D3" t="s">
        <v>482</v>
      </c>
      <c r="J3" t="s">
        <v>481</v>
      </c>
      <c r="L3" t="s">
        <v>480</v>
      </c>
      <c r="N3" t="s">
        <v>479</v>
      </c>
      <c r="O3" t="s">
        <v>478</v>
      </c>
      <c r="P3" t="s">
        <v>477</v>
      </c>
      <c r="W3" s="2" t="s">
        <v>476</v>
      </c>
      <c r="X3" t="s">
        <v>455</v>
      </c>
      <c r="Y3" s="30"/>
      <c r="Z3" s="30"/>
      <c r="AB3" s="262" t="s">
        <v>563</v>
      </c>
      <c r="AC3" s="263"/>
      <c r="AD3" s="43">
        <f>200000/12</f>
        <v>16666.666666666668</v>
      </c>
      <c r="AF3" s="45" t="s">
        <v>568</v>
      </c>
      <c r="AG3" s="46">
        <f>AL176</f>
        <v>13958833.333333332</v>
      </c>
      <c r="AH3" s="5"/>
      <c r="AI3" s="5"/>
      <c r="AJ3" s="5"/>
      <c r="AK3" s="47"/>
    </row>
    <row r="4" spans="1:48">
      <c r="A4" t="s">
        <v>475</v>
      </c>
      <c r="B4" t="s">
        <v>474</v>
      </c>
      <c r="C4" t="s">
        <v>473</v>
      </c>
      <c r="D4" t="s">
        <v>472</v>
      </c>
      <c r="J4" t="s">
        <v>471</v>
      </c>
      <c r="K4" t="s">
        <v>470</v>
      </c>
      <c r="N4" t="s">
        <v>469</v>
      </c>
      <c r="O4" t="s">
        <v>468</v>
      </c>
      <c r="P4" t="s">
        <v>396</v>
      </c>
      <c r="Q4" t="s">
        <v>467</v>
      </c>
      <c r="W4" s="2" t="s">
        <v>466</v>
      </c>
      <c r="X4" t="s">
        <v>455</v>
      </c>
      <c r="Y4" s="29"/>
      <c r="Z4" s="29"/>
      <c r="AB4" s="262" t="s">
        <v>564</v>
      </c>
      <c r="AC4" s="263"/>
      <c r="AD4" s="43">
        <f>150000/12</f>
        <v>12500</v>
      </c>
      <c r="AF4" s="45" t="s">
        <v>569</v>
      </c>
      <c r="AG4" s="48">
        <f>AV251</f>
        <v>4740768</v>
      </c>
      <c r="AH4" s="5"/>
      <c r="AI4" s="5"/>
      <c r="AJ4" s="5"/>
      <c r="AK4" s="47"/>
    </row>
    <row r="5" spans="1:48">
      <c r="A5" t="s">
        <v>465</v>
      </c>
      <c r="B5" t="s">
        <v>464</v>
      </c>
      <c r="C5" t="s">
        <v>463</v>
      </c>
      <c r="D5" t="s">
        <v>462</v>
      </c>
      <c r="K5" t="s">
        <v>461</v>
      </c>
      <c r="N5" t="s">
        <v>460</v>
      </c>
      <c r="O5" t="s">
        <v>459</v>
      </c>
      <c r="P5" t="s">
        <v>458</v>
      </c>
      <c r="Q5" t="s">
        <v>457</v>
      </c>
      <c r="W5" s="2" t="s">
        <v>456</v>
      </c>
      <c r="X5" t="s">
        <v>455</v>
      </c>
      <c r="Y5" s="28"/>
      <c r="Z5" s="28"/>
      <c r="AB5" s="260" t="s">
        <v>566</v>
      </c>
      <c r="AC5" s="261"/>
      <c r="AD5" s="44">
        <f>80000/12</f>
        <v>6666.666666666667</v>
      </c>
      <c r="AF5" s="49" t="s">
        <v>570</v>
      </c>
      <c r="AG5" s="50">
        <f>SUM(AG3:AG4)*0.1653</f>
        <v>3091044.1003999999</v>
      </c>
      <c r="AH5" s="51" t="s">
        <v>571</v>
      </c>
      <c r="AI5" s="50">
        <f>SUM(AG3:AG5)</f>
        <v>21790645.433733333</v>
      </c>
      <c r="AJ5" s="51"/>
      <c r="AK5" s="52"/>
      <c r="AN5" s="53">
        <f>30000000-AI5</f>
        <v>8209354.5662666671</v>
      </c>
    </row>
    <row r="6" spans="1:48">
      <c r="A6" t="s">
        <v>454</v>
      </c>
      <c r="B6" t="s">
        <v>453</v>
      </c>
      <c r="C6" t="s">
        <v>452</v>
      </c>
      <c r="D6" t="s">
        <v>451</v>
      </c>
      <c r="E6" t="s">
        <v>0</v>
      </c>
      <c r="G6" t="s">
        <v>450</v>
      </c>
      <c r="J6" t="s">
        <v>449</v>
      </c>
      <c r="K6" t="s">
        <v>448</v>
      </c>
      <c r="N6" t="s">
        <v>447</v>
      </c>
      <c r="O6" t="s">
        <v>446</v>
      </c>
      <c r="P6" t="s">
        <v>379</v>
      </c>
      <c r="Q6" t="s">
        <v>445</v>
      </c>
      <c r="W6" s="253" t="s">
        <v>562</v>
      </c>
      <c r="X6" s="253"/>
      <c r="Y6" s="253"/>
      <c r="Z6" s="253"/>
      <c r="AA6" s="253"/>
      <c r="AB6" s="253"/>
      <c r="AC6" s="253"/>
      <c r="AD6" s="253"/>
      <c r="AE6" s="253"/>
      <c r="AF6" s="253"/>
      <c r="AG6" s="253"/>
      <c r="AH6" s="253"/>
      <c r="AI6" s="253"/>
      <c r="AJ6" s="253"/>
      <c r="AK6" s="253"/>
      <c r="AL6" s="253"/>
      <c r="AM6" s="253"/>
      <c r="AN6" s="253"/>
      <c r="AO6" s="253"/>
      <c r="AP6" s="253"/>
      <c r="AQ6" s="253"/>
      <c r="AR6" s="253"/>
      <c r="AS6" s="253"/>
      <c r="AT6" s="253"/>
      <c r="AU6" s="253"/>
      <c r="AV6" s="253"/>
    </row>
    <row r="7" spans="1:48">
      <c r="A7" t="s">
        <v>444</v>
      </c>
      <c r="B7" t="s">
        <v>443</v>
      </c>
      <c r="D7" t="s">
        <v>442</v>
      </c>
      <c r="E7" t="s">
        <v>441</v>
      </c>
      <c r="G7" t="s">
        <v>268</v>
      </c>
      <c r="J7" t="s">
        <v>440</v>
      </c>
      <c r="K7" t="s">
        <v>439</v>
      </c>
      <c r="N7" t="s">
        <v>438</v>
      </c>
      <c r="O7" t="s">
        <v>437</v>
      </c>
      <c r="P7" t="s">
        <v>436</v>
      </c>
      <c r="Q7" t="s">
        <v>435</v>
      </c>
      <c r="V7" s="266" t="s">
        <v>572</v>
      </c>
      <c r="W7" s="252"/>
      <c r="X7" s="252"/>
      <c r="Y7" s="252"/>
      <c r="Z7" s="252"/>
      <c r="AA7" s="252"/>
      <c r="AB7" s="252"/>
      <c r="AC7" s="252"/>
      <c r="AD7" s="267"/>
      <c r="AE7" s="21"/>
      <c r="AF7" s="21"/>
      <c r="AG7" s="21"/>
      <c r="AH7" s="21"/>
      <c r="AI7" s="21"/>
      <c r="AJ7" s="21"/>
      <c r="AK7" s="21"/>
      <c r="AL7" s="21"/>
      <c r="AM7" s="100"/>
      <c r="AN7" s="37"/>
      <c r="AO7" s="40"/>
      <c r="AP7" s="41" t="s">
        <v>433</v>
      </c>
      <c r="AQ7" s="41"/>
      <c r="AR7" s="41"/>
      <c r="AS7" s="41"/>
      <c r="AT7" s="41"/>
      <c r="AU7" s="67"/>
      <c r="AV7" s="68"/>
    </row>
    <row r="8" spans="1:48">
      <c r="A8" t="s">
        <v>432</v>
      </c>
      <c r="B8" t="s">
        <v>431</v>
      </c>
      <c r="D8" t="s">
        <v>430</v>
      </c>
      <c r="E8" t="s">
        <v>429</v>
      </c>
      <c r="G8" t="s">
        <v>428</v>
      </c>
      <c r="J8" t="s">
        <v>427</v>
      </c>
      <c r="K8" t="s">
        <v>426</v>
      </c>
      <c r="N8" t="s">
        <v>425</v>
      </c>
      <c r="O8" t="s">
        <v>424</v>
      </c>
      <c r="P8" t="s">
        <v>423</v>
      </c>
      <c r="Q8" t="s">
        <v>422</v>
      </c>
      <c r="V8" s="262" t="s">
        <v>573</v>
      </c>
      <c r="W8" s="263"/>
      <c r="X8" s="263"/>
      <c r="Y8" s="263"/>
      <c r="Z8" s="263"/>
      <c r="AA8" s="263"/>
      <c r="AB8" s="263"/>
      <c r="AC8" s="263"/>
      <c r="AD8" s="268"/>
      <c r="AE8" s="21"/>
      <c r="AF8" s="21"/>
      <c r="AG8" s="21"/>
      <c r="AH8" s="21"/>
      <c r="AI8" s="21"/>
      <c r="AJ8" s="21"/>
      <c r="AK8" s="21"/>
      <c r="AL8" s="21"/>
      <c r="AM8" s="100"/>
      <c r="AO8" s="45"/>
      <c r="AP8" s="5" t="s">
        <v>414</v>
      </c>
      <c r="AQ8" s="5" t="s">
        <v>9</v>
      </c>
      <c r="AR8" s="5" t="s">
        <v>8</v>
      </c>
      <c r="AS8" s="5" t="s">
        <v>28</v>
      </c>
      <c r="AT8" s="5" t="s">
        <v>413</v>
      </c>
      <c r="AU8" s="69" t="s">
        <v>412</v>
      </c>
      <c r="AV8" s="70" t="s">
        <v>0</v>
      </c>
    </row>
    <row r="9" spans="1:48">
      <c r="A9" t="s">
        <v>411</v>
      </c>
      <c r="B9" t="s">
        <v>410</v>
      </c>
      <c r="D9">
        <v>200</v>
      </c>
      <c r="E9" t="s">
        <v>409</v>
      </c>
      <c r="G9" t="s">
        <v>408</v>
      </c>
      <c r="V9" s="269" t="s">
        <v>167</v>
      </c>
      <c r="W9" s="270"/>
      <c r="X9" s="270" t="s">
        <v>166</v>
      </c>
      <c r="Y9" s="270" t="s">
        <v>165</v>
      </c>
      <c r="Z9" s="270" t="s">
        <v>164</v>
      </c>
      <c r="AA9" s="270" t="s">
        <v>163</v>
      </c>
      <c r="AB9" s="270" t="s">
        <v>162</v>
      </c>
      <c r="AC9" s="270" t="s">
        <v>161</v>
      </c>
      <c r="AD9" s="271" t="s">
        <v>157</v>
      </c>
      <c r="AF9" s="34"/>
      <c r="AG9" s="34"/>
      <c r="AH9" s="34"/>
      <c r="AI9" s="34"/>
      <c r="AJ9" s="34"/>
      <c r="AK9" s="34"/>
      <c r="AL9" s="34"/>
      <c r="AM9" s="101"/>
      <c r="AN9" s="38"/>
      <c r="AO9" s="45"/>
      <c r="AP9" s="5">
        <v>100</v>
      </c>
      <c r="AQ9" s="5" t="s">
        <v>406</v>
      </c>
      <c r="AR9" s="5" t="s">
        <v>392</v>
      </c>
      <c r="AS9" s="5">
        <v>2</v>
      </c>
      <c r="AT9" s="5">
        <v>6</v>
      </c>
      <c r="AU9" s="69">
        <v>6594</v>
      </c>
      <c r="AV9" s="70">
        <v>6594</v>
      </c>
    </row>
    <row r="10" spans="1:48">
      <c r="A10" t="s">
        <v>405</v>
      </c>
      <c r="B10" t="s">
        <v>404</v>
      </c>
      <c r="C10" t="s">
        <v>396</v>
      </c>
      <c r="D10" t="s">
        <v>403</v>
      </c>
      <c r="G10" t="s">
        <v>402</v>
      </c>
      <c r="P10" t="s">
        <v>401</v>
      </c>
      <c r="V10" s="86" t="s">
        <v>155</v>
      </c>
      <c r="W10" s="87" t="s">
        <v>154</v>
      </c>
      <c r="X10" s="270"/>
      <c r="Y10" s="270"/>
      <c r="Z10" s="270"/>
      <c r="AA10" s="270"/>
      <c r="AB10" s="270"/>
      <c r="AC10" s="270"/>
      <c r="AD10" s="271"/>
      <c r="AE10" s="34" t="s">
        <v>578</v>
      </c>
      <c r="AF10" s="34"/>
      <c r="AG10" s="34"/>
      <c r="AH10" s="34"/>
      <c r="AI10" s="34"/>
      <c r="AJ10" s="34"/>
      <c r="AK10" s="34"/>
      <c r="AL10" s="34"/>
      <c r="AM10" s="101"/>
      <c r="AN10" s="38"/>
      <c r="AO10" s="45"/>
      <c r="AP10" s="5">
        <v>100</v>
      </c>
      <c r="AQ10" s="5" t="s">
        <v>399</v>
      </c>
      <c r="AR10" s="5" t="s">
        <v>392</v>
      </c>
      <c r="AS10" s="5">
        <v>2</v>
      </c>
      <c r="AT10" s="5">
        <v>6</v>
      </c>
      <c r="AU10" s="69">
        <v>6594</v>
      </c>
      <c r="AV10" s="70">
        <v>6594</v>
      </c>
    </row>
    <row r="11" spans="1:48">
      <c r="A11" t="s">
        <v>178</v>
      </c>
      <c r="B11" t="s">
        <v>398</v>
      </c>
      <c r="G11" t="s">
        <v>397</v>
      </c>
      <c r="P11" t="s">
        <v>396</v>
      </c>
      <c r="Q11" t="s">
        <v>395</v>
      </c>
      <c r="V11" s="45">
        <v>1</v>
      </c>
      <c r="W11" s="107" t="s">
        <v>153</v>
      </c>
      <c r="X11" s="88">
        <v>272</v>
      </c>
      <c r="Y11" s="88">
        <v>663</v>
      </c>
      <c r="Z11" s="88">
        <v>361</v>
      </c>
      <c r="AA11" s="88">
        <v>362</v>
      </c>
      <c r="AB11" s="88">
        <v>367</v>
      </c>
      <c r="AC11" s="88">
        <v>254</v>
      </c>
      <c r="AD11" s="89">
        <f t="shared" ref="AD11:AD29" si="0">SUM(X11:AC11)</f>
        <v>2279</v>
      </c>
      <c r="AE11" s="39">
        <f>SUM(AL37:AL41,AL43:AL44,AL78,AL100,AL135,)</f>
        <v>1129000.0000000002</v>
      </c>
      <c r="AH11" s="34"/>
      <c r="AJ11" s="34"/>
      <c r="AK11" s="34"/>
      <c r="AL11" s="34"/>
      <c r="AM11" s="101"/>
      <c r="AN11" s="38"/>
      <c r="AO11" s="45"/>
      <c r="AP11" s="5">
        <v>100</v>
      </c>
      <c r="AQ11" s="5" t="s">
        <v>393</v>
      </c>
      <c r="AR11" s="5" t="s">
        <v>392</v>
      </c>
      <c r="AS11" s="5">
        <v>2</v>
      </c>
      <c r="AT11" s="5">
        <v>6</v>
      </c>
      <c r="AU11" s="69">
        <v>6594</v>
      </c>
      <c r="AV11" s="70">
        <v>6594</v>
      </c>
    </row>
    <row r="12" spans="1:48">
      <c r="A12" t="s">
        <v>391</v>
      </c>
      <c r="B12" t="s">
        <v>390</v>
      </c>
      <c r="G12" t="s">
        <v>389</v>
      </c>
      <c r="P12" t="s">
        <v>388</v>
      </c>
      <c r="Q12" t="s">
        <v>387</v>
      </c>
      <c r="V12" s="45">
        <v>2</v>
      </c>
      <c r="W12" s="108" t="s">
        <v>151</v>
      </c>
      <c r="X12" s="88">
        <v>123</v>
      </c>
      <c r="Y12" s="88">
        <v>180</v>
      </c>
      <c r="Z12" s="88">
        <v>0</v>
      </c>
      <c r="AA12" s="88">
        <v>0</v>
      </c>
      <c r="AB12" s="88">
        <v>0</v>
      </c>
      <c r="AC12" s="88">
        <v>0</v>
      </c>
      <c r="AD12" s="89">
        <f t="shared" si="0"/>
        <v>303</v>
      </c>
      <c r="AE12" s="39">
        <f>SUM(AL45,AL47:AL48,AL84,AL87,AL107,AL111)</f>
        <v>1003500</v>
      </c>
      <c r="AH12" s="34"/>
      <c r="AI12" s="34"/>
      <c r="AJ12" s="34"/>
      <c r="AK12" s="34"/>
      <c r="AL12" s="34"/>
      <c r="AM12" s="101"/>
      <c r="AN12" s="38"/>
      <c r="AO12" s="45"/>
      <c r="AP12" s="5">
        <v>100</v>
      </c>
      <c r="AQ12" s="5" t="s">
        <v>385</v>
      </c>
      <c r="AR12" s="5" t="s">
        <v>384</v>
      </c>
      <c r="AS12" s="5">
        <v>2</v>
      </c>
      <c r="AT12" s="5" t="s">
        <v>383</v>
      </c>
      <c r="AU12" s="69">
        <v>1545</v>
      </c>
      <c r="AV12" s="70">
        <v>23175</v>
      </c>
    </row>
    <row r="13" spans="1:48" ht="30">
      <c r="A13" t="s">
        <v>382</v>
      </c>
      <c r="B13" t="s">
        <v>381</v>
      </c>
      <c r="G13" t="s">
        <v>380</v>
      </c>
      <c r="P13" t="s">
        <v>379</v>
      </c>
      <c r="Q13" t="s">
        <v>378</v>
      </c>
      <c r="V13" s="45">
        <v>3</v>
      </c>
      <c r="W13" s="109" t="s">
        <v>148</v>
      </c>
      <c r="X13" s="88">
        <v>20</v>
      </c>
      <c r="Y13" s="88">
        <v>11</v>
      </c>
      <c r="Z13" s="88">
        <v>0</v>
      </c>
      <c r="AA13" s="88">
        <v>0</v>
      </c>
      <c r="AB13" s="88">
        <v>0</v>
      </c>
      <c r="AC13" s="88">
        <v>0</v>
      </c>
      <c r="AD13" s="89">
        <f t="shared" si="0"/>
        <v>31</v>
      </c>
      <c r="AE13" s="34"/>
      <c r="AF13" s="34"/>
      <c r="AG13" s="34"/>
      <c r="AH13" s="34"/>
      <c r="AI13" s="34"/>
      <c r="AJ13" s="34"/>
      <c r="AK13" s="34"/>
      <c r="AL13" s="34"/>
      <c r="AM13" s="101"/>
      <c r="AN13" s="38"/>
      <c r="AO13" s="45"/>
      <c r="AP13" s="55" t="s">
        <v>0</v>
      </c>
      <c r="AQ13" s="71"/>
      <c r="AR13" s="55"/>
      <c r="AS13" s="55"/>
      <c r="AT13" s="55"/>
      <c r="AU13" s="72"/>
      <c r="AV13" s="73">
        <f>SUM(AV9:AV12)</f>
        <v>42957</v>
      </c>
    </row>
    <row r="14" spans="1:48">
      <c r="A14" t="s">
        <v>376</v>
      </c>
      <c r="B14" t="s">
        <v>375</v>
      </c>
      <c r="G14" t="s">
        <v>374</v>
      </c>
      <c r="J14">
        <v>2004</v>
      </c>
      <c r="K14">
        <v>29.2</v>
      </c>
      <c r="P14" t="s">
        <v>373</v>
      </c>
      <c r="Q14" t="s">
        <v>372</v>
      </c>
      <c r="V14" s="45">
        <v>4</v>
      </c>
      <c r="W14" s="110" t="s">
        <v>147</v>
      </c>
      <c r="X14" s="88">
        <v>2357</v>
      </c>
      <c r="Y14" s="88">
        <v>1887</v>
      </c>
      <c r="Z14" s="88">
        <v>40</v>
      </c>
      <c r="AA14" s="88">
        <v>0</v>
      </c>
      <c r="AB14" s="88">
        <v>0</v>
      </c>
      <c r="AC14" s="88">
        <v>0</v>
      </c>
      <c r="AD14" s="89">
        <f t="shared" si="0"/>
        <v>4284</v>
      </c>
      <c r="AE14" s="84"/>
      <c r="AF14" s="34"/>
      <c r="AG14" s="34"/>
      <c r="AH14" s="34"/>
      <c r="AI14" s="34"/>
      <c r="AJ14" s="34"/>
      <c r="AK14" s="34"/>
      <c r="AL14" s="34"/>
      <c r="AM14" s="101"/>
      <c r="AN14" s="38"/>
      <c r="AO14" s="45"/>
      <c r="AP14" s="5">
        <v>100</v>
      </c>
      <c r="AQ14" s="5" t="s">
        <v>371</v>
      </c>
      <c r="AR14" s="5"/>
      <c r="AS14" s="5"/>
      <c r="AT14" s="74">
        <v>25000</v>
      </c>
      <c r="AU14" s="69">
        <v>0.68</v>
      </c>
      <c r="AV14" s="73">
        <f>AT14*AU14</f>
        <v>17000</v>
      </c>
    </row>
    <row r="15" spans="1:48" ht="30">
      <c r="B15" t="s">
        <v>370</v>
      </c>
      <c r="J15">
        <v>2003</v>
      </c>
      <c r="K15">
        <v>8.6</v>
      </c>
      <c r="L15" s="27" t="s">
        <v>369</v>
      </c>
      <c r="V15" s="45">
        <v>5</v>
      </c>
      <c r="W15" s="111" t="s">
        <v>145</v>
      </c>
      <c r="X15" s="88">
        <v>5336</v>
      </c>
      <c r="Y15" s="88">
        <v>2012</v>
      </c>
      <c r="Z15" s="88">
        <v>0</v>
      </c>
      <c r="AA15" s="88">
        <v>0</v>
      </c>
      <c r="AB15" s="88">
        <v>0</v>
      </c>
      <c r="AC15" s="88">
        <v>0</v>
      </c>
      <c r="AD15" s="89">
        <f t="shared" si="0"/>
        <v>7348</v>
      </c>
      <c r="AE15" s="34"/>
      <c r="AF15" s="34"/>
      <c r="AG15" s="32"/>
      <c r="AH15" s="34"/>
      <c r="AI15" s="34"/>
      <c r="AJ15" s="34"/>
      <c r="AK15" s="34"/>
      <c r="AL15" s="34"/>
      <c r="AM15" s="101"/>
      <c r="AN15" s="38"/>
      <c r="AO15" s="45"/>
      <c r="AP15" s="5">
        <v>200</v>
      </c>
      <c r="AQ15" s="5" t="s">
        <v>367</v>
      </c>
      <c r="AR15" s="5" t="s">
        <v>366</v>
      </c>
      <c r="AS15" s="5">
        <v>1</v>
      </c>
      <c r="AT15" s="5">
        <v>5</v>
      </c>
      <c r="AU15" s="69"/>
      <c r="AV15" s="73">
        <v>6288</v>
      </c>
    </row>
    <row r="16" spans="1:48">
      <c r="A16" t="s">
        <v>365</v>
      </c>
      <c r="B16" t="s">
        <v>364</v>
      </c>
      <c r="J16">
        <v>2002</v>
      </c>
      <c r="K16">
        <v>21.6</v>
      </c>
      <c r="V16" s="45">
        <v>6</v>
      </c>
      <c r="W16" s="112" t="s">
        <v>574</v>
      </c>
      <c r="X16" s="88">
        <v>44</v>
      </c>
      <c r="Y16" s="88">
        <v>621</v>
      </c>
      <c r="Z16" s="88">
        <v>701</v>
      </c>
      <c r="AA16" s="88">
        <v>1223</v>
      </c>
      <c r="AB16" s="88">
        <v>1237</v>
      </c>
      <c r="AC16" s="88">
        <v>48</v>
      </c>
      <c r="AD16" s="89">
        <f t="shared" si="0"/>
        <v>3874</v>
      </c>
      <c r="AE16" s="34"/>
      <c r="AF16" s="34"/>
      <c r="AG16" s="34"/>
      <c r="AH16" s="34"/>
      <c r="AI16" s="32"/>
      <c r="AJ16" s="34"/>
      <c r="AK16" s="34"/>
      <c r="AL16" s="34"/>
      <c r="AM16" s="101"/>
      <c r="AN16" s="38"/>
      <c r="AO16" s="45"/>
      <c r="AP16" s="5">
        <v>200</v>
      </c>
      <c r="AQ16" s="5" t="s">
        <v>34</v>
      </c>
      <c r="AR16" s="5" t="s">
        <v>362</v>
      </c>
      <c r="AS16" s="5">
        <v>1</v>
      </c>
      <c r="AT16" s="5">
        <v>1</v>
      </c>
      <c r="AU16" s="69">
        <v>0</v>
      </c>
      <c r="AV16" s="73">
        <v>3209</v>
      </c>
    </row>
    <row r="17" spans="1:48">
      <c r="A17" t="s">
        <v>361</v>
      </c>
      <c r="B17" t="s">
        <v>360</v>
      </c>
      <c r="J17">
        <v>2001</v>
      </c>
      <c r="K17">
        <v>53.3</v>
      </c>
      <c r="V17" s="45">
        <v>7</v>
      </c>
      <c r="W17" s="106" t="s">
        <v>140</v>
      </c>
      <c r="X17" s="88">
        <v>87</v>
      </c>
      <c r="Y17" s="88">
        <v>169</v>
      </c>
      <c r="Z17" s="88">
        <v>34</v>
      </c>
      <c r="AA17" s="88">
        <v>0</v>
      </c>
      <c r="AB17" s="88">
        <v>0</v>
      </c>
      <c r="AC17" s="88">
        <v>0</v>
      </c>
      <c r="AD17" s="89">
        <f t="shared" si="0"/>
        <v>290</v>
      </c>
      <c r="AF17" s="34"/>
      <c r="AH17" s="34"/>
      <c r="AJ17" s="34"/>
      <c r="AK17" s="32"/>
      <c r="AL17" s="34"/>
      <c r="AM17" s="101"/>
      <c r="AN17" s="38"/>
      <c r="AO17" s="45"/>
      <c r="AP17" s="55" t="s">
        <v>0</v>
      </c>
      <c r="AQ17" s="71"/>
      <c r="AR17" s="55"/>
      <c r="AS17" s="55"/>
      <c r="AT17" s="55"/>
      <c r="AU17" s="72"/>
      <c r="AV17" s="73">
        <f>SUM(AV15:AV16)</f>
        <v>9497</v>
      </c>
    </row>
    <row r="18" spans="1:48" ht="45">
      <c r="A18" t="s">
        <v>358</v>
      </c>
      <c r="B18" t="s">
        <v>357</v>
      </c>
      <c r="V18" s="45">
        <v>8</v>
      </c>
      <c r="W18" s="113" t="s">
        <v>138</v>
      </c>
      <c r="X18" s="88">
        <v>14</v>
      </c>
      <c r="Y18" s="88">
        <v>1048</v>
      </c>
      <c r="Z18" s="88">
        <v>311</v>
      </c>
      <c r="AA18" s="88">
        <v>0</v>
      </c>
      <c r="AB18" s="88">
        <v>0</v>
      </c>
      <c r="AC18" s="88">
        <v>0</v>
      </c>
      <c r="AD18" s="89">
        <f t="shared" si="0"/>
        <v>1373</v>
      </c>
      <c r="AF18" s="34"/>
      <c r="AG18" s="34"/>
      <c r="AH18" s="34"/>
      <c r="AI18" s="84"/>
      <c r="AJ18" s="34"/>
      <c r="AK18" s="34"/>
      <c r="AL18" s="34"/>
      <c r="AM18" s="101"/>
      <c r="AN18" s="38"/>
      <c r="AO18" s="45" t="s">
        <v>3</v>
      </c>
      <c r="AP18" s="5">
        <v>421</v>
      </c>
      <c r="AQ18" s="5" t="s">
        <v>356</v>
      </c>
      <c r="AR18" s="75" t="s">
        <v>352</v>
      </c>
      <c r="AS18" s="5"/>
      <c r="AT18" s="5">
        <v>2</v>
      </c>
      <c r="AU18" s="69">
        <v>26743</v>
      </c>
      <c r="AV18" s="70">
        <v>53486</v>
      </c>
    </row>
    <row r="19" spans="1:48" ht="45">
      <c r="J19" t="s">
        <v>355</v>
      </c>
      <c r="K19">
        <v>165.1</v>
      </c>
      <c r="V19" s="45">
        <v>9</v>
      </c>
      <c r="W19" s="114" t="s">
        <v>135</v>
      </c>
      <c r="X19" s="88">
        <v>289</v>
      </c>
      <c r="Y19" s="88">
        <v>1136</v>
      </c>
      <c r="Z19" s="88">
        <v>1180</v>
      </c>
      <c r="AA19" s="88">
        <v>1176</v>
      </c>
      <c r="AB19" s="88">
        <v>1239</v>
      </c>
      <c r="AC19" s="88">
        <v>943</v>
      </c>
      <c r="AD19" s="89">
        <f t="shared" si="0"/>
        <v>5963</v>
      </c>
      <c r="AE19" s="85">
        <f>SUM(AL122,AL123,AL124,AL166,AL167,AL168,AL169,AL170,AL171,AL172,AL174)</f>
        <v>9030000</v>
      </c>
      <c r="AF19" s="34"/>
      <c r="AG19" s="34"/>
      <c r="AH19" s="32"/>
      <c r="AI19" s="34"/>
      <c r="AJ19" s="34"/>
      <c r="AK19" s="34"/>
      <c r="AL19" s="34"/>
      <c r="AM19" s="101"/>
      <c r="AO19" s="45"/>
      <c r="AP19" s="5">
        <v>421</v>
      </c>
      <c r="AQ19" s="5" t="s">
        <v>353</v>
      </c>
      <c r="AR19" s="75" t="s">
        <v>352</v>
      </c>
      <c r="AS19" s="5"/>
      <c r="AT19" s="5">
        <v>8</v>
      </c>
      <c r="AU19" s="69">
        <v>15000</v>
      </c>
      <c r="AV19" s="70">
        <v>120000</v>
      </c>
    </row>
    <row r="20" spans="1:48" ht="45">
      <c r="J20" t="s">
        <v>351</v>
      </c>
      <c r="K20">
        <v>214.5</v>
      </c>
      <c r="V20" s="45"/>
      <c r="W20" s="91" t="s">
        <v>575</v>
      </c>
      <c r="X20" s="92">
        <f t="shared" ref="X20:AC20" si="1">SUM(X11:X19)*0.1653</f>
        <v>1411.9926</v>
      </c>
      <c r="Y20" s="92">
        <f t="shared" si="1"/>
        <v>1277.2731000000001</v>
      </c>
      <c r="Z20" s="92">
        <f t="shared" si="1"/>
        <v>434.24310000000003</v>
      </c>
      <c r="AA20" s="92">
        <f t="shared" si="1"/>
        <v>456.39330000000001</v>
      </c>
      <c r="AB20" s="92">
        <f t="shared" si="1"/>
        <v>469.9479</v>
      </c>
      <c r="AC20" s="92">
        <f t="shared" si="1"/>
        <v>205.79849999999999</v>
      </c>
      <c r="AD20" s="89">
        <f t="shared" si="0"/>
        <v>4255.6485000000002</v>
      </c>
      <c r="AF20" s="34"/>
      <c r="AI20" s="34"/>
      <c r="AJ20" s="32"/>
      <c r="AK20" s="34"/>
      <c r="AL20" s="34"/>
      <c r="AM20" s="101"/>
      <c r="AO20" s="45"/>
      <c r="AP20" s="5">
        <v>422</v>
      </c>
      <c r="AQ20" s="5" t="s">
        <v>349</v>
      </c>
      <c r="AR20" s="75" t="s">
        <v>348</v>
      </c>
      <c r="AS20" s="5"/>
      <c r="AT20" s="5">
        <v>5</v>
      </c>
      <c r="AU20" s="69">
        <v>119</v>
      </c>
      <c r="AV20" s="70">
        <v>595</v>
      </c>
    </row>
    <row r="21" spans="1:48" ht="30">
      <c r="J21" t="s">
        <v>347</v>
      </c>
      <c r="K21">
        <v>222.1</v>
      </c>
      <c r="V21" s="269" t="s">
        <v>130</v>
      </c>
      <c r="W21" s="270"/>
      <c r="X21" s="93">
        <f t="shared" ref="X21:AC21" si="2">SUM(X11:X20)</f>
        <v>9953.9925999999996</v>
      </c>
      <c r="Y21" s="93">
        <f t="shared" si="2"/>
        <v>9004.2731000000003</v>
      </c>
      <c r="Z21" s="93">
        <f t="shared" si="2"/>
        <v>3061.2431000000001</v>
      </c>
      <c r="AA21" s="93">
        <f t="shared" si="2"/>
        <v>3217.3933000000002</v>
      </c>
      <c r="AB21" s="93">
        <f t="shared" si="2"/>
        <v>3312.9479000000001</v>
      </c>
      <c r="AC21" s="93">
        <f t="shared" si="2"/>
        <v>1450.7984999999999</v>
      </c>
      <c r="AD21" s="89">
        <f t="shared" si="0"/>
        <v>30000.648499999999</v>
      </c>
      <c r="AE21" s="84"/>
      <c r="AF21" s="34"/>
      <c r="AG21" s="32"/>
      <c r="AH21" s="34"/>
      <c r="AI21" s="34"/>
      <c r="AJ21" s="34"/>
      <c r="AK21" s="34"/>
      <c r="AL21" s="34"/>
      <c r="AM21" s="101"/>
      <c r="AO21" s="45"/>
      <c r="AP21" s="5">
        <v>422</v>
      </c>
      <c r="AQ21" s="5" t="s">
        <v>346</v>
      </c>
      <c r="AR21" s="75" t="s">
        <v>345</v>
      </c>
      <c r="AS21" s="5"/>
      <c r="AT21" s="5">
        <v>8</v>
      </c>
      <c r="AU21" s="69">
        <v>1034</v>
      </c>
      <c r="AV21" s="70">
        <v>8270</v>
      </c>
    </row>
    <row r="22" spans="1:48" ht="30">
      <c r="V22" s="45"/>
      <c r="W22" s="75" t="s">
        <v>127</v>
      </c>
      <c r="X22" s="88">
        <v>77</v>
      </c>
      <c r="Y22" s="88">
        <v>77</v>
      </c>
      <c r="Z22" s="88">
        <v>77</v>
      </c>
      <c r="AA22" s="88">
        <v>77</v>
      </c>
      <c r="AB22" s="88">
        <v>77</v>
      </c>
      <c r="AC22" s="88">
        <v>77</v>
      </c>
      <c r="AD22" s="89">
        <f t="shared" si="0"/>
        <v>462</v>
      </c>
      <c r="AE22" s="34"/>
      <c r="AF22" s="34"/>
      <c r="AG22" s="34"/>
      <c r="AH22" s="34"/>
      <c r="AI22" s="84"/>
      <c r="AJ22" s="34"/>
      <c r="AK22" s="34"/>
      <c r="AL22" s="34"/>
      <c r="AM22" s="101"/>
      <c r="AN22" s="38"/>
      <c r="AO22" s="45"/>
      <c r="AP22" s="5">
        <v>422</v>
      </c>
      <c r="AQ22" s="5" t="s">
        <v>343</v>
      </c>
      <c r="AR22" s="75" t="s">
        <v>29</v>
      </c>
      <c r="AS22" s="5"/>
      <c r="AT22" s="5">
        <v>5</v>
      </c>
      <c r="AU22" s="69">
        <v>100</v>
      </c>
      <c r="AV22" s="70">
        <v>500</v>
      </c>
    </row>
    <row r="23" spans="1:48" ht="60">
      <c r="V23" s="45"/>
      <c r="W23" s="90" t="s">
        <v>124</v>
      </c>
      <c r="X23" s="88">
        <v>20</v>
      </c>
      <c r="Y23" s="88">
        <v>20</v>
      </c>
      <c r="Z23" s="88">
        <v>20</v>
      </c>
      <c r="AA23" s="88">
        <v>20</v>
      </c>
      <c r="AB23" s="88">
        <v>20</v>
      </c>
      <c r="AC23" s="88">
        <v>20</v>
      </c>
      <c r="AD23" s="89">
        <f t="shared" si="0"/>
        <v>120</v>
      </c>
      <c r="AE23" s="34"/>
      <c r="AF23" s="34"/>
      <c r="AG23" s="34"/>
      <c r="AH23" s="34"/>
      <c r="AI23" s="34"/>
      <c r="AJ23" s="34"/>
      <c r="AK23" s="34"/>
      <c r="AL23" s="34"/>
      <c r="AM23" s="101"/>
      <c r="AN23" s="38"/>
      <c r="AO23" s="45"/>
      <c r="AP23" s="5">
        <v>422</v>
      </c>
      <c r="AQ23" s="5" t="s">
        <v>341</v>
      </c>
      <c r="AR23" s="75" t="s">
        <v>340</v>
      </c>
      <c r="AS23" s="5"/>
      <c r="AT23" s="5">
        <v>10</v>
      </c>
      <c r="AU23" s="69">
        <v>600</v>
      </c>
      <c r="AV23" s="70">
        <v>6000</v>
      </c>
    </row>
    <row r="24" spans="1:48" ht="45">
      <c r="A24" t="s">
        <v>339</v>
      </c>
      <c r="B24" t="s">
        <v>338</v>
      </c>
      <c r="J24" t="s">
        <v>339</v>
      </c>
      <c r="K24" t="s">
        <v>338</v>
      </c>
      <c r="V24" s="45"/>
      <c r="W24" s="90" t="s">
        <v>121</v>
      </c>
      <c r="X24" s="88">
        <v>88</v>
      </c>
      <c r="Y24" s="88">
        <v>88</v>
      </c>
      <c r="Z24" s="88">
        <v>0</v>
      </c>
      <c r="AA24" s="88">
        <v>0</v>
      </c>
      <c r="AB24" s="88">
        <v>0</v>
      </c>
      <c r="AC24" s="88">
        <v>0</v>
      </c>
      <c r="AD24" s="89">
        <f t="shared" si="0"/>
        <v>176</v>
      </c>
      <c r="AJ24" s="34"/>
      <c r="AK24" s="34"/>
      <c r="AL24" s="34"/>
      <c r="AM24" s="101"/>
      <c r="AN24" s="38"/>
      <c r="AO24" s="45"/>
      <c r="AP24" s="5">
        <v>422</v>
      </c>
      <c r="AQ24" s="5" t="s">
        <v>336</v>
      </c>
      <c r="AR24" s="75" t="s">
        <v>335</v>
      </c>
      <c r="AS24" s="5"/>
      <c r="AT24" s="5">
        <v>10</v>
      </c>
      <c r="AU24" s="69">
        <v>1250</v>
      </c>
      <c r="AV24" s="70">
        <v>12500</v>
      </c>
    </row>
    <row r="25" spans="1:48" ht="45">
      <c r="A25" t="s">
        <v>334</v>
      </c>
      <c r="B25">
        <v>0.42367346938775508</v>
      </c>
      <c r="J25" t="s">
        <v>333</v>
      </c>
      <c r="K25">
        <v>0.41836734693877548</v>
      </c>
      <c r="V25" s="45"/>
      <c r="W25" s="90" t="s">
        <v>117</v>
      </c>
      <c r="X25" s="93">
        <f t="shared" ref="X25:AC25" si="3">SUM(X22:X24)</f>
        <v>185</v>
      </c>
      <c r="Y25" s="93">
        <f t="shared" si="3"/>
        <v>185</v>
      </c>
      <c r="Z25" s="93">
        <f t="shared" si="3"/>
        <v>97</v>
      </c>
      <c r="AA25" s="93">
        <f t="shared" si="3"/>
        <v>97</v>
      </c>
      <c r="AB25" s="93">
        <f t="shared" si="3"/>
        <v>97</v>
      </c>
      <c r="AC25" s="93">
        <f t="shared" si="3"/>
        <v>97</v>
      </c>
      <c r="AD25" s="89">
        <f t="shared" si="0"/>
        <v>758</v>
      </c>
      <c r="AE25" s="34"/>
      <c r="AF25" s="34"/>
      <c r="AG25" s="34"/>
      <c r="AH25" s="34"/>
      <c r="AI25" s="34"/>
      <c r="AJ25" s="34"/>
      <c r="AK25" s="34"/>
      <c r="AL25" s="34"/>
      <c r="AM25" s="101"/>
      <c r="AN25" s="38"/>
      <c r="AO25" s="45"/>
      <c r="AP25" s="5">
        <v>422</v>
      </c>
      <c r="AQ25" s="5" t="s">
        <v>332</v>
      </c>
      <c r="AR25" s="75" t="s">
        <v>331</v>
      </c>
      <c r="AS25" s="5"/>
      <c r="AT25" s="5">
        <v>4</v>
      </c>
      <c r="AU25" s="69">
        <v>330</v>
      </c>
      <c r="AV25" s="70">
        <v>1320</v>
      </c>
    </row>
    <row r="26" spans="1:48" ht="27.6" customHeight="1">
      <c r="A26" t="s">
        <v>330</v>
      </c>
      <c r="B26">
        <v>0.42367346938775508</v>
      </c>
      <c r="J26" t="s">
        <v>329</v>
      </c>
      <c r="K26">
        <v>0.41836734693877548</v>
      </c>
      <c r="V26" s="264" t="s">
        <v>576</v>
      </c>
      <c r="W26" s="265"/>
      <c r="X26" s="94">
        <v>0</v>
      </c>
      <c r="Y26" s="94">
        <v>0</v>
      </c>
      <c r="Z26" s="94">
        <v>0</v>
      </c>
      <c r="AA26" s="94">
        <v>0</v>
      </c>
      <c r="AB26" s="94">
        <v>0</v>
      </c>
      <c r="AC26" s="94">
        <v>0</v>
      </c>
      <c r="AD26" s="89">
        <f t="shared" si="0"/>
        <v>0</v>
      </c>
      <c r="AE26" s="34"/>
      <c r="AF26" s="34"/>
      <c r="AG26" s="34"/>
      <c r="AH26" s="34"/>
      <c r="AI26" s="34"/>
      <c r="AJ26" s="84"/>
      <c r="AK26" s="34"/>
      <c r="AL26" s="34"/>
      <c r="AM26" s="101"/>
      <c r="AN26" s="38"/>
      <c r="AO26" s="45"/>
      <c r="AP26" s="5">
        <v>422</v>
      </c>
      <c r="AQ26" s="5" t="s">
        <v>327</v>
      </c>
      <c r="AR26" s="5" t="s">
        <v>249</v>
      </c>
      <c r="AS26" s="5"/>
      <c r="AT26" s="5">
        <v>4</v>
      </c>
      <c r="AU26" s="69">
        <v>275</v>
      </c>
      <c r="AV26" s="70">
        <v>1100</v>
      </c>
    </row>
    <row r="27" spans="1:48">
      <c r="A27" t="s">
        <v>326</v>
      </c>
      <c r="B27">
        <v>0.18367346938775508</v>
      </c>
      <c r="J27" t="s">
        <v>325</v>
      </c>
      <c r="K27">
        <v>0.26530612244897955</v>
      </c>
      <c r="V27" s="45"/>
      <c r="W27" s="33"/>
      <c r="X27" s="94">
        <v>0</v>
      </c>
      <c r="Y27" s="94">
        <v>0</v>
      </c>
      <c r="Z27" s="94">
        <v>0</v>
      </c>
      <c r="AA27" s="94">
        <v>0</v>
      </c>
      <c r="AB27" s="94">
        <v>0</v>
      </c>
      <c r="AC27" s="94">
        <v>0</v>
      </c>
      <c r="AD27" s="89">
        <f t="shared" si="0"/>
        <v>0</v>
      </c>
      <c r="AE27" s="34"/>
      <c r="AF27" s="34"/>
      <c r="AG27" s="34"/>
      <c r="AH27" s="34"/>
      <c r="AI27" s="34"/>
      <c r="AJ27" s="34"/>
      <c r="AK27" s="34"/>
      <c r="AL27" s="34"/>
      <c r="AM27" s="101"/>
      <c r="AN27" s="38"/>
      <c r="AO27" s="45"/>
      <c r="AP27" s="5">
        <v>422</v>
      </c>
      <c r="AQ27" s="5" t="s">
        <v>324</v>
      </c>
      <c r="AR27" s="5" t="s">
        <v>249</v>
      </c>
      <c r="AS27" s="5"/>
      <c r="AT27" s="5">
        <v>5</v>
      </c>
      <c r="AU27" s="69">
        <v>125</v>
      </c>
      <c r="AV27" s="70">
        <v>625</v>
      </c>
    </row>
    <row r="28" spans="1:48">
      <c r="A28" t="s">
        <v>314</v>
      </c>
      <c r="B28">
        <v>0.2857142857142857</v>
      </c>
      <c r="J28" t="s">
        <v>323</v>
      </c>
      <c r="K28">
        <v>0.26530612244897955</v>
      </c>
      <c r="V28" s="45"/>
      <c r="W28" s="33" t="s">
        <v>577</v>
      </c>
      <c r="X28" s="95">
        <f t="shared" ref="X28:AC28" si="4">SUM(X26:X27)</f>
        <v>0</v>
      </c>
      <c r="Y28" s="95">
        <f t="shared" si="4"/>
        <v>0</v>
      </c>
      <c r="Z28" s="95">
        <f t="shared" si="4"/>
        <v>0</v>
      </c>
      <c r="AA28" s="95">
        <f t="shared" si="4"/>
        <v>0</v>
      </c>
      <c r="AB28" s="95">
        <f t="shared" si="4"/>
        <v>0</v>
      </c>
      <c r="AC28" s="95">
        <f t="shared" si="4"/>
        <v>0</v>
      </c>
      <c r="AD28" s="89">
        <f t="shared" si="0"/>
        <v>0</v>
      </c>
      <c r="AE28" s="34"/>
      <c r="AF28" s="84"/>
      <c r="AG28" s="34"/>
      <c r="AH28" s="34"/>
      <c r="AI28" s="34"/>
      <c r="AJ28" s="34"/>
      <c r="AK28" s="34"/>
      <c r="AL28" s="34"/>
      <c r="AM28" s="101"/>
      <c r="AN28" s="38"/>
      <c r="AO28" s="45"/>
      <c r="AP28" s="5">
        <v>422</v>
      </c>
      <c r="AQ28" s="5" t="s">
        <v>321</v>
      </c>
      <c r="AR28" s="5" t="s">
        <v>249</v>
      </c>
      <c r="AS28" s="5"/>
      <c r="AT28" s="5">
        <v>10</v>
      </c>
      <c r="AU28" s="69">
        <v>850</v>
      </c>
      <c r="AV28" s="70">
        <v>8500</v>
      </c>
    </row>
    <row r="29" spans="1:48">
      <c r="A29" t="s">
        <v>312</v>
      </c>
      <c r="B29">
        <v>0.40816326530612246</v>
      </c>
      <c r="J29" t="s">
        <v>320</v>
      </c>
      <c r="K29">
        <v>0.27999999999999997</v>
      </c>
      <c r="V29" s="49"/>
      <c r="W29" s="96" t="s">
        <v>113</v>
      </c>
      <c r="X29" s="97">
        <f t="shared" ref="X29:AC29" si="5">SUM(X21+X25)</f>
        <v>10138.9926</v>
      </c>
      <c r="Y29" s="97">
        <f t="shared" si="5"/>
        <v>9189.2731000000003</v>
      </c>
      <c r="Z29" s="97">
        <f t="shared" si="5"/>
        <v>3158.2431000000001</v>
      </c>
      <c r="AA29" s="97">
        <f t="shared" si="5"/>
        <v>3314.3933000000002</v>
      </c>
      <c r="AB29" s="97">
        <f t="shared" si="5"/>
        <v>3409.9479000000001</v>
      </c>
      <c r="AC29" s="97">
        <f t="shared" si="5"/>
        <v>1547.7984999999999</v>
      </c>
      <c r="AD29" s="98">
        <f t="shared" si="0"/>
        <v>30758.648499999999</v>
      </c>
      <c r="AE29" s="34"/>
      <c r="AF29" s="34"/>
      <c r="AG29" s="34"/>
      <c r="AH29" s="34"/>
      <c r="AI29" s="34"/>
      <c r="AJ29" s="84"/>
      <c r="AK29" s="34"/>
      <c r="AL29" s="34"/>
      <c r="AM29" s="101"/>
      <c r="AN29" s="38"/>
      <c r="AO29" s="45"/>
      <c r="AP29" s="5">
        <v>422</v>
      </c>
      <c r="AQ29" s="5" t="s">
        <v>319</v>
      </c>
      <c r="AR29" s="5" t="s">
        <v>249</v>
      </c>
      <c r="AS29" s="5"/>
      <c r="AT29" s="5">
        <v>32</v>
      </c>
      <c r="AU29" s="69">
        <v>377</v>
      </c>
      <c r="AV29" s="70">
        <v>12064</v>
      </c>
    </row>
    <row r="30" spans="1:48">
      <c r="A30" t="s">
        <v>318</v>
      </c>
      <c r="B30">
        <v>0.52775510204081633</v>
      </c>
      <c r="J30" t="s">
        <v>317</v>
      </c>
      <c r="K30">
        <v>0.48</v>
      </c>
      <c r="W30" s="34"/>
      <c r="X30" s="34"/>
      <c r="Y30" s="34"/>
      <c r="Z30" s="34"/>
      <c r="AA30" s="34"/>
      <c r="AB30" s="34"/>
      <c r="AC30" s="34"/>
      <c r="AD30" s="34"/>
      <c r="AE30" s="34"/>
      <c r="AF30" s="34"/>
      <c r="AG30" s="34"/>
      <c r="AH30" s="34"/>
      <c r="AI30" s="34"/>
      <c r="AJ30" s="34"/>
      <c r="AK30" s="34"/>
      <c r="AL30" s="34"/>
      <c r="AM30" s="101"/>
      <c r="AN30" s="38"/>
      <c r="AO30" s="45"/>
      <c r="AP30" s="5">
        <v>422</v>
      </c>
      <c r="AQ30" s="5" t="s">
        <v>316</v>
      </c>
      <c r="AR30" s="5" t="s">
        <v>249</v>
      </c>
      <c r="AS30" s="5"/>
      <c r="AT30" s="5">
        <v>100</v>
      </c>
      <c r="AU30" s="69">
        <v>117</v>
      </c>
      <c r="AV30" s="70">
        <v>11726</v>
      </c>
    </row>
    <row r="31" spans="1:48">
      <c r="A31" t="s">
        <v>315</v>
      </c>
      <c r="B31">
        <v>0.22448979591836735</v>
      </c>
      <c r="J31" t="s">
        <v>314</v>
      </c>
      <c r="K31">
        <v>0.2857142857142857</v>
      </c>
      <c r="W31" s="34"/>
      <c r="X31" s="34"/>
      <c r="Y31" s="34"/>
      <c r="Z31" s="34"/>
      <c r="AA31" s="34"/>
      <c r="AB31" s="34"/>
      <c r="AC31" s="34"/>
      <c r="AD31" s="34"/>
      <c r="AE31" s="34"/>
      <c r="AF31" s="34"/>
      <c r="AG31" s="34"/>
      <c r="AH31" s="34"/>
      <c r="AI31" s="34"/>
      <c r="AJ31" s="34"/>
      <c r="AK31" s="34"/>
      <c r="AL31" s="34"/>
      <c r="AM31" s="101"/>
      <c r="AN31" s="38"/>
      <c r="AO31" s="45"/>
      <c r="AP31" s="5">
        <v>422</v>
      </c>
      <c r="AQ31" s="5" t="s">
        <v>313</v>
      </c>
      <c r="AR31" s="5" t="s">
        <v>249</v>
      </c>
      <c r="AS31" s="5"/>
      <c r="AT31" s="5">
        <v>10</v>
      </c>
      <c r="AU31" s="69">
        <v>998</v>
      </c>
      <c r="AV31" s="70">
        <v>9980</v>
      </c>
    </row>
    <row r="32" spans="1:48">
      <c r="A32" t="s">
        <v>308</v>
      </c>
      <c r="B32">
        <v>0.2857142857142857</v>
      </c>
      <c r="J32" t="s">
        <v>312</v>
      </c>
      <c r="K32">
        <v>0.40816326530612246</v>
      </c>
      <c r="W32" s="34"/>
      <c r="X32" s="34"/>
      <c r="Y32" s="34"/>
      <c r="Z32" s="34"/>
      <c r="AA32" s="34"/>
      <c r="AB32" s="34"/>
      <c r="AC32" s="34"/>
      <c r="AD32" s="34"/>
      <c r="AE32" s="34"/>
      <c r="AF32" s="34"/>
      <c r="AG32" s="34"/>
      <c r="AH32" s="34"/>
      <c r="AI32" s="34"/>
      <c r="AJ32" s="34"/>
      <c r="AK32" s="34"/>
      <c r="AL32" s="34"/>
      <c r="AM32" s="101"/>
      <c r="AN32" s="38"/>
      <c r="AO32" s="45"/>
      <c r="AP32" s="5">
        <v>422</v>
      </c>
      <c r="AQ32" s="5" t="s">
        <v>310</v>
      </c>
      <c r="AR32" s="5" t="s">
        <v>249</v>
      </c>
      <c r="AS32" s="5"/>
      <c r="AT32" s="5">
        <v>5</v>
      </c>
      <c r="AU32" s="69">
        <v>2980</v>
      </c>
      <c r="AV32" s="70">
        <v>14900</v>
      </c>
    </row>
    <row r="33" spans="1:48">
      <c r="A33" t="s">
        <v>309</v>
      </c>
      <c r="B33">
        <v>0.26530612244897955</v>
      </c>
      <c r="J33" t="s">
        <v>308</v>
      </c>
      <c r="K33">
        <v>0.2857142857142857</v>
      </c>
      <c r="W33" s="34"/>
      <c r="X33" s="34"/>
      <c r="Y33" s="34"/>
      <c r="Z33" s="34"/>
      <c r="AA33" s="34"/>
      <c r="AB33" s="34"/>
      <c r="AC33" s="34"/>
      <c r="AD33" s="34"/>
      <c r="AE33" s="34"/>
      <c r="AF33" s="34"/>
      <c r="AG33" s="34"/>
      <c r="AH33" s="34"/>
      <c r="AI33" s="34"/>
      <c r="AJ33" s="34"/>
      <c r="AK33" s="34"/>
      <c r="AL33" s="34"/>
      <c r="AM33" s="101"/>
      <c r="AN33" s="38"/>
      <c r="AO33" s="45"/>
      <c r="AP33" s="5">
        <v>422</v>
      </c>
      <c r="AQ33" s="5" t="s">
        <v>306</v>
      </c>
      <c r="AR33" s="5" t="s">
        <v>29</v>
      </c>
      <c r="AS33" s="5"/>
      <c r="AT33" s="5">
        <v>4</v>
      </c>
      <c r="AU33" s="69">
        <v>5000</v>
      </c>
      <c r="AV33" s="70">
        <v>20000</v>
      </c>
    </row>
    <row r="34" spans="1:48">
      <c r="A34" t="s">
        <v>305</v>
      </c>
      <c r="B34">
        <v>0.26530612244897955</v>
      </c>
      <c r="J34" t="s">
        <v>302</v>
      </c>
      <c r="K34">
        <v>0.40816326530612246</v>
      </c>
      <c r="W34" s="34"/>
      <c r="X34" s="34"/>
      <c r="Y34" s="34"/>
      <c r="Z34" s="34"/>
      <c r="AA34" s="34"/>
      <c r="AB34" s="34"/>
      <c r="AC34" s="34"/>
      <c r="AD34" s="34"/>
      <c r="AE34" s="34"/>
      <c r="AF34" s="34"/>
      <c r="AG34" s="34"/>
      <c r="AH34" s="34"/>
      <c r="AI34" s="34"/>
      <c r="AJ34" s="34"/>
      <c r="AK34" s="34"/>
      <c r="AL34" s="34"/>
      <c r="AM34" s="101"/>
      <c r="AN34" s="38"/>
      <c r="AO34" s="45"/>
      <c r="AP34" s="5">
        <v>423</v>
      </c>
      <c r="AQ34" s="5" t="s">
        <v>303</v>
      </c>
      <c r="AR34" s="5" t="s">
        <v>249</v>
      </c>
      <c r="AS34" s="5"/>
      <c r="AT34" s="5">
        <v>5</v>
      </c>
      <c r="AU34" s="69">
        <v>1625</v>
      </c>
      <c r="AV34" s="70">
        <v>8125</v>
      </c>
    </row>
    <row r="35" spans="1:48">
      <c r="A35" t="s">
        <v>302</v>
      </c>
      <c r="B35">
        <v>0.40816326530612246</v>
      </c>
      <c r="V35" s="40"/>
      <c r="W35" s="252" t="s">
        <v>434</v>
      </c>
      <c r="X35" s="252"/>
      <c r="Y35" s="252"/>
      <c r="Z35" s="252"/>
      <c r="AA35" s="252"/>
      <c r="AB35" s="252"/>
      <c r="AC35" s="252"/>
      <c r="AD35" s="252"/>
      <c r="AE35" s="252"/>
      <c r="AF35" s="252"/>
      <c r="AG35" s="252"/>
      <c r="AH35" s="252"/>
      <c r="AI35" s="252"/>
      <c r="AJ35" s="252"/>
      <c r="AK35" s="252"/>
      <c r="AL35" s="54" t="s">
        <v>452</v>
      </c>
      <c r="AM35" s="102"/>
      <c r="AN35" s="38"/>
      <c r="AO35" s="45"/>
      <c r="AP35" s="5">
        <v>423</v>
      </c>
      <c r="AQ35" s="5" t="s">
        <v>301</v>
      </c>
      <c r="AR35" s="5" t="s">
        <v>249</v>
      </c>
      <c r="AS35" s="5"/>
      <c r="AT35" s="5">
        <v>5</v>
      </c>
      <c r="AU35" s="69">
        <v>2995</v>
      </c>
      <c r="AV35" s="70">
        <v>14975</v>
      </c>
    </row>
    <row r="36" spans="1:48">
      <c r="A36" t="s">
        <v>300</v>
      </c>
      <c r="B36">
        <v>0.22448979591836735</v>
      </c>
      <c r="V36" s="45"/>
      <c r="W36" s="5" t="s">
        <v>414</v>
      </c>
      <c r="X36" s="5" t="s">
        <v>421</v>
      </c>
      <c r="Y36" s="5" t="s">
        <v>420</v>
      </c>
      <c r="Z36" s="48" t="s">
        <v>452</v>
      </c>
      <c r="AA36" s="5" t="s">
        <v>419</v>
      </c>
      <c r="AB36" s="48" t="s">
        <v>452</v>
      </c>
      <c r="AC36" s="5" t="s">
        <v>418</v>
      </c>
      <c r="AD36" s="48" t="s">
        <v>452</v>
      </c>
      <c r="AE36" s="5" t="s">
        <v>417</v>
      </c>
      <c r="AF36" s="48" t="s">
        <v>452</v>
      </c>
      <c r="AG36" s="5" t="s">
        <v>416</v>
      </c>
      <c r="AH36" s="48" t="s">
        <v>452</v>
      </c>
      <c r="AI36" s="5" t="s">
        <v>415</v>
      </c>
      <c r="AJ36" s="48" t="s">
        <v>452</v>
      </c>
      <c r="AK36" s="55" t="s">
        <v>0</v>
      </c>
      <c r="AL36" s="43"/>
      <c r="AM36" s="103"/>
      <c r="AN36" s="38"/>
      <c r="AO36" s="45"/>
      <c r="AP36" s="5">
        <v>423</v>
      </c>
      <c r="AQ36" s="5" t="s">
        <v>298</v>
      </c>
      <c r="AR36" s="5" t="s">
        <v>249</v>
      </c>
      <c r="AS36" s="5"/>
      <c r="AT36" s="5">
        <v>5</v>
      </c>
      <c r="AU36" s="69">
        <v>13455</v>
      </c>
      <c r="AV36" s="70">
        <v>67275</v>
      </c>
    </row>
    <row r="37" spans="1:48">
      <c r="B37">
        <f>SUM(B25:B36)</f>
        <v>3.9261224489795916</v>
      </c>
      <c r="K37">
        <f>SUM(K25:K34)</f>
        <v>3.515102040816326</v>
      </c>
      <c r="V37" s="45"/>
      <c r="W37" s="5">
        <v>110</v>
      </c>
      <c r="X37" s="5" t="s">
        <v>407</v>
      </c>
      <c r="Y37" s="56">
        <v>3</v>
      </c>
      <c r="Z37" s="48">
        <f>Y37*MCost</f>
        <v>50000</v>
      </c>
      <c r="AA37" s="56">
        <v>6.77</v>
      </c>
      <c r="AB37" s="48">
        <f>AA37*MCost</f>
        <v>112833.33333333333</v>
      </c>
      <c r="AC37" s="56">
        <v>3</v>
      </c>
      <c r="AD37" s="48">
        <f>AC37*MCost</f>
        <v>50000</v>
      </c>
      <c r="AE37" s="56">
        <v>3</v>
      </c>
      <c r="AF37" s="48">
        <f>AE37*MCost</f>
        <v>50000</v>
      </c>
      <c r="AG37" s="56">
        <v>3</v>
      </c>
      <c r="AH37" s="48">
        <f>AG37*MCost</f>
        <v>50000</v>
      </c>
      <c r="AI37" s="56">
        <v>2.25</v>
      </c>
      <c r="AJ37" s="48">
        <f>AI37*MCost</f>
        <v>37500</v>
      </c>
      <c r="AK37" s="57">
        <f t="shared" ref="AK37:AL100" si="6">SUM(Y37,AA37,AC37,AE37,AG37,AI37)</f>
        <v>21.02</v>
      </c>
      <c r="AL37" s="58">
        <f t="shared" si="6"/>
        <v>350333.33333333331</v>
      </c>
      <c r="AM37" s="115" t="s">
        <v>407</v>
      </c>
      <c r="AN37" s="38"/>
      <c r="AO37" s="45"/>
      <c r="AP37" s="5">
        <v>423</v>
      </c>
      <c r="AQ37" s="5" t="s">
        <v>297</v>
      </c>
      <c r="AR37" s="5" t="s">
        <v>249</v>
      </c>
      <c r="AS37" s="5"/>
      <c r="AT37" s="5">
        <v>1</v>
      </c>
      <c r="AU37" s="69">
        <v>3500</v>
      </c>
      <c r="AV37" s="70">
        <v>3500</v>
      </c>
    </row>
    <row r="38" spans="1:48">
      <c r="V38" s="45"/>
      <c r="W38" s="5">
        <v>120</v>
      </c>
      <c r="X38" s="5" t="s">
        <v>400</v>
      </c>
      <c r="Y38" s="56">
        <v>1.6</v>
      </c>
      <c r="Z38" s="48">
        <f>Y38*TCost</f>
        <v>10666.666666666668</v>
      </c>
      <c r="AA38" s="56">
        <v>2</v>
      </c>
      <c r="AB38" s="48">
        <f>AA38*TCost</f>
        <v>13333.333333333334</v>
      </c>
      <c r="AC38" s="56">
        <v>0.6</v>
      </c>
      <c r="AD38" s="48">
        <f>AC38*TCost</f>
        <v>4000</v>
      </c>
      <c r="AE38" s="56">
        <v>0.6</v>
      </c>
      <c r="AF38" s="48">
        <f>AE38*TCost</f>
        <v>4000</v>
      </c>
      <c r="AG38" s="56">
        <v>0.6</v>
      </c>
      <c r="AH38" s="48">
        <f>AG38*TCost</f>
        <v>4000</v>
      </c>
      <c r="AI38" s="56">
        <v>0.45</v>
      </c>
      <c r="AJ38" s="48">
        <f>AI38*TCost</f>
        <v>3000</v>
      </c>
      <c r="AK38" s="57">
        <f t="shared" si="6"/>
        <v>5.85</v>
      </c>
      <c r="AL38" s="58">
        <f t="shared" si="6"/>
        <v>39000</v>
      </c>
      <c r="AM38" s="115" t="s">
        <v>400</v>
      </c>
      <c r="AN38" s="38"/>
      <c r="AO38" s="45"/>
      <c r="AP38" s="5">
        <v>423</v>
      </c>
      <c r="AQ38" s="5" t="s">
        <v>295</v>
      </c>
      <c r="AR38" s="5" t="s">
        <v>249</v>
      </c>
      <c r="AS38" s="5"/>
      <c r="AT38" s="5">
        <v>1</v>
      </c>
      <c r="AU38" s="69">
        <v>500</v>
      </c>
      <c r="AV38" s="70">
        <v>500</v>
      </c>
    </row>
    <row r="39" spans="1:48">
      <c r="V39" s="45"/>
      <c r="W39" s="5">
        <v>120</v>
      </c>
      <c r="X39" s="5" t="s">
        <v>394</v>
      </c>
      <c r="Y39" s="56">
        <v>0.95</v>
      </c>
      <c r="Z39" s="48">
        <f>Y39*MCost</f>
        <v>15833.333333333334</v>
      </c>
      <c r="AA39" s="56">
        <v>1.9</v>
      </c>
      <c r="AB39" s="48">
        <f>AA39*MCost</f>
        <v>31666.666666666668</v>
      </c>
      <c r="AC39" s="56">
        <v>0</v>
      </c>
      <c r="AD39" s="48" t="s">
        <v>40</v>
      </c>
      <c r="AE39" s="56">
        <v>0</v>
      </c>
      <c r="AF39" s="48" t="s">
        <v>40</v>
      </c>
      <c r="AG39" s="56">
        <v>0</v>
      </c>
      <c r="AH39" s="48" t="s">
        <v>40</v>
      </c>
      <c r="AI39" s="56">
        <v>0</v>
      </c>
      <c r="AJ39" s="48" t="s">
        <v>40</v>
      </c>
      <c r="AK39" s="57">
        <f t="shared" si="6"/>
        <v>2.8499999999999996</v>
      </c>
      <c r="AL39" s="58">
        <f t="shared" si="6"/>
        <v>47500</v>
      </c>
      <c r="AM39" s="115" t="s">
        <v>394</v>
      </c>
      <c r="AN39" s="38"/>
      <c r="AO39" s="45"/>
      <c r="AP39" s="5">
        <v>423</v>
      </c>
      <c r="AQ39" s="5" t="s">
        <v>295</v>
      </c>
      <c r="AR39" s="5" t="s">
        <v>249</v>
      </c>
      <c r="AS39" s="5"/>
      <c r="AT39" s="5">
        <v>1</v>
      </c>
      <c r="AU39" s="69">
        <v>2500</v>
      </c>
      <c r="AV39" s="70">
        <v>2500</v>
      </c>
    </row>
    <row r="40" spans="1:48">
      <c r="V40" s="45"/>
      <c r="W40" s="5">
        <v>130</v>
      </c>
      <c r="X40" s="5" t="s">
        <v>386</v>
      </c>
      <c r="Y40" s="56">
        <v>0.6</v>
      </c>
      <c r="Z40" s="48">
        <f>Y40*MCost</f>
        <v>10000</v>
      </c>
      <c r="AA40" s="56">
        <v>1.26</v>
      </c>
      <c r="AB40" s="48">
        <f>AA40*MCost</f>
        <v>21000</v>
      </c>
      <c r="AC40" s="56">
        <v>0.36</v>
      </c>
      <c r="AD40" s="48">
        <f>AC40*MCost</f>
        <v>6000</v>
      </c>
      <c r="AE40" s="56">
        <v>0.36</v>
      </c>
      <c r="AF40" s="48">
        <f>AE40*MCost</f>
        <v>6000</v>
      </c>
      <c r="AG40" s="56">
        <v>0.36</v>
      </c>
      <c r="AH40" s="48">
        <f>AG40*MCost</f>
        <v>6000</v>
      </c>
      <c r="AI40" s="56">
        <v>0.27</v>
      </c>
      <c r="AJ40" s="48">
        <f>AI40*MCost</f>
        <v>4500.0000000000009</v>
      </c>
      <c r="AK40" s="57">
        <f t="shared" si="6"/>
        <v>3.2099999999999995</v>
      </c>
      <c r="AL40" s="58">
        <f t="shared" si="6"/>
        <v>53500</v>
      </c>
      <c r="AM40" s="115" t="s">
        <v>386</v>
      </c>
      <c r="AN40" s="38"/>
      <c r="AO40" s="45"/>
      <c r="AP40" s="5">
        <v>423</v>
      </c>
      <c r="AQ40" s="5" t="s">
        <v>293</v>
      </c>
      <c r="AR40" s="5" t="s">
        <v>249</v>
      </c>
      <c r="AS40" s="5"/>
      <c r="AT40" s="5">
        <v>1</v>
      </c>
      <c r="AU40" s="69">
        <v>4000</v>
      </c>
      <c r="AV40" s="70">
        <v>4000</v>
      </c>
    </row>
    <row r="41" spans="1:48">
      <c r="A41" t="s">
        <v>292</v>
      </c>
      <c r="V41" s="45"/>
      <c r="W41" s="5">
        <v>140</v>
      </c>
      <c r="X41" s="5" t="s">
        <v>377</v>
      </c>
      <c r="Y41" s="56">
        <v>0.05</v>
      </c>
      <c r="Z41" s="48">
        <f>Y41*MCost</f>
        <v>833.33333333333348</v>
      </c>
      <c r="AA41" s="56">
        <v>0.12</v>
      </c>
      <c r="AB41" s="48">
        <f>AA41*MCost</f>
        <v>2000</v>
      </c>
      <c r="AC41" s="56">
        <v>0.12</v>
      </c>
      <c r="AD41" s="48">
        <f>AC41*MCost</f>
        <v>2000</v>
      </c>
      <c r="AE41" s="56">
        <v>0.12</v>
      </c>
      <c r="AF41" s="48">
        <f>AE41*MCost</f>
        <v>2000</v>
      </c>
      <c r="AG41" s="56">
        <v>0.12</v>
      </c>
      <c r="AH41" s="48">
        <f>AG41*MCost</f>
        <v>2000</v>
      </c>
      <c r="AI41" s="56">
        <v>0.09</v>
      </c>
      <c r="AJ41" s="48">
        <f>AI41*MCost</f>
        <v>1500</v>
      </c>
      <c r="AK41" s="57">
        <f t="shared" si="6"/>
        <v>0.62</v>
      </c>
      <c r="AL41" s="58">
        <f t="shared" si="6"/>
        <v>10333.333333333334</v>
      </c>
      <c r="AM41" s="115" t="s">
        <v>377</v>
      </c>
      <c r="AN41" s="38"/>
      <c r="AO41" s="45"/>
      <c r="AP41" s="5">
        <v>423</v>
      </c>
      <c r="AQ41" s="5" t="s">
        <v>290</v>
      </c>
      <c r="AR41" s="5" t="s">
        <v>249</v>
      </c>
      <c r="AS41" s="5"/>
      <c r="AT41" s="5">
        <v>10</v>
      </c>
      <c r="AU41" s="69">
        <v>1160</v>
      </c>
      <c r="AV41" s="70">
        <v>11600</v>
      </c>
    </row>
    <row r="42" spans="1:48">
      <c r="V42" s="45"/>
      <c r="W42" s="5"/>
      <c r="X42" s="55" t="s">
        <v>0</v>
      </c>
      <c r="Y42" s="57">
        <f t="shared" ref="Y42:AJ42" si="7">SUM(Y37:Y41)</f>
        <v>6.1999999999999993</v>
      </c>
      <c r="Z42" s="59">
        <f t="shared" si="7"/>
        <v>87333.333333333328</v>
      </c>
      <c r="AA42" s="57">
        <f t="shared" si="7"/>
        <v>12.049999999999999</v>
      </c>
      <c r="AB42" s="57">
        <f t="shared" si="7"/>
        <v>180833.33333333331</v>
      </c>
      <c r="AC42" s="57">
        <f t="shared" si="7"/>
        <v>4.08</v>
      </c>
      <c r="AD42" s="57">
        <f t="shared" si="7"/>
        <v>62000</v>
      </c>
      <c r="AE42" s="57">
        <f t="shared" si="7"/>
        <v>4.08</v>
      </c>
      <c r="AF42" s="57">
        <f t="shared" si="7"/>
        <v>62000</v>
      </c>
      <c r="AG42" s="57">
        <f t="shared" si="7"/>
        <v>4.08</v>
      </c>
      <c r="AH42" s="57">
        <f t="shared" si="7"/>
        <v>62000</v>
      </c>
      <c r="AI42" s="57">
        <f t="shared" si="7"/>
        <v>3.06</v>
      </c>
      <c r="AJ42" s="57">
        <f t="shared" si="7"/>
        <v>46500</v>
      </c>
      <c r="AK42" s="57">
        <f>SUM(Y42,AA42,AC42,AE42,AG42,AI42)</f>
        <v>33.549999999999997</v>
      </c>
      <c r="AL42" s="60">
        <f>SUM(Z42,AB42,AD42,AF42,AH42,AJ42)</f>
        <v>500666.66666666663</v>
      </c>
      <c r="AM42" s="103"/>
      <c r="AN42" s="38"/>
      <c r="AO42" s="45"/>
      <c r="AP42" s="5">
        <v>423</v>
      </c>
      <c r="AQ42" s="5" t="s">
        <v>288</v>
      </c>
      <c r="AR42" s="5" t="s">
        <v>249</v>
      </c>
      <c r="AS42" s="5"/>
      <c r="AT42" s="5">
        <v>5</v>
      </c>
      <c r="AU42" s="69">
        <v>9155</v>
      </c>
      <c r="AV42" s="70">
        <v>45775</v>
      </c>
    </row>
    <row r="43" spans="1:48">
      <c r="V43" s="45"/>
      <c r="W43" s="5">
        <v>100</v>
      </c>
      <c r="X43" s="5" t="s">
        <v>368</v>
      </c>
      <c r="Y43" s="56">
        <v>2.87</v>
      </c>
      <c r="Z43" s="48">
        <f>Y43*MCost</f>
        <v>47833.333333333336</v>
      </c>
      <c r="AA43" s="56">
        <v>8.23</v>
      </c>
      <c r="AB43" s="48">
        <f>AA43*MCost</f>
        <v>137166.66666666669</v>
      </c>
      <c r="AC43" s="56">
        <v>5.09</v>
      </c>
      <c r="AD43" s="48">
        <f>AC43*MCost</f>
        <v>84833.333333333343</v>
      </c>
      <c r="AE43" s="56">
        <v>5.1100000000000003</v>
      </c>
      <c r="AF43" s="48">
        <f>AE43*MCost</f>
        <v>85166.666666666672</v>
      </c>
      <c r="AG43" s="56">
        <v>4.72</v>
      </c>
      <c r="AH43" s="48">
        <f>AG43*MCost</f>
        <v>78666.666666666672</v>
      </c>
      <c r="AI43" s="56">
        <v>2.63</v>
      </c>
      <c r="AJ43" s="48">
        <f>AI43*MCost</f>
        <v>43833.333333333336</v>
      </c>
      <c r="AK43" s="57">
        <f t="shared" si="6"/>
        <v>28.65</v>
      </c>
      <c r="AL43" s="58">
        <f t="shared" si="6"/>
        <v>477500.00000000006</v>
      </c>
      <c r="AM43" s="115" t="s">
        <v>368</v>
      </c>
      <c r="AN43" s="38"/>
      <c r="AO43" s="45"/>
      <c r="AP43" s="5">
        <v>423</v>
      </c>
      <c r="AQ43" s="5" t="s">
        <v>286</v>
      </c>
      <c r="AR43" s="5" t="s">
        <v>249</v>
      </c>
      <c r="AS43" s="5"/>
      <c r="AT43" s="5">
        <v>5</v>
      </c>
      <c r="AU43" s="69">
        <v>40</v>
      </c>
      <c r="AV43" s="70">
        <v>200</v>
      </c>
    </row>
    <row r="44" spans="1:48">
      <c r="V44" s="45"/>
      <c r="W44" s="5">
        <v>100</v>
      </c>
      <c r="X44" s="5" t="s">
        <v>363</v>
      </c>
      <c r="Y44" s="56">
        <v>0.76</v>
      </c>
      <c r="Z44" s="48">
        <f>Y44*MCost</f>
        <v>12666.666666666668</v>
      </c>
      <c r="AA44" s="56">
        <v>2.17</v>
      </c>
      <c r="AB44" s="48">
        <f>AA44*MCost</f>
        <v>36166.666666666672</v>
      </c>
      <c r="AC44" s="56">
        <v>1.27</v>
      </c>
      <c r="AD44" s="48">
        <f>AC44*MCost</f>
        <v>21166.666666666668</v>
      </c>
      <c r="AE44" s="56">
        <v>1.28</v>
      </c>
      <c r="AF44" s="48">
        <f>AE44*MCost</f>
        <v>21333.333333333336</v>
      </c>
      <c r="AG44" s="56">
        <v>1.68</v>
      </c>
      <c r="AH44" s="48">
        <f>AG44*MCost</f>
        <v>28000</v>
      </c>
      <c r="AI44" s="56">
        <v>1.75</v>
      </c>
      <c r="AJ44" s="48">
        <f>AI44*MCost</f>
        <v>29166.666666666668</v>
      </c>
      <c r="AK44" s="57">
        <f t="shared" si="6"/>
        <v>8.91</v>
      </c>
      <c r="AL44" s="58">
        <f t="shared" si="6"/>
        <v>148500</v>
      </c>
      <c r="AM44" s="115" t="s">
        <v>363</v>
      </c>
      <c r="AN44" s="38"/>
      <c r="AO44" s="45"/>
      <c r="AP44" s="5">
        <v>423</v>
      </c>
      <c r="AQ44" s="5" t="s">
        <v>284</v>
      </c>
      <c r="AR44" s="5" t="s">
        <v>249</v>
      </c>
      <c r="AS44" s="5"/>
      <c r="AT44" s="5">
        <v>5</v>
      </c>
      <c r="AU44" s="69">
        <v>60</v>
      </c>
      <c r="AV44" s="70">
        <v>300</v>
      </c>
    </row>
    <row r="45" spans="1:48">
      <c r="V45" s="45"/>
      <c r="W45" s="5">
        <v>100</v>
      </c>
      <c r="X45" s="5" t="s">
        <v>359</v>
      </c>
      <c r="Y45" s="56">
        <v>2.87</v>
      </c>
      <c r="Z45" s="48">
        <f>Y45*ECost</f>
        <v>35875</v>
      </c>
      <c r="AA45" s="56">
        <v>8.23</v>
      </c>
      <c r="AB45" s="48">
        <f>AA45*ECost</f>
        <v>102875</v>
      </c>
      <c r="AC45" s="56">
        <v>5.09</v>
      </c>
      <c r="AD45" s="48">
        <f>AC45*ECost</f>
        <v>63625</v>
      </c>
      <c r="AE45" s="56">
        <v>5.1100000000000003</v>
      </c>
      <c r="AF45" s="48">
        <f>AE45*ECost</f>
        <v>63875.000000000007</v>
      </c>
      <c r="AG45" s="56">
        <v>4.72</v>
      </c>
      <c r="AH45" s="48">
        <f>AG45*ECost</f>
        <v>59000</v>
      </c>
      <c r="AI45" s="56">
        <v>2.63</v>
      </c>
      <c r="AJ45" s="48">
        <f>AI45*ECost</f>
        <v>32875</v>
      </c>
      <c r="AK45" s="57">
        <f t="shared" si="6"/>
        <v>28.65</v>
      </c>
      <c r="AL45" s="58">
        <f t="shared" si="6"/>
        <v>358125</v>
      </c>
      <c r="AM45" s="116" t="s">
        <v>359</v>
      </c>
      <c r="AN45" s="38"/>
      <c r="AO45" s="45"/>
      <c r="AP45" s="5">
        <v>423</v>
      </c>
      <c r="AQ45" s="5" t="s">
        <v>282</v>
      </c>
      <c r="AR45" s="5" t="s">
        <v>249</v>
      </c>
      <c r="AS45" s="5"/>
      <c r="AT45" s="5">
        <v>5</v>
      </c>
      <c r="AU45" s="69">
        <v>770</v>
      </c>
      <c r="AV45" s="70">
        <v>3850</v>
      </c>
    </row>
    <row r="46" spans="1:48">
      <c r="V46" s="45"/>
      <c r="W46" s="5"/>
      <c r="X46" s="55" t="s">
        <v>0</v>
      </c>
      <c r="Y46" s="57">
        <f t="shared" ref="Y46:AI46" si="8">SUM(Y43:Y45)</f>
        <v>6.5</v>
      </c>
      <c r="Z46" s="59">
        <f>SUM(Z43:Z45)</f>
        <v>96375</v>
      </c>
      <c r="AA46" s="57">
        <f t="shared" si="8"/>
        <v>18.630000000000003</v>
      </c>
      <c r="AB46" s="59">
        <f>SUM(AB43:AB45)</f>
        <v>276208.33333333337</v>
      </c>
      <c r="AC46" s="57">
        <f t="shared" si="8"/>
        <v>11.45</v>
      </c>
      <c r="AD46" s="59">
        <f>SUM(AD43:AD45)</f>
        <v>169625</v>
      </c>
      <c r="AE46" s="57">
        <f t="shared" si="8"/>
        <v>11.5</v>
      </c>
      <c r="AF46" s="59">
        <f>SUM(AF43:AF45)</f>
        <v>170375</v>
      </c>
      <c r="AG46" s="57">
        <f t="shared" si="8"/>
        <v>11.12</v>
      </c>
      <c r="AH46" s="59">
        <f>SUM(AH43:AH45)</f>
        <v>165666.66666666669</v>
      </c>
      <c r="AI46" s="57">
        <f t="shared" si="8"/>
        <v>7.01</v>
      </c>
      <c r="AJ46" s="59">
        <f>SUM(AJ43:AJ45)</f>
        <v>105875</v>
      </c>
      <c r="AK46" s="57">
        <f t="shared" si="6"/>
        <v>66.209999999999994</v>
      </c>
      <c r="AL46" s="60">
        <f t="shared" si="6"/>
        <v>984125</v>
      </c>
      <c r="AM46" s="103"/>
      <c r="AN46" s="38"/>
      <c r="AO46" s="45"/>
      <c r="AP46" s="5">
        <v>423</v>
      </c>
      <c r="AQ46" s="5" t="s">
        <v>280</v>
      </c>
      <c r="AR46" s="5" t="s">
        <v>249</v>
      </c>
      <c r="AS46" s="5"/>
      <c r="AT46" s="5">
        <v>4</v>
      </c>
      <c r="AU46" s="69">
        <v>4000</v>
      </c>
      <c r="AV46" s="70">
        <v>80000</v>
      </c>
    </row>
    <row r="47" spans="1:48">
      <c r="V47" s="45"/>
      <c r="W47" s="5">
        <v>200</v>
      </c>
      <c r="X47" s="5" t="s">
        <v>354</v>
      </c>
      <c r="Y47" s="5">
        <v>3.75</v>
      </c>
      <c r="Z47" s="48">
        <f>Y47*ECost</f>
        <v>46875</v>
      </c>
      <c r="AA47" s="5">
        <v>6</v>
      </c>
      <c r="AB47" s="48">
        <f>AA47*ECost</f>
        <v>75000</v>
      </c>
      <c r="AC47" s="5">
        <v>0</v>
      </c>
      <c r="AD47" s="48">
        <f>AC47*ECost</f>
        <v>0</v>
      </c>
      <c r="AE47" s="5">
        <v>0</v>
      </c>
      <c r="AF47" s="48">
        <f>AE47*ECost</f>
        <v>0</v>
      </c>
      <c r="AG47" s="5">
        <v>0</v>
      </c>
      <c r="AH47" s="48">
        <f>AG47*ECost</f>
        <v>0</v>
      </c>
      <c r="AI47" s="5">
        <v>0</v>
      </c>
      <c r="AJ47" s="48">
        <f>AI47*ECost</f>
        <v>0</v>
      </c>
      <c r="AK47" s="57">
        <f t="shared" si="6"/>
        <v>9.75</v>
      </c>
      <c r="AL47" s="58">
        <f t="shared" si="6"/>
        <v>121875</v>
      </c>
      <c r="AM47" s="116" t="s">
        <v>354</v>
      </c>
      <c r="AN47" s="38"/>
      <c r="AO47" s="45"/>
      <c r="AP47" s="5">
        <v>423</v>
      </c>
      <c r="AQ47" s="5" t="s">
        <v>278</v>
      </c>
      <c r="AR47" s="5" t="s">
        <v>249</v>
      </c>
      <c r="AS47" s="5"/>
      <c r="AT47" s="5">
        <v>5</v>
      </c>
      <c r="AU47" s="69">
        <v>490</v>
      </c>
      <c r="AV47" s="70">
        <v>2450</v>
      </c>
    </row>
    <row r="48" spans="1:48">
      <c r="A48" t="s">
        <v>277</v>
      </c>
      <c r="B48" t="s">
        <v>276</v>
      </c>
      <c r="C48" t="s">
        <v>275</v>
      </c>
      <c r="D48" t="s">
        <v>274</v>
      </c>
      <c r="E48" t="s">
        <v>273</v>
      </c>
      <c r="V48" s="45"/>
      <c r="W48" s="5">
        <v>200</v>
      </c>
      <c r="X48" s="5" t="s">
        <v>350</v>
      </c>
      <c r="Y48" s="5">
        <v>2</v>
      </c>
      <c r="Z48" s="48">
        <f>Y48*ECost</f>
        <v>25000</v>
      </c>
      <c r="AA48" s="5">
        <v>1.75</v>
      </c>
      <c r="AB48" s="48">
        <f>AA48*ECost</f>
        <v>21875</v>
      </c>
      <c r="AC48" s="5">
        <v>0</v>
      </c>
      <c r="AD48" s="48">
        <f>AC48*ECost</f>
        <v>0</v>
      </c>
      <c r="AE48" s="5">
        <v>0</v>
      </c>
      <c r="AF48" s="48">
        <f>AE48*ECost</f>
        <v>0</v>
      </c>
      <c r="AG48" s="5">
        <v>0</v>
      </c>
      <c r="AH48" s="48">
        <f>AG48*ECost</f>
        <v>0</v>
      </c>
      <c r="AI48" s="5">
        <v>0</v>
      </c>
      <c r="AJ48" s="48">
        <f>AI48*ECost</f>
        <v>0</v>
      </c>
      <c r="AK48" s="57">
        <f t="shared" si="6"/>
        <v>3.75</v>
      </c>
      <c r="AL48" s="58">
        <f t="shared" si="6"/>
        <v>46875</v>
      </c>
      <c r="AM48" s="116" t="s">
        <v>350</v>
      </c>
      <c r="AN48" s="38"/>
      <c r="AO48" s="45"/>
      <c r="AP48" s="5">
        <v>423</v>
      </c>
      <c r="AQ48" s="5" t="s">
        <v>272</v>
      </c>
      <c r="AR48" s="5" t="s">
        <v>249</v>
      </c>
      <c r="AS48" s="5"/>
      <c r="AT48" s="5">
        <v>20</v>
      </c>
      <c r="AU48" s="69">
        <v>40000</v>
      </c>
      <c r="AV48" s="70">
        <v>16000</v>
      </c>
    </row>
    <row r="49" spans="1:48" ht="90">
      <c r="A49" s="26" t="s">
        <v>271</v>
      </c>
      <c r="B49" s="26" t="s">
        <v>270</v>
      </c>
      <c r="C49" s="26" t="s">
        <v>269</v>
      </c>
      <c r="D49" s="26" t="s">
        <v>268</v>
      </c>
      <c r="E49" s="26" t="s">
        <v>267</v>
      </c>
      <c r="V49" s="45"/>
      <c r="W49" s="5"/>
      <c r="X49" s="55" t="s">
        <v>0</v>
      </c>
      <c r="Y49" s="55">
        <f t="shared" ref="Y49:AI49" si="9">SUM(Y47:Y48)</f>
        <v>5.75</v>
      </c>
      <c r="Z49" s="59">
        <f>SUM(Z47:Z48)</f>
        <v>71875</v>
      </c>
      <c r="AA49" s="55">
        <f t="shared" si="9"/>
        <v>7.75</v>
      </c>
      <c r="AB49" s="59">
        <f>SUM(AB47:AB48)</f>
        <v>96875</v>
      </c>
      <c r="AC49" s="55">
        <f t="shared" si="9"/>
        <v>0</v>
      </c>
      <c r="AD49" s="59">
        <f>SUM(AD47:AD48)</f>
        <v>0</v>
      </c>
      <c r="AE49" s="55">
        <f t="shared" si="9"/>
        <v>0</v>
      </c>
      <c r="AF49" s="59">
        <f>SUM(AF47:AF48)</f>
        <v>0</v>
      </c>
      <c r="AG49" s="55">
        <f t="shared" si="9"/>
        <v>0</v>
      </c>
      <c r="AH49" s="59">
        <f>SUM(AH47:AH48)</f>
        <v>0</v>
      </c>
      <c r="AI49" s="55">
        <f t="shared" si="9"/>
        <v>0</v>
      </c>
      <c r="AJ49" s="59">
        <f>SUM(AJ47:AJ48)</f>
        <v>0</v>
      </c>
      <c r="AK49" s="57">
        <f t="shared" si="6"/>
        <v>13.5</v>
      </c>
      <c r="AL49" s="60">
        <f t="shared" si="6"/>
        <v>168750</v>
      </c>
      <c r="AM49" s="103"/>
      <c r="AN49" s="38"/>
      <c r="AO49" s="76"/>
      <c r="AP49" s="5">
        <v>423</v>
      </c>
      <c r="AQ49" s="5" t="s">
        <v>266</v>
      </c>
      <c r="AR49" s="5" t="s">
        <v>249</v>
      </c>
      <c r="AS49" s="5"/>
      <c r="AT49" s="5">
        <v>75</v>
      </c>
      <c r="AU49" s="69">
        <v>125</v>
      </c>
      <c r="AV49" s="70">
        <v>9375</v>
      </c>
    </row>
    <row r="50" spans="1:48" ht="45">
      <c r="A50" s="26"/>
      <c r="B50" s="26"/>
      <c r="C50" s="26"/>
      <c r="D50" s="26" t="s">
        <v>265</v>
      </c>
      <c r="E50" s="25" t="s">
        <v>264</v>
      </c>
      <c r="V50" s="45" t="s">
        <v>3</v>
      </c>
      <c r="W50" s="5">
        <v>300</v>
      </c>
      <c r="X50" s="5" t="s">
        <v>344</v>
      </c>
      <c r="Y50" s="5">
        <v>0.27</v>
      </c>
      <c r="Z50" s="48">
        <f>Y50*ECost</f>
        <v>3375</v>
      </c>
      <c r="AA50" s="5">
        <v>0</v>
      </c>
      <c r="AB50" s="48">
        <f>AA50*ECost</f>
        <v>0</v>
      </c>
      <c r="AC50" s="5">
        <v>0</v>
      </c>
      <c r="AD50" s="48">
        <f>AC50*ECost</f>
        <v>0</v>
      </c>
      <c r="AE50" s="5">
        <v>0</v>
      </c>
      <c r="AF50" s="48">
        <f>AE50*ECost</f>
        <v>0</v>
      </c>
      <c r="AG50" s="5">
        <v>0</v>
      </c>
      <c r="AH50" s="48">
        <f>AG50*ECost</f>
        <v>0</v>
      </c>
      <c r="AI50" s="5">
        <v>0</v>
      </c>
      <c r="AJ50" s="48">
        <f>AI50*ECost</f>
        <v>0</v>
      </c>
      <c r="AK50" s="57">
        <f t="shared" si="6"/>
        <v>0.27</v>
      </c>
      <c r="AL50" s="58">
        <f t="shared" si="6"/>
        <v>3375</v>
      </c>
      <c r="AM50" s="103" t="s">
        <v>344</v>
      </c>
      <c r="AO50" s="45"/>
      <c r="AP50" s="5">
        <v>424</v>
      </c>
      <c r="AQ50" s="5" t="s">
        <v>263</v>
      </c>
      <c r="AR50" s="5" t="s">
        <v>249</v>
      </c>
      <c r="AS50" s="5"/>
      <c r="AT50" s="5">
        <v>2</v>
      </c>
      <c r="AU50" s="69">
        <v>3343</v>
      </c>
      <c r="AV50" s="70">
        <v>6686</v>
      </c>
    </row>
    <row r="51" spans="1:48">
      <c r="V51" s="45"/>
      <c r="W51" s="5">
        <v>300</v>
      </c>
      <c r="X51" s="5" t="s">
        <v>342</v>
      </c>
      <c r="Y51" s="5">
        <v>0.72</v>
      </c>
      <c r="Z51" s="48">
        <f>Y51*MCost</f>
        <v>12000</v>
      </c>
      <c r="AA51" s="5">
        <v>0.5</v>
      </c>
      <c r="AB51" s="48">
        <f>AA51*MCost</f>
        <v>8333.3333333333339</v>
      </c>
      <c r="AC51" s="5">
        <v>0</v>
      </c>
      <c r="AD51" s="48">
        <f>AC51*MCost</f>
        <v>0</v>
      </c>
      <c r="AE51" s="5">
        <v>0</v>
      </c>
      <c r="AF51" s="48">
        <f>AE51*MCost</f>
        <v>0</v>
      </c>
      <c r="AG51" s="5">
        <v>0</v>
      </c>
      <c r="AH51" s="48">
        <f>AG51*MCost</f>
        <v>0</v>
      </c>
      <c r="AI51" s="5">
        <v>0</v>
      </c>
      <c r="AJ51" s="48">
        <f>AI51*MCost</f>
        <v>0</v>
      </c>
      <c r="AK51" s="57">
        <f t="shared" si="6"/>
        <v>1.22</v>
      </c>
      <c r="AL51" s="58">
        <f t="shared" si="6"/>
        <v>20333.333333333336</v>
      </c>
      <c r="AM51" s="103" t="s">
        <v>342</v>
      </c>
      <c r="AO51" s="45"/>
      <c r="AP51" s="5">
        <v>424</v>
      </c>
      <c r="AQ51" s="5" t="s">
        <v>262</v>
      </c>
      <c r="AR51" s="5" t="s">
        <v>249</v>
      </c>
      <c r="AS51" s="5"/>
      <c r="AT51" s="5">
        <v>1</v>
      </c>
      <c r="AU51" s="69">
        <v>7751</v>
      </c>
      <c r="AV51" s="70">
        <v>7751</v>
      </c>
    </row>
    <row r="52" spans="1:48">
      <c r="V52" s="45"/>
      <c r="W52" s="5">
        <v>300</v>
      </c>
      <c r="X52" s="5" t="s">
        <v>337</v>
      </c>
      <c r="Y52" s="5">
        <v>0.16</v>
      </c>
      <c r="Z52" s="48">
        <f>Y52*MCost</f>
        <v>2666.666666666667</v>
      </c>
      <c r="AA52" s="5">
        <v>0</v>
      </c>
      <c r="AB52" s="48">
        <f>AA52*MCost</f>
        <v>0</v>
      </c>
      <c r="AC52" s="5">
        <v>0</v>
      </c>
      <c r="AD52" s="48">
        <f>AC52*MCost</f>
        <v>0</v>
      </c>
      <c r="AE52" s="5">
        <v>0</v>
      </c>
      <c r="AF52" s="48">
        <f>AE52*MCost</f>
        <v>0</v>
      </c>
      <c r="AG52" s="5">
        <v>0</v>
      </c>
      <c r="AH52" s="48">
        <f>AG52*MCost</f>
        <v>0</v>
      </c>
      <c r="AI52" s="5">
        <v>0</v>
      </c>
      <c r="AJ52" s="48">
        <f>AI52*MCost</f>
        <v>0</v>
      </c>
      <c r="AK52" s="57">
        <f t="shared" si="6"/>
        <v>0.16</v>
      </c>
      <c r="AL52" s="58">
        <f t="shared" si="6"/>
        <v>2666.666666666667</v>
      </c>
      <c r="AM52" s="103" t="s">
        <v>337</v>
      </c>
      <c r="AO52" s="45"/>
      <c r="AP52" s="5">
        <v>424</v>
      </c>
      <c r="AQ52" s="5" t="s">
        <v>261</v>
      </c>
      <c r="AR52" s="5" t="s">
        <v>247</v>
      </c>
      <c r="AS52" s="5"/>
      <c r="AT52" s="5">
        <v>10</v>
      </c>
      <c r="AU52" s="69">
        <v>50</v>
      </c>
      <c r="AV52" s="70">
        <v>500</v>
      </c>
    </row>
    <row r="53" spans="1:48">
      <c r="V53" s="45"/>
      <c r="W53" s="5"/>
      <c r="X53" s="55" t="s">
        <v>0</v>
      </c>
      <c r="Y53" s="57">
        <f t="shared" ref="Y53:AI53" si="10">SUM(Y50:Y52)</f>
        <v>1.1499999999999999</v>
      </c>
      <c r="Z53" s="59">
        <f>SUM(Z50:Z52)</f>
        <v>18041.666666666668</v>
      </c>
      <c r="AA53" s="57">
        <f t="shared" si="10"/>
        <v>0.5</v>
      </c>
      <c r="AB53" s="59">
        <f>SUM(AB50:AB52)</f>
        <v>8333.3333333333339</v>
      </c>
      <c r="AC53" s="57">
        <f t="shared" si="10"/>
        <v>0</v>
      </c>
      <c r="AD53" s="59">
        <f>SUM(AD50:AD52)</f>
        <v>0</v>
      </c>
      <c r="AE53" s="57">
        <f t="shared" si="10"/>
        <v>0</v>
      </c>
      <c r="AF53" s="59">
        <f>SUM(AF50:AF52)</f>
        <v>0</v>
      </c>
      <c r="AG53" s="57">
        <f t="shared" si="10"/>
        <v>0</v>
      </c>
      <c r="AH53" s="59">
        <f>SUM(AH50:AH52)</f>
        <v>0</v>
      </c>
      <c r="AI53" s="57">
        <f t="shared" si="10"/>
        <v>0</v>
      </c>
      <c r="AJ53" s="59">
        <f>SUM(AJ50:AJ52)</f>
        <v>0</v>
      </c>
      <c r="AK53" s="57">
        <f t="shared" si="6"/>
        <v>1.65</v>
      </c>
      <c r="AL53" s="60">
        <f t="shared" si="6"/>
        <v>26375</v>
      </c>
      <c r="AM53" s="103"/>
      <c r="AO53" s="45"/>
      <c r="AP53" s="5">
        <v>424</v>
      </c>
      <c r="AQ53" s="5" t="s">
        <v>30</v>
      </c>
      <c r="AR53" s="5" t="s">
        <v>247</v>
      </c>
      <c r="AS53" s="5"/>
      <c r="AT53" s="5">
        <v>10</v>
      </c>
      <c r="AU53" s="69">
        <v>1500</v>
      </c>
      <c r="AV53" s="70">
        <v>15000</v>
      </c>
    </row>
    <row r="54" spans="1:48">
      <c r="D54" t="s">
        <v>260</v>
      </c>
      <c r="E54" t="s">
        <v>259</v>
      </c>
      <c r="F54" t="s">
        <v>258</v>
      </c>
      <c r="G54" t="s">
        <v>257</v>
      </c>
      <c r="H54" t="s">
        <v>256</v>
      </c>
      <c r="I54" t="s">
        <v>255</v>
      </c>
      <c r="V54" s="45" t="s">
        <v>3</v>
      </c>
      <c r="W54" s="5">
        <v>410</v>
      </c>
      <c r="X54" s="5" t="s">
        <v>328</v>
      </c>
      <c r="Y54" s="5">
        <v>1.25</v>
      </c>
      <c r="Z54" s="48">
        <f>Y54*TCost</f>
        <v>8333.3333333333339</v>
      </c>
      <c r="AA54" s="5">
        <v>1</v>
      </c>
      <c r="AB54" s="48">
        <f>AA54*TCost</f>
        <v>6666.666666666667</v>
      </c>
      <c r="AC54" s="5">
        <v>0</v>
      </c>
      <c r="AD54" s="48">
        <f>AC54*TCost</f>
        <v>0</v>
      </c>
      <c r="AE54" s="5">
        <v>0</v>
      </c>
      <c r="AF54" s="48">
        <f>AE54*TCost</f>
        <v>0</v>
      </c>
      <c r="AG54" s="5">
        <v>0</v>
      </c>
      <c r="AH54" s="48">
        <f>AG54*TCost</f>
        <v>0</v>
      </c>
      <c r="AI54" s="5">
        <v>0</v>
      </c>
      <c r="AJ54" s="48">
        <f>AI54*TCost</f>
        <v>0</v>
      </c>
      <c r="AK54" s="57">
        <f t="shared" si="6"/>
        <v>2.25</v>
      </c>
      <c r="AL54" s="58">
        <f t="shared" si="6"/>
        <v>15000</v>
      </c>
      <c r="AM54" s="103" t="s">
        <v>328</v>
      </c>
      <c r="AO54" s="45"/>
      <c r="AP54" s="5">
        <v>424</v>
      </c>
      <c r="AQ54" s="5" t="s">
        <v>254</v>
      </c>
      <c r="AR54" s="5" t="s">
        <v>249</v>
      </c>
      <c r="AS54" s="5"/>
      <c r="AT54" s="5">
        <v>1</v>
      </c>
      <c r="AU54" s="69">
        <v>12474</v>
      </c>
      <c r="AV54" s="70">
        <v>12474</v>
      </c>
    </row>
    <row r="55" spans="1:48">
      <c r="V55" s="45"/>
      <c r="W55" s="5">
        <v>410</v>
      </c>
      <c r="X55" s="5" t="s">
        <v>189</v>
      </c>
      <c r="Y55" s="5">
        <v>3</v>
      </c>
      <c r="Z55" s="48">
        <f>Y55*TCost</f>
        <v>20000</v>
      </c>
      <c r="AA55" s="5">
        <v>0</v>
      </c>
      <c r="AB55" s="48">
        <f>AA55*TCost</f>
        <v>0</v>
      </c>
      <c r="AC55" s="5">
        <v>0</v>
      </c>
      <c r="AD55" s="48">
        <f>AC55*TCost</f>
        <v>0</v>
      </c>
      <c r="AE55" s="5">
        <v>0</v>
      </c>
      <c r="AF55" s="48">
        <f>AE55*TCost</f>
        <v>0</v>
      </c>
      <c r="AG55" s="5">
        <v>0</v>
      </c>
      <c r="AH55" s="48">
        <f>AG55*TCost</f>
        <v>0</v>
      </c>
      <c r="AI55" s="5">
        <v>0</v>
      </c>
      <c r="AJ55" s="48">
        <f>AI55*TCost</f>
        <v>0</v>
      </c>
      <c r="AK55" s="57">
        <f t="shared" si="6"/>
        <v>3</v>
      </c>
      <c r="AL55" s="58">
        <f t="shared" si="6"/>
        <v>20000</v>
      </c>
      <c r="AM55" s="103" t="s">
        <v>189</v>
      </c>
      <c r="AO55" s="45"/>
      <c r="AP55" s="5">
        <v>424</v>
      </c>
      <c r="AQ55" s="5" t="s">
        <v>253</v>
      </c>
      <c r="AR55" s="5" t="s">
        <v>249</v>
      </c>
      <c r="AS55" s="5"/>
      <c r="AT55" s="5">
        <v>2</v>
      </c>
      <c r="AU55" s="69">
        <v>10200</v>
      </c>
      <c r="AV55" s="70">
        <v>20400</v>
      </c>
    </row>
    <row r="56" spans="1:48">
      <c r="C56" t="s">
        <v>252</v>
      </c>
      <c r="V56" s="45"/>
      <c r="W56" s="5">
        <v>410</v>
      </c>
      <c r="X56" s="5" t="s">
        <v>322</v>
      </c>
      <c r="Y56" s="5">
        <v>5</v>
      </c>
      <c r="Z56" s="48">
        <f>Y56*ECost</f>
        <v>62500</v>
      </c>
      <c r="AA56" s="5">
        <v>5</v>
      </c>
      <c r="AB56" s="48">
        <f>AA56*ECost</f>
        <v>62500</v>
      </c>
      <c r="AC56" s="5">
        <v>0</v>
      </c>
      <c r="AD56" s="48">
        <f>AC56*ECost</f>
        <v>0</v>
      </c>
      <c r="AE56" s="5">
        <v>0</v>
      </c>
      <c r="AF56" s="48">
        <f>AE56*ECost</f>
        <v>0</v>
      </c>
      <c r="AG56" s="5">
        <v>0</v>
      </c>
      <c r="AH56" s="48">
        <f>AG56*ECost</f>
        <v>0</v>
      </c>
      <c r="AI56" s="5">
        <v>0</v>
      </c>
      <c r="AJ56" s="48">
        <f>AI56*ECost</f>
        <v>0</v>
      </c>
      <c r="AK56" s="57">
        <f t="shared" si="6"/>
        <v>10</v>
      </c>
      <c r="AL56" s="58">
        <f t="shared" si="6"/>
        <v>125000</v>
      </c>
      <c r="AM56" s="103" t="s">
        <v>322</v>
      </c>
      <c r="AO56" s="45"/>
      <c r="AP56" s="5">
        <v>424</v>
      </c>
      <c r="AQ56" s="5" t="s">
        <v>251</v>
      </c>
      <c r="AR56" s="5" t="s">
        <v>249</v>
      </c>
      <c r="AS56" s="5"/>
      <c r="AT56" s="5">
        <v>2</v>
      </c>
      <c r="AU56" s="69">
        <v>10200</v>
      </c>
      <c r="AV56" s="70">
        <v>20400</v>
      </c>
    </row>
    <row r="57" spans="1:48">
      <c r="V57" s="45"/>
      <c r="W57" s="5">
        <v>410</v>
      </c>
      <c r="X57" s="5" t="s">
        <v>311</v>
      </c>
      <c r="Y57" s="5">
        <v>3.25</v>
      </c>
      <c r="Z57" s="48">
        <f>Y57*ECost</f>
        <v>40625</v>
      </c>
      <c r="AA57" s="5">
        <v>0.5</v>
      </c>
      <c r="AB57" s="48">
        <f>AA57*ECost</f>
        <v>6250</v>
      </c>
      <c r="AC57" s="5">
        <v>0</v>
      </c>
      <c r="AD57" s="48">
        <f>AC57*ECost</f>
        <v>0</v>
      </c>
      <c r="AE57" s="5">
        <v>0</v>
      </c>
      <c r="AF57" s="48">
        <f>AE57*ECost</f>
        <v>0</v>
      </c>
      <c r="AG57" s="5">
        <v>0</v>
      </c>
      <c r="AH57" s="48">
        <f>AG57*ECost</f>
        <v>0</v>
      </c>
      <c r="AI57" s="5">
        <v>0</v>
      </c>
      <c r="AJ57" s="48">
        <f>AI57*ECost</f>
        <v>0</v>
      </c>
      <c r="AK57" s="57">
        <f t="shared" si="6"/>
        <v>3.75</v>
      </c>
      <c r="AL57" s="58">
        <f t="shared" si="6"/>
        <v>46875</v>
      </c>
      <c r="AM57" s="103" t="s">
        <v>311</v>
      </c>
      <c r="AO57" s="45"/>
      <c r="AP57" s="5">
        <v>424</v>
      </c>
      <c r="AQ57" s="5" t="s">
        <v>250</v>
      </c>
      <c r="AR57" s="5" t="s">
        <v>249</v>
      </c>
      <c r="AS57" s="5"/>
      <c r="AT57" s="5">
        <v>2</v>
      </c>
      <c r="AU57" s="69">
        <v>10200</v>
      </c>
      <c r="AV57" s="70">
        <v>20400</v>
      </c>
    </row>
    <row r="58" spans="1:48">
      <c r="D58" t="s">
        <v>232</v>
      </c>
      <c r="E58" t="s">
        <v>213</v>
      </c>
      <c r="V58" s="45"/>
      <c r="W58" s="5">
        <v>410</v>
      </c>
      <c r="X58" s="5" t="s">
        <v>186</v>
      </c>
      <c r="Y58" s="5">
        <v>1</v>
      </c>
      <c r="Z58" s="48">
        <f t="shared" ref="Z58:Z69" si="11">Y58*TCost</f>
        <v>6666.666666666667</v>
      </c>
      <c r="AA58" s="5">
        <v>0</v>
      </c>
      <c r="AB58" s="48">
        <f t="shared" ref="AB58:AB69" si="12">AA58*TCost</f>
        <v>0</v>
      </c>
      <c r="AC58" s="5">
        <v>0</v>
      </c>
      <c r="AD58" s="48">
        <f t="shared" ref="AD58:AD69" si="13">AC58*TCost</f>
        <v>0</v>
      </c>
      <c r="AE58" s="5">
        <v>0</v>
      </c>
      <c r="AF58" s="48">
        <f t="shared" ref="AF58:AF69" si="14">AE58*TCost</f>
        <v>0</v>
      </c>
      <c r="AG58" s="5">
        <v>0</v>
      </c>
      <c r="AH58" s="48">
        <f t="shared" ref="AH58:AH69" si="15">AG58*TCost</f>
        <v>0</v>
      </c>
      <c r="AI58" s="5">
        <v>0</v>
      </c>
      <c r="AJ58" s="48">
        <f t="shared" ref="AJ58:AJ69" si="16">AI58*TCost</f>
        <v>0</v>
      </c>
      <c r="AK58" s="57">
        <f t="shared" si="6"/>
        <v>1</v>
      </c>
      <c r="AL58" s="58">
        <f t="shared" si="6"/>
        <v>6666.666666666667</v>
      </c>
      <c r="AM58" s="103" t="s">
        <v>186</v>
      </c>
      <c r="AO58" s="45"/>
      <c r="AP58" s="5">
        <v>424</v>
      </c>
      <c r="AQ58" s="5" t="s">
        <v>248</v>
      </c>
      <c r="AR58" s="5" t="s">
        <v>247</v>
      </c>
      <c r="AS58" s="5"/>
      <c r="AT58" s="5">
        <v>3</v>
      </c>
      <c r="AU58" s="69">
        <v>550</v>
      </c>
      <c r="AV58" s="70">
        <v>1650</v>
      </c>
    </row>
    <row r="59" spans="1:48">
      <c r="V59" s="45"/>
      <c r="W59" s="5">
        <v>410</v>
      </c>
      <c r="X59" s="5" t="s">
        <v>185</v>
      </c>
      <c r="Y59" s="5">
        <v>0.4</v>
      </c>
      <c r="Z59" s="48">
        <f t="shared" si="11"/>
        <v>2666.666666666667</v>
      </c>
      <c r="AA59" s="5">
        <v>0.24</v>
      </c>
      <c r="AB59" s="48">
        <f t="shared" si="12"/>
        <v>1600</v>
      </c>
      <c r="AC59" s="5">
        <v>0</v>
      </c>
      <c r="AD59" s="48">
        <f t="shared" si="13"/>
        <v>0</v>
      </c>
      <c r="AE59" s="5">
        <v>0</v>
      </c>
      <c r="AF59" s="48">
        <f t="shared" si="14"/>
        <v>0</v>
      </c>
      <c r="AG59" s="5">
        <v>0</v>
      </c>
      <c r="AH59" s="48">
        <f t="shared" si="15"/>
        <v>0</v>
      </c>
      <c r="AI59" s="5">
        <v>0</v>
      </c>
      <c r="AJ59" s="48">
        <f t="shared" si="16"/>
        <v>0</v>
      </c>
      <c r="AK59" s="57">
        <f t="shared" si="6"/>
        <v>0.64</v>
      </c>
      <c r="AL59" s="58">
        <f t="shared" si="6"/>
        <v>4266.666666666667</v>
      </c>
      <c r="AM59" s="103" t="s">
        <v>185</v>
      </c>
      <c r="AO59" s="45"/>
      <c r="AP59" s="5">
        <v>424</v>
      </c>
      <c r="AQ59" s="5" t="s">
        <v>246</v>
      </c>
      <c r="AR59" s="5" t="s">
        <v>245</v>
      </c>
      <c r="AS59" s="5"/>
      <c r="AT59" s="5">
        <v>3</v>
      </c>
      <c r="AU59" s="69">
        <v>1500</v>
      </c>
      <c r="AV59" s="70">
        <v>4500</v>
      </c>
    </row>
    <row r="60" spans="1:48">
      <c r="D60" t="s">
        <v>244</v>
      </c>
      <c r="E60" t="s">
        <v>243</v>
      </c>
      <c r="V60" s="45"/>
      <c r="W60" s="5">
        <v>410</v>
      </c>
      <c r="X60" s="5" t="s">
        <v>311</v>
      </c>
      <c r="Y60" s="5">
        <v>2.5</v>
      </c>
      <c r="Z60" s="48">
        <f t="shared" si="11"/>
        <v>16666.666666666668</v>
      </c>
      <c r="AA60" s="5">
        <v>0.9</v>
      </c>
      <c r="AB60" s="48">
        <f t="shared" si="12"/>
        <v>6000</v>
      </c>
      <c r="AC60" s="5">
        <v>0</v>
      </c>
      <c r="AD60" s="48">
        <f t="shared" si="13"/>
        <v>0</v>
      </c>
      <c r="AE60" s="5">
        <v>0</v>
      </c>
      <c r="AF60" s="48">
        <f t="shared" si="14"/>
        <v>0</v>
      </c>
      <c r="AG60" s="5">
        <v>0</v>
      </c>
      <c r="AH60" s="48">
        <f t="shared" si="15"/>
        <v>0</v>
      </c>
      <c r="AI60" s="5">
        <v>0</v>
      </c>
      <c r="AJ60" s="48">
        <f t="shared" si="16"/>
        <v>0</v>
      </c>
      <c r="AK60" s="57">
        <f t="shared" si="6"/>
        <v>3.4</v>
      </c>
      <c r="AL60" s="58">
        <f t="shared" si="6"/>
        <v>22666.666666666668</v>
      </c>
      <c r="AM60" s="103" t="s">
        <v>311</v>
      </c>
      <c r="AO60" s="45"/>
      <c r="AP60" s="5">
        <v>424</v>
      </c>
      <c r="AQ60" s="5" t="s">
        <v>242</v>
      </c>
      <c r="AR60" s="5" t="s">
        <v>179</v>
      </c>
      <c r="AS60" s="5"/>
      <c r="AT60" s="5">
        <v>3</v>
      </c>
      <c r="AU60" s="69">
        <v>283</v>
      </c>
      <c r="AV60" s="70">
        <v>849</v>
      </c>
    </row>
    <row r="61" spans="1:48">
      <c r="V61" s="45"/>
      <c r="W61" s="5">
        <v>421</v>
      </c>
      <c r="X61" s="5" t="s">
        <v>307</v>
      </c>
      <c r="Y61" s="5">
        <v>1.25</v>
      </c>
      <c r="Z61" s="48">
        <f t="shared" si="11"/>
        <v>8333.3333333333339</v>
      </c>
      <c r="AA61" s="5">
        <v>1.25</v>
      </c>
      <c r="AB61" s="48">
        <f t="shared" si="12"/>
        <v>8333.3333333333339</v>
      </c>
      <c r="AC61" s="5">
        <v>0</v>
      </c>
      <c r="AD61" s="48">
        <f t="shared" si="13"/>
        <v>0</v>
      </c>
      <c r="AE61" s="5">
        <v>0</v>
      </c>
      <c r="AF61" s="48">
        <f t="shared" si="14"/>
        <v>0</v>
      </c>
      <c r="AG61" s="5">
        <v>0</v>
      </c>
      <c r="AH61" s="48">
        <f t="shared" si="15"/>
        <v>0</v>
      </c>
      <c r="AI61" s="5">
        <v>0</v>
      </c>
      <c r="AJ61" s="48">
        <f t="shared" si="16"/>
        <v>0</v>
      </c>
      <c r="AK61" s="57">
        <f t="shared" si="6"/>
        <v>2.5</v>
      </c>
      <c r="AL61" s="58">
        <f t="shared" si="6"/>
        <v>16666.666666666668</v>
      </c>
      <c r="AM61" s="103" t="s">
        <v>307</v>
      </c>
      <c r="AO61" s="45"/>
      <c r="AP61" s="5">
        <v>424</v>
      </c>
      <c r="AQ61" s="5"/>
      <c r="AR61" s="5"/>
      <c r="AS61" s="5"/>
      <c r="AT61" s="5">
        <v>2</v>
      </c>
      <c r="AU61" s="69">
        <v>300</v>
      </c>
      <c r="AV61" s="70">
        <v>600</v>
      </c>
    </row>
    <row r="62" spans="1:48">
      <c r="D62" t="s">
        <v>241</v>
      </c>
      <c r="E62">
        <v>1</v>
      </c>
      <c r="F62" t="s">
        <v>240</v>
      </c>
      <c r="G62">
        <v>2006</v>
      </c>
      <c r="H62" s="24">
        <v>0.5</v>
      </c>
      <c r="V62" s="45"/>
      <c r="W62" s="5">
        <v>421</v>
      </c>
      <c r="X62" s="5" t="s">
        <v>304</v>
      </c>
      <c r="Y62" s="5">
        <v>0.25</v>
      </c>
      <c r="Z62" s="48">
        <f t="shared" si="11"/>
        <v>1666.6666666666667</v>
      </c>
      <c r="AA62" s="5">
        <v>0.25</v>
      </c>
      <c r="AB62" s="48">
        <f t="shared" si="12"/>
        <v>1666.6666666666667</v>
      </c>
      <c r="AC62" s="5">
        <v>0</v>
      </c>
      <c r="AD62" s="48">
        <f t="shared" si="13"/>
        <v>0</v>
      </c>
      <c r="AE62" s="5">
        <v>0</v>
      </c>
      <c r="AF62" s="48">
        <f t="shared" si="14"/>
        <v>0</v>
      </c>
      <c r="AG62" s="5">
        <v>0</v>
      </c>
      <c r="AH62" s="48">
        <f t="shared" si="15"/>
        <v>0</v>
      </c>
      <c r="AI62" s="5">
        <v>0</v>
      </c>
      <c r="AJ62" s="48">
        <f t="shared" si="16"/>
        <v>0</v>
      </c>
      <c r="AK62" s="57">
        <f t="shared" si="6"/>
        <v>0.5</v>
      </c>
      <c r="AL62" s="58">
        <f t="shared" si="6"/>
        <v>3333.3333333333335</v>
      </c>
      <c r="AM62" s="103" t="s">
        <v>304</v>
      </c>
      <c r="AO62" s="45"/>
      <c r="AP62" s="5">
        <v>424</v>
      </c>
      <c r="AQ62" s="5"/>
      <c r="AR62" s="5"/>
      <c r="AS62" s="5"/>
      <c r="AT62" s="5">
        <v>2</v>
      </c>
      <c r="AU62" s="69">
        <v>300</v>
      </c>
      <c r="AV62" s="70">
        <v>600</v>
      </c>
    </row>
    <row r="63" spans="1:48">
      <c r="V63" s="45"/>
      <c r="W63" s="5">
        <v>422</v>
      </c>
      <c r="X63" s="5" t="s">
        <v>299</v>
      </c>
      <c r="Y63" s="5">
        <v>3.75</v>
      </c>
      <c r="Z63" s="48">
        <f t="shared" si="11"/>
        <v>25000</v>
      </c>
      <c r="AA63" s="5">
        <v>3.75</v>
      </c>
      <c r="AB63" s="48">
        <f t="shared" si="12"/>
        <v>25000</v>
      </c>
      <c r="AC63" s="5">
        <v>0</v>
      </c>
      <c r="AD63" s="48">
        <f t="shared" si="13"/>
        <v>0</v>
      </c>
      <c r="AE63" s="5">
        <v>0</v>
      </c>
      <c r="AF63" s="48">
        <f t="shared" si="14"/>
        <v>0</v>
      </c>
      <c r="AG63" s="5">
        <v>0</v>
      </c>
      <c r="AH63" s="48">
        <f t="shared" si="15"/>
        <v>0</v>
      </c>
      <c r="AI63" s="5">
        <v>0</v>
      </c>
      <c r="AJ63" s="48">
        <f t="shared" si="16"/>
        <v>0</v>
      </c>
      <c r="AK63" s="57">
        <f t="shared" si="6"/>
        <v>7.5</v>
      </c>
      <c r="AL63" s="58">
        <f t="shared" si="6"/>
        <v>50000</v>
      </c>
      <c r="AM63" s="103" t="s">
        <v>299</v>
      </c>
      <c r="AO63" s="45"/>
      <c r="AP63" s="5">
        <v>424</v>
      </c>
      <c r="AQ63" s="5"/>
      <c r="AR63" s="5"/>
      <c r="AS63" s="5"/>
      <c r="AT63" s="5">
        <v>2</v>
      </c>
      <c r="AU63" s="69">
        <v>300</v>
      </c>
      <c r="AV63" s="70">
        <v>600</v>
      </c>
    </row>
    <row r="64" spans="1:48">
      <c r="D64" t="s">
        <v>238</v>
      </c>
      <c r="E64" s="23">
        <v>0.57295779513080003</v>
      </c>
      <c r="V64" s="45"/>
      <c r="W64" s="5">
        <v>422</v>
      </c>
      <c r="X64" s="5" t="s">
        <v>299</v>
      </c>
      <c r="Y64" s="5">
        <v>2</v>
      </c>
      <c r="Z64" s="48">
        <f t="shared" si="11"/>
        <v>13333.333333333334</v>
      </c>
      <c r="AA64" s="5">
        <v>3</v>
      </c>
      <c r="AB64" s="48">
        <f t="shared" si="12"/>
        <v>20000</v>
      </c>
      <c r="AC64" s="5">
        <v>0</v>
      </c>
      <c r="AD64" s="48">
        <f t="shared" si="13"/>
        <v>0</v>
      </c>
      <c r="AE64" s="5">
        <v>0</v>
      </c>
      <c r="AF64" s="48">
        <f t="shared" si="14"/>
        <v>0</v>
      </c>
      <c r="AG64" s="5">
        <v>0</v>
      </c>
      <c r="AH64" s="48">
        <f t="shared" si="15"/>
        <v>0</v>
      </c>
      <c r="AI64" s="5">
        <v>0</v>
      </c>
      <c r="AJ64" s="48">
        <f t="shared" si="16"/>
        <v>0</v>
      </c>
      <c r="AK64" s="57">
        <f t="shared" si="6"/>
        <v>5</v>
      </c>
      <c r="AL64" s="58">
        <f t="shared" si="6"/>
        <v>33333.333333333336</v>
      </c>
      <c r="AM64" s="103" t="s">
        <v>299</v>
      </c>
      <c r="AO64" s="45"/>
      <c r="AP64" s="5">
        <v>424</v>
      </c>
      <c r="AQ64" s="5"/>
      <c r="AR64" s="5"/>
      <c r="AS64" s="5"/>
      <c r="AT64" s="5">
        <v>2</v>
      </c>
      <c r="AU64" s="69">
        <v>300</v>
      </c>
      <c r="AV64" s="70">
        <v>600</v>
      </c>
    </row>
    <row r="65" spans="4:48">
      <c r="D65" t="s">
        <v>237</v>
      </c>
      <c r="E65" t="s">
        <v>236</v>
      </c>
      <c r="V65" s="45"/>
      <c r="W65" s="5">
        <v>422</v>
      </c>
      <c r="X65" s="5" t="s">
        <v>281</v>
      </c>
      <c r="Y65" s="5">
        <v>0</v>
      </c>
      <c r="Z65" s="48">
        <f t="shared" si="11"/>
        <v>0</v>
      </c>
      <c r="AA65" s="5">
        <v>2</v>
      </c>
      <c r="AB65" s="48">
        <f t="shared" si="12"/>
        <v>13333.333333333334</v>
      </c>
      <c r="AC65" s="5">
        <v>0</v>
      </c>
      <c r="AD65" s="48">
        <f t="shared" si="13"/>
        <v>0</v>
      </c>
      <c r="AE65" s="5">
        <v>0</v>
      </c>
      <c r="AF65" s="48">
        <f t="shared" si="14"/>
        <v>0</v>
      </c>
      <c r="AG65" s="5">
        <v>0</v>
      </c>
      <c r="AH65" s="48">
        <f t="shared" si="15"/>
        <v>0</v>
      </c>
      <c r="AI65" s="5">
        <v>0</v>
      </c>
      <c r="AJ65" s="48">
        <f t="shared" si="16"/>
        <v>0</v>
      </c>
      <c r="AK65" s="57">
        <f t="shared" si="6"/>
        <v>2</v>
      </c>
      <c r="AL65" s="58">
        <f t="shared" si="6"/>
        <v>13333.333333333334</v>
      </c>
      <c r="AM65" s="103" t="s">
        <v>281</v>
      </c>
      <c r="AO65" s="45"/>
      <c r="AP65" s="5">
        <v>424</v>
      </c>
      <c r="AQ65" s="5"/>
      <c r="AR65" s="5"/>
      <c r="AS65" s="5"/>
      <c r="AT65" s="5">
        <v>2</v>
      </c>
      <c r="AU65" s="69">
        <v>300</v>
      </c>
      <c r="AV65" s="70">
        <v>600</v>
      </c>
    </row>
    <row r="66" spans="4:48">
      <c r="D66" t="s">
        <v>235</v>
      </c>
      <c r="E66" t="s">
        <v>234</v>
      </c>
      <c r="V66" s="45"/>
      <c r="W66" s="5">
        <v>422</v>
      </c>
      <c r="X66" s="5" t="s">
        <v>296</v>
      </c>
      <c r="Y66" s="5">
        <v>2</v>
      </c>
      <c r="Z66" s="48">
        <f t="shared" si="11"/>
        <v>13333.333333333334</v>
      </c>
      <c r="AA66" s="5">
        <v>2</v>
      </c>
      <c r="AB66" s="48">
        <f t="shared" si="12"/>
        <v>13333.333333333334</v>
      </c>
      <c r="AC66" s="5">
        <v>0</v>
      </c>
      <c r="AD66" s="48">
        <f t="shared" si="13"/>
        <v>0</v>
      </c>
      <c r="AE66" s="5">
        <v>0</v>
      </c>
      <c r="AF66" s="48">
        <f t="shared" si="14"/>
        <v>0</v>
      </c>
      <c r="AG66" s="5">
        <v>0</v>
      </c>
      <c r="AH66" s="48">
        <f t="shared" si="15"/>
        <v>0</v>
      </c>
      <c r="AI66" s="5">
        <v>0</v>
      </c>
      <c r="AJ66" s="48">
        <f t="shared" si="16"/>
        <v>0</v>
      </c>
      <c r="AK66" s="57">
        <f t="shared" si="6"/>
        <v>4</v>
      </c>
      <c r="AL66" s="58">
        <f t="shared" si="6"/>
        <v>26666.666666666668</v>
      </c>
      <c r="AM66" s="103" t="s">
        <v>296</v>
      </c>
      <c r="AO66" s="45"/>
      <c r="AP66" s="5">
        <v>424</v>
      </c>
      <c r="AQ66" s="5"/>
      <c r="AR66" s="5"/>
      <c r="AS66" s="5"/>
      <c r="AT66" s="5">
        <v>2</v>
      </c>
      <c r="AU66" s="69">
        <v>300</v>
      </c>
      <c r="AV66" s="70">
        <v>600</v>
      </c>
    </row>
    <row r="67" spans="4:48">
      <c r="D67" t="s">
        <v>233</v>
      </c>
      <c r="E67">
        <v>3</v>
      </c>
      <c r="V67" s="45"/>
      <c r="W67" s="5">
        <v>423</v>
      </c>
      <c r="X67" s="5" t="s">
        <v>198</v>
      </c>
      <c r="Y67" s="5">
        <v>3.25</v>
      </c>
      <c r="Z67" s="48">
        <f t="shared" si="11"/>
        <v>21666.666666666668</v>
      </c>
      <c r="AA67" s="5">
        <v>5</v>
      </c>
      <c r="AB67" s="48">
        <f t="shared" si="12"/>
        <v>33333.333333333336</v>
      </c>
      <c r="AC67" s="5">
        <v>0</v>
      </c>
      <c r="AD67" s="48">
        <f t="shared" si="13"/>
        <v>0</v>
      </c>
      <c r="AE67" s="5">
        <v>0</v>
      </c>
      <c r="AF67" s="48">
        <f t="shared" si="14"/>
        <v>0</v>
      </c>
      <c r="AG67" s="5">
        <v>0</v>
      </c>
      <c r="AH67" s="48">
        <f t="shared" si="15"/>
        <v>0</v>
      </c>
      <c r="AI67" s="5">
        <v>0</v>
      </c>
      <c r="AJ67" s="48">
        <f t="shared" si="16"/>
        <v>0</v>
      </c>
      <c r="AK67" s="57">
        <f t="shared" si="6"/>
        <v>8.25</v>
      </c>
      <c r="AL67" s="58">
        <f t="shared" si="6"/>
        <v>55000</v>
      </c>
      <c r="AM67" s="103" t="s">
        <v>198</v>
      </c>
      <c r="AO67" s="45"/>
      <c r="AP67" s="5">
        <v>424</v>
      </c>
      <c r="AQ67" s="5"/>
      <c r="AR67" s="5"/>
      <c r="AS67" s="5"/>
      <c r="AT67" s="5">
        <v>2</v>
      </c>
      <c r="AU67" s="69">
        <v>300</v>
      </c>
      <c r="AV67" s="70">
        <v>600</v>
      </c>
    </row>
    <row r="68" spans="4:48">
      <c r="V68" s="45"/>
      <c r="W68" s="5">
        <v>423</v>
      </c>
      <c r="X68" s="5" t="s">
        <v>294</v>
      </c>
      <c r="Y68" s="5">
        <v>5</v>
      </c>
      <c r="Z68" s="48">
        <f t="shared" si="11"/>
        <v>33333.333333333336</v>
      </c>
      <c r="AA68" s="5">
        <v>4.25</v>
      </c>
      <c r="AB68" s="48">
        <f t="shared" si="12"/>
        <v>28333.333333333336</v>
      </c>
      <c r="AC68" s="5">
        <v>0</v>
      </c>
      <c r="AD68" s="48">
        <f t="shared" si="13"/>
        <v>0</v>
      </c>
      <c r="AE68" s="5">
        <v>0</v>
      </c>
      <c r="AF68" s="48">
        <f t="shared" si="14"/>
        <v>0</v>
      </c>
      <c r="AG68" s="5">
        <v>0</v>
      </c>
      <c r="AH68" s="48">
        <f t="shared" si="15"/>
        <v>0</v>
      </c>
      <c r="AI68" s="5">
        <v>0</v>
      </c>
      <c r="AJ68" s="48">
        <f t="shared" si="16"/>
        <v>0</v>
      </c>
      <c r="AK68" s="57">
        <f t="shared" si="6"/>
        <v>9.25</v>
      </c>
      <c r="AL68" s="58">
        <f t="shared" si="6"/>
        <v>61666.666666666672</v>
      </c>
      <c r="AM68" s="103" t="s">
        <v>294</v>
      </c>
      <c r="AO68" s="45"/>
      <c r="AP68" s="5">
        <v>424</v>
      </c>
      <c r="AQ68" s="5"/>
      <c r="AR68" s="5"/>
      <c r="AS68" s="5"/>
      <c r="AT68" s="5">
        <v>3</v>
      </c>
      <c r="AU68" s="69">
        <v>1554</v>
      </c>
      <c r="AV68" s="70">
        <v>4662</v>
      </c>
    </row>
    <row r="69" spans="4:48">
      <c r="D69" t="s">
        <v>232</v>
      </c>
      <c r="E69" t="s">
        <v>216</v>
      </c>
      <c r="V69" s="45"/>
      <c r="W69" s="5">
        <v>423</v>
      </c>
      <c r="X69" s="5" t="s">
        <v>291</v>
      </c>
      <c r="Y69" s="5">
        <v>1.75</v>
      </c>
      <c r="Z69" s="48">
        <f t="shared" si="11"/>
        <v>11666.666666666668</v>
      </c>
      <c r="AA69" s="5">
        <v>1.5</v>
      </c>
      <c r="AB69" s="48">
        <f t="shared" si="12"/>
        <v>10000</v>
      </c>
      <c r="AC69" s="5">
        <v>0</v>
      </c>
      <c r="AD69" s="48">
        <f t="shared" si="13"/>
        <v>0</v>
      </c>
      <c r="AE69" s="5">
        <v>0</v>
      </c>
      <c r="AF69" s="48">
        <f t="shared" si="14"/>
        <v>0</v>
      </c>
      <c r="AG69" s="5">
        <v>0</v>
      </c>
      <c r="AH69" s="48">
        <f t="shared" si="15"/>
        <v>0</v>
      </c>
      <c r="AI69" s="5">
        <v>0</v>
      </c>
      <c r="AJ69" s="48">
        <f t="shared" si="16"/>
        <v>0</v>
      </c>
      <c r="AK69" s="57">
        <f t="shared" si="6"/>
        <v>3.25</v>
      </c>
      <c r="AL69" s="58">
        <f t="shared" si="6"/>
        <v>21666.666666666668</v>
      </c>
      <c r="AM69" s="103" t="s">
        <v>291</v>
      </c>
      <c r="AO69" s="45"/>
      <c r="AP69" s="5">
        <v>424</v>
      </c>
      <c r="AQ69" s="5"/>
      <c r="AR69" s="5"/>
      <c r="AS69" s="5"/>
      <c r="AT69" s="5">
        <v>20</v>
      </c>
      <c r="AU69" s="69">
        <v>25</v>
      </c>
      <c r="AV69" s="70">
        <v>500</v>
      </c>
    </row>
    <row r="70" spans="4:48">
      <c r="V70" s="45"/>
      <c r="W70" s="5">
        <v>424</v>
      </c>
      <c r="X70" s="5" t="s">
        <v>289</v>
      </c>
      <c r="Y70" s="5">
        <v>2</v>
      </c>
      <c r="Z70" s="48">
        <f>Y70*ECost</f>
        <v>25000</v>
      </c>
      <c r="AA70" s="5">
        <v>0</v>
      </c>
      <c r="AB70" s="48">
        <f>AA70*ECost</f>
        <v>0</v>
      </c>
      <c r="AC70" s="5">
        <v>0</v>
      </c>
      <c r="AD70" s="48">
        <f>AC70*ECost</f>
        <v>0</v>
      </c>
      <c r="AE70" s="5">
        <v>0</v>
      </c>
      <c r="AF70" s="48">
        <f>AE70*ECost</f>
        <v>0</v>
      </c>
      <c r="AG70" s="5">
        <v>0</v>
      </c>
      <c r="AH70" s="48">
        <f>AG70*ECost</f>
        <v>0</v>
      </c>
      <c r="AI70" s="5">
        <v>0</v>
      </c>
      <c r="AJ70" s="48">
        <f>AI70*ECost</f>
        <v>0</v>
      </c>
      <c r="AK70" s="57">
        <f t="shared" si="6"/>
        <v>2</v>
      </c>
      <c r="AL70" s="58">
        <f t="shared" si="6"/>
        <v>25000</v>
      </c>
      <c r="AM70" s="103" t="s">
        <v>289</v>
      </c>
      <c r="AO70" s="45"/>
      <c r="AP70" s="5">
        <v>424</v>
      </c>
      <c r="AQ70" s="5"/>
      <c r="AR70" s="5"/>
      <c r="AS70" s="5"/>
      <c r="AT70" s="5">
        <v>20</v>
      </c>
      <c r="AU70" s="69">
        <v>25</v>
      </c>
      <c r="AV70" s="70">
        <v>500</v>
      </c>
    </row>
    <row r="71" spans="4:48">
      <c r="D71" s="22">
        <v>0</v>
      </c>
      <c r="E71" s="22">
        <v>67.016900000000007</v>
      </c>
      <c r="F71" s="22">
        <v>-50.6892</v>
      </c>
      <c r="G71" s="22">
        <v>3048</v>
      </c>
      <c r="H71" s="22">
        <v>77.166667000000004</v>
      </c>
      <c r="I71" s="22">
        <v>0</v>
      </c>
      <c r="V71" s="45"/>
      <c r="W71" s="5">
        <v>424</v>
      </c>
      <c r="X71" s="5" t="s">
        <v>287</v>
      </c>
      <c r="Y71" s="5">
        <v>1</v>
      </c>
      <c r="Z71" s="48">
        <f>Y71*ECost</f>
        <v>12500</v>
      </c>
      <c r="AA71" s="5">
        <v>0</v>
      </c>
      <c r="AB71" s="48">
        <f>AA71*ECost</f>
        <v>0</v>
      </c>
      <c r="AC71" s="5">
        <v>0</v>
      </c>
      <c r="AD71" s="48">
        <f>AC71*ECost</f>
        <v>0</v>
      </c>
      <c r="AE71" s="5">
        <v>0</v>
      </c>
      <c r="AF71" s="48">
        <f>AE71*ECost</f>
        <v>0</v>
      </c>
      <c r="AG71" s="5">
        <v>0</v>
      </c>
      <c r="AH71" s="48">
        <f>AG71*ECost</f>
        <v>0</v>
      </c>
      <c r="AI71" s="5">
        <v>0</v>
      </c>
      <c r="AJ71" s="48">
        <f>AI71*ECost</f>
        <v>0</v>
      </c>
      <c r="AK71" s="57">
        <f t="shared" si="6"/>
        <v>1</v>
      </c>
      <c r="AL71" s="58">
        <f t="shared" si="6"/>
        <v>12500</v>
      </c>
      <c r="AM71" s="103" t="s">
        <v>287</v>
      </c>
      <c r="AO71" s="45"/>
      <c r="AP71" s="5">
        <v>424</v>
      </c>
      <c r="AQ71" s="5"/>
      <c r="AR71" s="5"/>
      <c r="AS71" s="5"/>
      <c r="AT71" s="5">
        <v>20</v>
      </c>
      <c r="AU71" s="69">
        <v>25</v>
      </c>
      <c r="AV71" s="70">
        <v>500</v>
      </c>
    </row>
    <row r="72" spans="4:48">
      <c r="D72" s="22">
        <v>10165.07057765</v>
      </c>
      <c r="E72" s="22">
        <f>67.0169+1</f>
        <v>68.016900000000007</v>
      </c>
      <c r="F72" s="22">
        <v>-50.6892</v>
      </c>
      <c r="G72" s="22">
        <v>3048</v>
      </c>
      <c r="H72" s="22">
        <v>77.166667000000004</v>
      </c>
      <c r="I72" s="22">
        <v>0</v>
      </c>
      <c r="V72" s="45"/>
      <c r="W72" s="5">
        <v>431</v>
      </c>
      <c r="X72" s="5" t="s">
        <v>285</v>
      </c>
      <c r="Y72" s="5">
        <v>1</v>
      </c>
      <c r="Z72" s="48">
        <f>Y72*ECost</f>
        <v>12500</v>
      </c>
      <c r="AA72" s="5">
        <v>1.25</v>
      </c>
      <c r="AB72" s="48">
        <f>AA72*ECost</f>
        <v>15625</v>
      </c>
      <c r="AC72" s="5">
        <v>0</v>
      </c>
      <c r="AD72" s="48">
        <f>AC72*ECost</f>
        <v>0</v>
      </c>
      <c r="AE72" s="5">
        <v>0</v>
      </c>
      <c r="AF72" s="48">
        <f>AE72*ECost</f>
        <v>0</v>
      </c>
      <c r="AG72" s="5">
        <v>0</v>
      </c>
      <c r="AH72" s="48">
        <f>AG72*ECost</f>
        <v>0</v>
      </c>
      <c r="AI72" s="5">
        <v>0</v>
      </c>
      <c r="AJ72" s="48">
        <f>AI72*ECost</f>
        <v>0</v>
      </c>
      <c r="AK72" s="57">
        <f t="shared" si="6"/>
        <v>2.25</v>
      </c>
      <c r="AL72" s="58">
        <f t="shared" si="6"/>
        <v>28125</v>
      </c>
      <c r="AM72" s="103" t="s">
        <v>285</v>
      </c>
      <c r="AO72" s="45"/>
      <c r="AP72" s="5">
        <v>424</v>
      </c>
      <c r="AQ72" s="5"/>
      <c r="AR72" s="5"/>
      <c r="AS72" s="5"/>
      <c r="AT72" s="5">
        <v>10</v>
      </c>
      <c r="AU72" s="69">
        <v>25</v>
      </c>
      <c r="AV72" s="70">
        <v>250</v>
      </c>
    </row>
    <row r="73" spans="4:48">
      <c r="D73" s="22">
        <v>20292.24715902</v>
      </c>
      <c r="E73" s="22">
        <f>68.0169+1</f>
        <v>69.016900000000007</v>
      </c>
      <c r="F73" s="22">
        <v>-50.6892</v>
      </c>
      <c r="G73" s="22">
        <v>3048</v>
      </c>
      <c r="H73" s="22">
        <v>77.166667000000004</v>
      </c>
      <c r="I73" s="22">
        <v>0</v>
      </c>
      <c r="V73" s="45"/>
      <c r="W73" s="5">
        <v>431</v>
      </c>
      <c r="X73" s="5" t="s">
        <v>283</v>
      </c>
      <c r="Y73" s="5">
        <v>0.5</v>
      </c>
      <c r="Z73" s="48">
        <f>Y73*ECost</f>
        <v>6250</v>
      </c>
      <c r="AA73" s="5">
        <v>0</v>
      </c>
      <c r="AB73" s="48">
        <f>AA73*ECost</f>
        <v>0</v>
      </c>
      <c r="AC73" s="5">
        <v>0</v>
      </c>
      <c r="AD73" s="48">
        <f>AC73*ECost</f>
        <v>0</v>
      </c>
      <c r="AE73" s="5">
        <v>0</v>
      </c>
      <c r="AF73" s="48">
        <f>AE73*ECost</f>
        <v>0</v>
      </c>
      <c r="AG73" s="5">
        <v>0</v>
      </c>
      <c r="AH73" s="48">
        <f>AG73*ECost</f>
        <v>0</v>
      </c>
      <c r="AI73" s="5">
        <v>0</v>
      </c>
      <c r="AJ73" s="48">
        <f>AI73*ECost</f>
        <v>0</v>
      </c>
      <c r="AK73" s="57">
        <f t="shared" si="6"/>
        <v>0.5</v>
      </c>
      <c r="AL73" s="58">
        <f t="shared" si="6"/>
        <v>6250</v>
      </c>
      <c r="AM73" s="103" t="s">
        <v>283</v>
      </c>
      <c r="AO73" s="45"/>
      <c r="AP73" s="5">
        <v>424</v>
      </c>
      <c r="AQ73" s="5" t="s">
        <v>226</v>
      </c>
      <c r="AR73" s="5" t="s">
        <v>179</v>
      </c>
      <c r="AS73" s="5"/>
      <c r="AT73" s="5">
        <v>20</v>
      </c>
      <c r="AU73" s="69">
        <v>25</v>
      </c>
      <c r="AV73" s="70">
        <v>500</v>
      </c>
    </row>
    <row r="74" spans="4:48">
      <c r="D74" s="22">
        <v>30419.423740390001</v>
      </c>
      <c r="E74" s="22">
        <f t="shared" ref="E74:E79" si="17">E73+1</f>
        <v>70.016900000000007</v>
      </c>
      <c r="F74" s="22">
        <v>-50.6892</v>
      </c>
      <c r="G74" s="22">
        <v>3048</v>
      </c>
      <c r="H74" s="22">
        <v>77.166667000000004</v>
      </c>
      <c r="I74" s="22">
        <v>0</v>
      </c>
      <c r="V74" s="45"/>
      <c r="W74" s="5">
        <v>431</v>
      </c>
      <c r="X74" s="5" t="s">
        <v>281</v>
      </c>
      <c r="Y74" s="5">
        <v>0</v>
      </c>
      <c r="Z74" s="48">
        <f>Y74*TCost</f>
        <v>0</v>
      </c>
      <c r="AA74" s="5">
        <v>1</v>
      </c>
      <c r="AB74" s="48">
        <f>AA74*TCost</f>
        <v>6666.666666666667</v>
      </c>
      <c r="AC74" s="5">
        <v>0</v>
      </c>
      <c r="AD74" s="48">
        <f>AC74*TCost</f>
        <v>0</v>
      </c>
      <c r="AE74" s="5">
        <v>0</v>
      </c>
      <c r="AF74" s="48">
        <f>AE74*TCost</f>
        <v>0</v>
      </c>
      <c r="AG74" s="5">
        <v>0</v>
      </c>
      <c r="AH74" s="48">
        <f>AG74*TCost</f>
        <v>0</v>
      </c>
      <c r="AI74" s="5">
        <v>0</v>
      </c>
      <c r="AJ74" s="48">
        <f>AI74*TCost</f>
        <v>0</v>
      </c>
      <c r="AK74" s="57">
        <f t="shared" si="6"/>
        <v>1</v>
      </c>
      <c r="AL74" s="58">
        <f t="shared" si="6"/>
        <v>6666.666666666667</v>
      </c>
      <c r="AM74" s="103" t="s">
        <v>281</v>
      </c>
      <c r="AO74" s="45"/>
      <c r="AP74" s="5">
        <v>424</v>
      </c>
      <c r="AQ74" s="5" t="s">
        <v>226</v>
      </c>
      <c r="AR74" s="5" t="s">
        <v>179</v>
      </c>
      <c r="AS74" s="5"/>
      <c r="AT74" s="5">
        <v>20</v>
      </c>
      <c r="AU74" s="69">
        <v>25</v>
      </c>
      <c r="AV74" s="70">
        <v>500</v>
      </c>
    </row>
    <row r="75" spans="4:48">
      <c r="D75" s="22">
        <v>40546.600321760001</v>
      </c>
      <c r="E75" s="22">
        <f t="shared" si="17"/>
        <v>71.016900000000007</v>
      </c>
      <c r="F75" s="22">
        <v>-50.6892</v>
      </c>
      <c r="G75" s="22">
        <v>3048</v>
      </c>
      <c r="H75" s="22">
        <v>77.166667000000004</v>
      </c>
      <c r="I75" s="22">
        <v>0</v>
      </c>
      <c r="V75" s="45"/>
      <c r="W75" s="5">
        <v>440</v>
      </c>
      <c r="X75" s="5" t="s">
        <v>279</v>
      </c>
      <c r="Y75" s="5">
        <v>1.25</v>
      </c>
      <c r="Z75" s="48">
        <f>Y75*ECost</f>
        <v>15625</v>
      </c>
      <c r="AA75" s="5">
        <v>1.25</v>
      </c>
      <c r="AB75" s="48">
        <f>AA75*ECost</f>
        <v>15625</v>
      </c>
      <c r="AC75" s="5">
        <v>0</v>
      </c>
      <c r="AD75" s="48">
        <f>AC75*ECost</f>
        <v>0</v>
      </c>
      <c r="AE75" s="5">
        <v>0</v>
      </c>
      <c r="AF75" s="48">
        <f>AE75*ECost</f>
        <v>0</v>
      </c>
      <c r="AG75" s="5">
        <v>0</v>
      </c>
      <c r="AH75" s="48">
        <f>AG75*ECost</f>
        <v>0</v>
      </c>
      <c r="AI75" s="5">
        <v>0</v>
      </c>
      <c r="AJ75" s="48">
        <f>AI75*ECost</f>
        <v>0</v>
      </c>
      <c r="AK75" s="57">
        <f t="shared" si="6"/>
        <v>2.5</v>
      </c>
      <c r="AL75" s="58">
        <f t="shared" si="6"/>
        <v>31250</v>
      </c>
      <c r="AM75" s="103" t="s">
        <v>279</v>
      </c>
      <c r="AO75" s="45"/>
      <c r="AP75" s="5">
        <v>424</v>
      </c>
      <c r="AQ75" s="5" t="s">
        <v>226</v>
      </c>
      <c r="AR75" s="5" t="s">
        <v>179</v>
      </c>
      <c r="AS75" s="5"/>
      <c r="AT75" s="5">
        <v>20</v>
      </c>
      <c r="AU75" s="69">
        <v>25</v>
      </c>
      <c r="AV75" s="70">
        <v>500</v>
      </c>
    </row>
    <row r="76" spans="4:48">
      <c r="D76" s="22">
        <v>50673.776903129998</v>
      </c>
      <c r="E76" s="22">
        <f t="shared" si="17"/>
        <v>72.016900000000007</v>
      </c>
      <c r="F76" s="22">
        <v>-50.6892</v>
      </c>
      <c r="G76" s="22">
        <v>3048</v>
      </c>
      <c r="H76" s="22">
        <v>77.166667000000004</v>
      </c>
      <c r="I76" s="22">
        <v>0</v>
      </c>
      <c r="V76" s="45"/>
      <c r="W76" s="5">
        <v>451</v>
      </c>
      <c r="X76" s="5" t="s">
        <v>183</v>
      </c>
      <c r="Y76" s="5">
        <v>5</v>
      </c>
      <c r="Z76" s="48">
        <f>Y76*TCost</f>
        <v>33333.333333333336</v>
      </c>
      <c r="AA76" s="5">
        <v>5</v>
      </c>
      <c r="AB76" s="48">
        <f>AA76*TCost</f>
        <v>33333.333333333336</v>
      </c>
      <c r="AC76" s="5">
        <v>0</v>
      </c>
      <c r="AD76" s="48">
        <f>AC76*TCost</f>
        <v>0</v>
      </c>
      <c r="AE76" s="5">
        <v>0</v>
      </c>
      <c r="AF76" s="48">
        <f>AE76*TCost</f>
        <v>0</v>
      </c>
      <c r="AG76" s="5">
        <v>0</v>
      </c>
      <c r="AH76" s="48">
        <f>AG76*TCost</f>
        <v>0</v>
      </c>
      <c r="AI76" s="5">
        <v>0</v>
      </c>
      <c r="AJ76" s="48">
        <f>AI76*TCost</f>
        <v>0</v>
      </c>
      <c r="AK76" s="57">
        <f t="shared" si="6"/>
        <v>10</v>
      </c>
      <c r="AL76" s="58">
        <f t="shared" si="6"/>
        <v>66666.666666666672</v>
      </c>
      <c r="AM76" s="103" t="s">
        <v>183</v>
      </c>
      <c r="AO76" s="45"/>
      <c r="AP76" s="5">
        <v>424</v>
      </c>
      <c r="AQ76" s="5" t="s">
        <v>226</v>
      </c>
      <c r="AR76" s="5" t="s">
        <v>179</v>
      </c>
      <c r="AS76" s="5"/>
      <c r="AT76" s="5">
        <v>2</v>
      </c>
      <c r="AU76" s="69">
        <v>85</v>
      </c>
      <c r="AV76" s="70">
        <v>170</v>
      </c>
    </row>
    <row r="77" spans="4:48">
      <c r="D77" s="22">
        <v>60800.953484500002</v>
      </c>
      <c r="E77" s="22">
        <f t="shared" si="17"/>
        <v>73.016900000000007</v>
      </c>
      <c r="F77" s="22">
        <v>-50.6892</v>
      </c>
      <c r="G77" s="22">
        <v>3048</v>
      </c>
      <c r="H77" s="22">
        <v>77.166667000000004</v>
      </c>
      <c r="I77" s="22">
        <v>0</v>
      </c>
      <c r="V77" s="45"/>
      <c r="W77" s="5"/>
      <c r="X77" s="57" t="s">
        <v>0</v>
      </c>
      <c r="Y77" s="57">
        <f t="shared" ref="Y77:AI77" si="18">SUM(Y54:Y76)</f>
        <v>46.4</v>
      </c>
      <c r="Z77" s="59">
        <f>SUM(Z54:Z76)</f>
        <v>391000</v>
      </c>
      <c r="AA77" s="57">
        <f t="shared" si="18"/>
        <v>39.14</v>
      </c>
      <c r="AB77" s="59">
        <f>SUM(AB54:AB76)</f>
        <v>307600.00000000006</v>
      </c>
      <c r="AC77" s="57">
        <f t="shared" si="18"/>
        <v>0</v>
      </c>
      <c r="AD77" s="59">
        <f>SUM(AD54:AD76)</f>
        <v>0</v>
      </c>
      <c r="AE77" s="57">
        <f t="shared" si="18"/>
        <v>0</v>
      </c>
      <c r="AF77" s="59">
        <f>SUM(AF54:AF76)</f>
        <v>0</v>
      </c>
      <c r="AG77" s="57">
        <f t="shared" si="18"/>
        <v>0</v>
      </c>
      <c r="AH77" s="59">
        <f>SUM(AH54:AH76)</f>
        <v>0</v>
      </c>
      <c r="AI77" s="57">
        <f t="shared" si="18"/>
        <v>0</v>
      </c>
      <c r="AJ77" s="59">
        <f>SUM(AJ54:AJ76)</f>
        <v>0</v>
      </c>
      <c r="AK77" s="57">
        <f t="shared" si="6"/>
        <v>85.539999999999992</v>
      </c>
      <c r="AL77" s="60">
        <f t="shared" si="6"/>
        <v>698600</v>
      </c>
      <c r="AM77" s="104"/>
      <c r="AO77" s="45"/>
      <c r="AP77" s="5">
        <v>424</v>
      </c>
      <c r="AQ77" s="5" t="s">
        <v>224</v>
      </c>
      <c r="AR77" s="5" t="s">
        <v>219</v>
      </c>
      <c r="AS77" s="5"/>
      <c r="AT77" s="5">
        <v>40</v>
      </c>
      <c r="AU77" s="69">
        <v>50</v>
      </c>
      <c r="AV77" s="70">
        <v>2000</v>
      </c>
    </row>
    <row r="78" spans="4:48">
      <c r="D78" s="22">
        <v>70928.130065870006</v>
      </c>
      <c r="E78" s="22">
        <f t="shared" si="17"/>
        <v>74.016900000000007</v>
      </c>
      <c r="F78" s="22">
        <v>-50.6892</v>
      </c>
      <c r="G78" s="22">
        <v>3048</v>
      </c>
      <c r="H78" s="22">
        <v>77.166667000000004</v>
      </c>
      <c r="I78" s="22">
        <v>0</v>
      </c>
      <c r="V78" s="45" t="s">
        <v>1</v>
      </c>
      <c r="W78" s="5">
        <v>470</v>
      </c>
      <c r="X78" s="5" t="s">
        <v>231</v>
      </c>
      <c r="Y78" s="5">
        <v>0.1</v>
      </c>
      <c r="Z78" s="48">
        <f>Y78*MCost</f>
        <v>1666.666666666667</v>
      </c>
      <c r="AA78" s="5">
        <v>0</v>
      </c>
      <c r="AB78" s="48">
        <f>AA78*MCost</f>
        <v>0</v>
      </c>
      <c r="AC78" s="5">
        <v>0</v>
      </c>
      <c r="AD78" s="48">
        <f>AC78*MCost</f>
        <v>0</v>
      </c>
      <c r="AE78" s="5">
        <v>0</v>
      </c>
      <c r="AF78" s="48">
        <f>AE78*MCost</f>
        <v>0</v>
      </c>
      <c r="AG78" s="5">
        <v>0</v>
      </c>
      <c r="AH78" s="48">
        <f>AG78*MCost</f>
        <v>0</v>
      </c>
      <c r="AI78" s="5">
        <v>0</v>
      </c>
      <c r="AJ78" s="48">
        <f>AI78*MCost</f>
        <v>0</v>
      </c>
      <c r="AK78" s="57">
        <f t="shared" si="6"/>
        <v>0.1</v>
      </c>
      <c r="AL78" s="58">
        <f t="shared" si="6"/>
        <v>1666.666666666667</v>
      </c>
      <c r="AM78" s="115" t="s">
        <v>231</v>
      </c>
      <c r="AO78" s="45"/>
      <c r="AP78" s="5">
        <v>424</v>
      </c>
      <c r="AQ78" s="5" t="s">
        <v>222</v>
      </c>
      <c r="AR78" s="5" t="s">
        <v>221</v>
      </c>
      <c r="AS78" s="5"/>
      <c r="AT78" s="5">
        <v>50</v>
      </c>
      <c r="AU78" s="69">
        <v>50</v>
      </c>
      <c r="AV78" s="70">
        <v>2500</v>
      </c>
    </row>
    <row r="79" spans="4:48">
      <c r="D79" s="22">
        <v>81055.306647239995</v>
      </c>
      <c r="E79" s="22">
        <f t="shared" si="17"/>
        <v>75.016900000000007</v>
      </c>
      <c r="F79" s="22">
        <v>-50.6892</v>
      </c>
      <c r="G79" s="22">
        <v>3048</v>
      </c>
      <c r="H79" s="22">
        <v>77.166667000000004</v>
      </c>
      <c r="I79" s="22">
        <v>0</v>
      </c>
      <c r="V79" s="45"/>
      <c r="W79" s="5"/>
      <c r="X79" s="5" t="s">
        <v>229</v>
      </c>
      <c r="Y79" s="5">
        <v>2.62</v>
      </c>
      <c r="Z79" s="48">
        <f t="shared" ref="Z79:Z84" si="19">Y79*ECost</f>
        <v>32750</v>
      </c>
      <c r="AA79" s="5">
        <v>0</v>
      </c>
      <c r="AB79" s="48">
        <f t="shared" ref="AB79:AB84" si="20">AA79*ECost</f>
        <v>0</v>
      </c>
      <c r="AC79" s="5">
        <v>0</v>
      </c>
      <c r="AD79" s="48">
        <f t="shared" ref="AD79:AD84" si="21">AC79*ECost</f>
        <v>0</v>
      </c>
      <c r="AE79" s="5">
        <v>0</v>
      </c>
      <c r="AF79" s="48">
        <f t="shared" ref="AF79:AF84" si="22">AE79*ECost</f>
        <v>0</v>
      </c>
      <c r="AG79" s="5">
        <v>0</v>
      </c>
      <c r="AH79" s="48">
        <f t="shared" ref="AH79:AH84" si="23">AG79*ECost</f>
        <v>0</v>
      </c>
      <c r="AI79" s="5">
        <v>0</v>
      </c>
      <c r="AJ79" s="48">
        <f t="shared" ref="AJ79:AJ84" si="24">AI79*ECost</f>
        <v>0</v>
      </c>
      <c r="AK79" s="57">
        <f t="shared" si="6"/>
        <v>2.62</v>
      </c>
      <c r="AL79" s="58">
        <f t="shared" si="6"/>
        <v>32750</v>
      </c>
      <c r="AM79" s="103" t="s">
        <v>229</v>
      </c>
      <c r="AO79" s="45"/>
      <c r="AP79" s="5">
        <v>424</v>
      </c>
      <c r="AQ79" s="5" t="s">
        <v>220</v>
      </c>
      <c r="AR79" s="5" t="s">
        <v>219</v>
      </c>
      <c r="AS79" s="5"/>
      <c r="AT79" s="5">
        <v>20</v>
      </c>
      <c r="AU79" s="69">
        <v>50</v>
      </c>
      <c r="AV79" s="70">
        <v>1000</v>
      </c>
    </row>
    <row r="80" spans="4:48">
      <c r="V80" s="45"/>
      <c r="W80" s="5"/>
      <c r="X80" s="5" t="s">
        <v>228</v>
      </c>
      <c r="Y80" s="5">
        <v>1.62</v>
      </c>
      <c r="Z80" s="48">
        <f t="shared" si="19"/>
        <v>20250</v>
      </c>
      <c r="AA80" s="5">
        <v>0</v>
      </c>
      <c r="AB80" s="48">
        <f t="shared" si="20"/>
        <v>0</v>
      </c>
      <c r="AC80" s="5">
        <v>0</v>
      </c>
      <c r="AD80" s="48">
        <f t="shared" si="21"/>
        <v>0</v>
      </c>
      <c r="AE80" s="5">
        <v>0</v>
      </c>
      <c r="AF80" s="48">
        <f t="shared" si="22"/>
        <v>0</v>
      </c>
      <c r="AG80" s="5">
        <v>0</v>
      </c>
      <c r="AH80" s="48">
        <f t="shared" si="23"/>
        <v>0</v>
      </c>
      <c r="AI80" s="5">
        <v>0</v>
      </c>
      <c r="AJ80" s="48">
        <f t="shared" si="24"/>
        <v>0</v>
      </c>
      <c r="AK80" s="57">
        <f t="shared" si="6"/>
        <v>1.62</v>
      </c>
      <c r="AL80" s="58">
        <f t="shared" si="6"/>
        <v>20250</v>
      </c>
      <c r="AM80" s="103" t="s">
        <v>228</v>
      </c>
      <c r="AO80" s="45"/>
      <c r="AP80" s="5">
        <v>431</v>
      </c>
      <c r="AQ80" s="5" t="s">
        <v>178</v>
      </c>
      <c r="AR80" s="5" t="s">
        <v>217</v>
      </c>
      <c r="AS80" s="5"/>
      <c r="AT80" s="5">
        <v>4</v>
      </c>
      <c r="AU80" s="69">
        <v>75000</v>
      </c>
      <c r="AV80" s="70">
        <v>300000</v>
      </c>
    </row>
    <row r="81" spans="1:48">
      <c r="D81" t="s">
        <v>214</v>
      </c>
      <c r="E81" t="s">
        <v>216</v>
      </c>
      <c r="V81" s="45"/>
      <c r="W81" s="5"/>
      <c r="X81" s="5" t="s">
        <v>227</v>
      </c>
      <c r="Y81" s="5">
        <v>3.77</v>
      </c>
      <c r="Z81" s="48">
        <f t="shared" si="19"/>
        <v>47125</v>
      </c>
      <c r="AA81" s="5">
        <v>0</v>
      </c>
      <c r="AB81" s="48">
        <f t="shared" si="20"/>
        <v>0</v>
      </c>
      <c r="AC81" s="5">
        <v>0</v>
      </c>
      <c r="AD81" s="48">
        <f t="shared" si="21"/>
        <v>0</v>
      </c>
      <c r="AE81" s="5">
        <v>0</v>
      </c>
      <c r="AF81" s="48">
        <f t="shared" si="22"/>
        <v>0</v>
      </c>
      <c r="AG81" s="5">
        <v>0</v>
      </c>
      <c r="AH81" s="48">
        <f t="shared" si="23"/>
        <v>0</v>
      </c>
      <c r="AI81" s="5">
        <v>0</v>
      </c>
      <c r="AJ81" s="48">
        <f t="shared" si="24"/>
        <v>0</v>
      </c>
      <c r="AK81" s="57">
        <f t="shared" si="6"/>
        <v>3.77</v>
      </c>
      <c r="AL81" s="58">
        <f t="shared" si="6"/>
        <v>47125</v>
      </c>
      <c r="AM81" s="103" t="s">
        <v>227</v>
      </c>
      <c r="AO81" s="45"/>
      <c r="AP81" s="5">
        <v>431</v>
      </c>
      <c r="AQ81" s="5" t="s">
        <v>178</v>
      </c>
      <c r="AR81" s="5" t="s">
        <v>215</v>
      </c>
      <c r="AS81" s="5"/>
      <c r="AT81" s="5">
        <v>1</v>
      </c>
      <c r="AU81" s="69">
        <v>60000</v>
      </c>
      <c r="AV81" s="70">
        <v>60000</v>
      </c>
    </row>
    <row r="82" spans="1:48">
      <c r="V82" s="45"/>
      <c r="W82" s="5"/>
      <c r="X82" s="5" t="s">
        <v>225</v>
      </c>
      <c r="Y82" s="5">
        <v>1.47</v>
      </c>
      <c r="Z82" s="48">
        <f t="shared" si="19"/>
        <v>18375</v>
      </c>
      <c r="AA82" s="5">
        <v>0</v>
      </c>
      <c r="AB82" s="48">
        <f t="shared" si="20"/>
        <v>0</v>
      </c>
      <c r="AC82" s="5">
        <v>0</v>
      </c>
      <c r="AD82" s="48">
        <f t="shared" si="21"/>
        <v>0</v>
      </c>
      <c r="AE82" s="5">
        <v>0</v>
      </c>
      <c r="AF82" s="48">
        <f t="shared" si="22"/>
        <v>0</v>
      </c>
      <c r="AG82" s="5">
        <v>0</v>
      </c>
      <c r="AH82" s="48">
        <f t="shared" si="23"/>
        <v>0</v>
      </c>
      <c r="AI82" s="5">
        <v>0</v>
      </c>
      <c r="AJ82" s="48">
        <f t="shared" si="24"/>
        <v>0</v>
      </c>
      <c r="AK82" s="57">
        <f t="shared" si="6"/>
        <v>1.47</v>
      </c>
      <c r="AL82" s="58">
        <f t="shared" si="6"/>
        <v>18375</v>
      </c>
      <c r="AM82" s="103" t="s">
        <v>225</v>
      </c>
      <c r="AO82" s="45"/>
      <c r="AP82" s="5">
        <v>431</v>
      </c>
      <c r="AQ82" s="5" t="s">
        <v>178</v>
      </c>
      <c r="AR82" s="5" t="s">
        <v>215</v>
      </c>
      <c r="AS82" s="5"/>
      <c r="AT82" s="5">
        <v>2</v>
      </c>
      <c r="AU82" s="69">
        <v>40000</v>
      </c>
      <c r="AV82" s="70">
        <v>80000</v>
      </c>
    </row>
    <row r="83" spans="1:48">
      <c r="D83" t="s">
        <v>214</v>
      </c>
      <c r="E83" t="s">
        <v>213</v>
      </c>
      <c r="V83" s="45"/>
      <c r="W83" s="5"/>
      <c r="X83" s="5" t="s">
        <v>223</v>
      </c>
      <c r="Y83" s="5">
        <v>0.39</v>
      </c>
      <c r="Z83" s="48">
        <f t="shared" si="19"/>
        <v>4875</v>
      </c>
      <c r="AA83" s="5">
        <v>0</v>
      </c>
      <c r="AB83" s="48">
        <f t="shared" si="20"/>
        <v>0</v>
      </c>
      <c r="AC83" s="5">
        <v>0</v>
      </c>
      <c r="AD83" s="48">
        <f t="shared" si="21"/>
        <v>0</v>
      </c>
      <c r="AE83" s="5">
        <v>0</v>
      </c>
      <c r="AF83" s="48">
        <f t="shared" si="22"/>
        <v>0</v>
      </c>
      <c r="AG83" s="5">
        <v>0</v>
      </c>
      <c r="AH83" s="48">
        <f t="shared" si="23"/>
        <v>0</v>
      </c>
      <c r="AI83" s="5">
        <v>0</v>
      </c>
      <c r="AJ83" s="48">
        <f t="shared" si="24"/>
        <v>0</v>
      </c>
      <c r="AK83" s="57">
        <f t="shared" si="6"/>
        <v>0.39</v>
      </c>
      <c r="AL83" s="58">
        <f t="shared" si="6"/>
        <v>4875</v>
      </c>
      <c r="AM83" s="103" t="s">
        <v>223</v>
      </c>
      <c r="AO83" s="45"/>
      <c r="AP83" s="5">
        <v>440</v>
      </c>
      <c r="AQ83" s="5" t="s">
        <v>179</v>
      </c>
      <c r="AR83" s="5" t="s">
        <v>211</v>
      </c>
      <c r="AS83" s="5"/>
      <c r="AT83" s="5">
        <v>5</v>
      </c>
      <c r="AU83" s="69">
        <v>2536</v>
      </c>
      <c r="AV83" s="70">
        <v>12680</v>
      </c>
    </row>
    <row r="84" spans="1:48">
      <c r="V84" s="45"/>
      <c r="W84" s="5"/>
      <c r="X84" s="5" t="s">
        <v>212</v>
      </c>
      <c r="Y84" s="5">
        <v>2.4500000000000002</v>
      </c>
      <c r="Z84" s="48">
        <f t="shared" si="19"/>
        <v>30625.000000000004</v>
      </c>
      <c r="AA84" s="5">
        <v>6.39</v>
      </c>
      <c r="AB84" s="48">
        <f t="shared" si="20"/>
        <v>79875</v>
      </c>
      <c r="AC84" s="5">
        <v>0.88</v>
      </c>
      <c r="AD84" s="48">
        <f t="shared" si="21"/>
        <v>11000</v>
      </c>
      <c r="AE84" s="5">
        <v>0</v>
      </c>
      <c r="AF84" s="48">
        <f t="shared" si="22"/>
        <v>0</v>
      </c>
      <c r="AG84" s="5">
        <v>0</v>
      </c>
      <c r="AH84" s="48">
        <f t="shared" si="23"/>
        <v>0</v>
      </c>
      <c r="AI84" s="5">
        <v>0</v>
      </c>
      <c r="AJ84" s="48">
        <f t="shared" si="24"/>
        <v>0</v>
      </c>
      <c r="AK84" s="57">
        <f t="shared" si="6"/>
        <v>9.7200000000000006</v>
      </c>
      <c r="AL84" s="58">
        <f t="shared" si="6"/>
        <v>121500</v>
      </c>
      <c r="AM84" s="116" t="s">
        <v>212</v>
      </c>
      <c r="AO84" s="45"/>
      <c r="AP84" s="5">
        <v>472</v>
      </c>
      <c r="AQ84" s="5" t="s">
        <v>210</v>
      </c>
      <c r="AR84" s="5"/>
      <c r="AS84" s="5"/>
      <c r="AT84" s="5">
        <v>1</v>
      </c>
      <c r="AU84" s="69">
        <v>5000</v>
      </c>
      <c r="AV84" s="70">
        <v>5000</v>
      </c>
    </row>
    <row r="85" spans="1:48">
      <c r="V85" s="45"/>
      <c r="W85" s="61">
        <v>470</v>
      </c>
      <c r="X85" s="61" t="s">
        <v>0</v>
      </c>
      <c r="Y85" s="61">
        <v>12.42</v>
      </c>
      <c r="Z85" s="62"/>
      <c r="AA85" s="61">
        <v>6.39</v>
      </c>
      <c r="AB85" s="62"/>
      <c r="AC85" s="61">
        <v>0.88</v>
      </c>
      <c r="AD85" s="62"/>
      <c r="AE85" s="5">
        <v>0</v>
      </c>
      <c r="AF85" s="62"/>
      <c r="AG85" s="5">
        <v>0</v>
      </c>
      <c r="AH85" s="62"/>
      <c r="AI85" s="5">
        <v>0</v>
      </c>
      <c r="AJ85" s="62"/>
      <c r="AK85" s="57">
        <f t="shared" si="6"/>
        <v>19.689999999999998</v>
      </c>
      <c r="AL85" s="58">
        <f t="shared" si="6"/>
        <v>0</v>
      </c>
      <c r="AM85" s="103"/>
      <c r="AO85" s="45"/>
      <c r="AP85" s="55" t="s">
        <v>0</v>
      </c>
      <c r="AQ85" s="55"/>
      <c r="AR85" s="55"/>
      <c r="AS85" s="55"/>
      <c r="AT85" s="55"/>
      <c r="AU85" s="72"/>
      <c r="AV85" s="73">
        <v>1138063</v>
      </c>
    </row>
    <row r="86" spans="1:48">
      <c r="V86" s="45"/>
      <c r="W86" s="5">
        <v>471</v>
      </c>
      <c r="X86" s="5" t="s">
        <v>228</v>
      </c>
      <c r="Y86" s="5">
        <v>0</v>
      </c>
      <c r="Z86" s="48">
        <f>Y86*ECost</f>
        <v>0</v>
      </c>
      <c r="AA86" s="5">
        <v>0.1</v>
      </c>
      <c r="AB86" s="48">
        <f>AA86*ECost</f>
        <v>1250</v>
      </c>
      <c r="AC86" s="5">
        <v>0</v>
      </c>
      <c r="AD86" s="48">
        <f>AC86*ECost</f>
        <v>0</v>
      </c>
      <c r="AE86" s="5">
        <v>0</v>
      </c>
      <c r="AF86" s="48">
        <f>AE86*ECost</f>
        <v>0</v>
      </c>
      <c r="AG86" s="5">
        <v>0</v>
      </c>
      <c r="AH86" s="48">
        <f>AG86*ECost</f>
        <v>0</v>
      </c>
      <c r="AI86" s="5">
        <v>0</v>
      </c>
      <c r="AJ86" s="48">
        <f>AI86*ECost</f>
        <v>0</v>
      </c>
      <c r="AK86" s="57">
        <f t="shared" si="6"/>
        <v>0.1</v>
      </c>
      <c r="AL86" s="58">
        <f t="shared" si="6"/>
        <v>1250</v>
      </c>
      <c r="AM86" s="103" t="s">
        <v>228</v>
      </c>
      <c r="AO86" s="45" t="s">
        <v>1</v>
      </c>
      <c r="AP86" s="5">
        <v>470</v>
      </c>
      <c r="AQ86" s="5" t="s">
        <v>209</v>
      </c>
      <c r="AR86" s="5" t="s">
        <v>176</v>
      </c>
      <c r="AS86" s="5"/>
      <c r="AT86" s="5">
        <v>6</v>
      </c>
      <c r="AU86" s="69">
        <v>2531</v>
      </c>
      <c r="AV86" s="70">
        <v>15185</v>
      </c>
    </row>
    <row r="87" spans="1:48">
      <c r="V87" s="45"/>
      <c r="W87" s="5"/>
      <c r="X87" s="5" t="s">
        <v>212</v>
      </c>
      <c r="Y87" s="5">
        <v>0.49</v>
      </c>
      <c r="Z87" s="48">
        <f>Y87*ECost</f>
        <v>6125</v>
      </c>
      <c r="AA87" s="5">
        <v>0.2</v>
      </c>
      <c r="AB87" s="48">
        <f>AA87*ECost</f>
        <v>2500</v>
      </c>
      <c r="AC87" s="5">
        <v>0</v>
      </c>
      <c r="AD87" s="48">
        <f>AC87*ECost</f>
        <v>0</v>
      </c>
      <c r="AE87" s="5">
        <v>0</v>
      </c>
      <c r="AF87" s="48">
        <f>AE87*ECost</f>
        <v>0</v>
      </c>
      <c r="AG87" s="5">
        <v>0</v>
      </c>
      <c r="AH87" s="48">
        <f>AG87*ECost</f>
        <v>0</v>
      </c>
      <c r="AI87" s="5">
        <v>0</v>
      </c>
      <c r="AJ87" s="48">
        <f>AI87*ECost</f>
        <v>0</v>
      </c>
      <c r="AK87" s="57">
        <f t="shared" si="6"/>
        <v>0.69</v>
      </c>
      <c r="AL87" s="58">
        <f t="shared" si="6"/>
        <v>8625</v>
      </c>
      <c r="AM87" s="116" t="s">
        <v>212</v>
      </c>
      <c r="AO87" s="45"/>
      <c r="AP87" s="5">
        <v>470</v>
      </c>
      <c r="AQ87" s="5" t="s">
        <v>207</v>
      </c>
      <c r="AR87" s="5" t="s">
        <v>176</v>
      </c>
      <c r="AS87" s="5"/>
      <c r="AT87" s="5">
        <v>6</v>
      </c>
      <c r="AU87" s="69">
        <v>2531</v>
      </c>
      <c r="AV87" s="70">
        <v>15185</v>
      </c>
    </row>
    <row r="88" spans="1:48">
      <c r="V88" s="45"/>
      <c r="W88" s="5"/>
      <c r="X88" s="5" t="s">
        <v>227</v>
      </c>
      <c r="Y88" s="5">
        <v>0</v>
      </c>
      <c r="Z88" s="48">
        <f>Y88*ECost</f>
        <v>0</v>
      </c>
      <c r="AA88" s="5">
        <v>0.2</v>
      </c>
      <c r="AB88" s="48">
        <f>AA88*ECost</f>
        <v>2500</v>
      </c>
      <c r="AC88" s="5">
        <v>0</v>
      </c>
      <c r="AD88" s="48">
        <f>AC88*ECost</f>
        <v>0</v>
      </c>
      <c r="AE88" s="5">
        <v>0</v>
      </c>
      <c r="AF88" s="48">
        <f>AE88*ECost</f>
        <v>0</v>
      </c>
      <c r="AG88" s="5">
        <v>0</v>
      </c>
      <c r="AH88" s="48">
        <f>AG88*ECost</f>
        <v>0</v>
      </c>
      <c r="AI88" s="5">
        <v>0</v>
      </c>
      <c r="AJ88" s="48">
        <f>AI88*ECost</f>
        <v>0</v>
      </c>
      <c r="AK88" s="57">
        <f t="shared" si="6"/>
        <v>0.2</v>
      </c>
      <c r="AL88" s="58">
        <f t="shared" si="6"/>
        <v>2500</v>
      </c>
      <c r="AM88" s="103" t="s">
        <v>227</v>
      </c>
      <c r="AO88" s="45"/>
      <c r="AP88" s="5">
        <v>470</v>
      </c>
      <c r="AQ88" s="5" t="s">
        <v>204</v>
      </c>
      <c r="AR88" s="5" t="s">
        <v>176</v>
      </c>
      <c r="AS88" s="5"/>
      <c r="AT88" s="5">
        <v>12</v>
      </c>
      <c r="AU88" s="69">
        <v>674</v>
      </c>
      <c r="AV88" s="70">
        <v>8093</v>
      </c>
    </row>
    <row r="89" spans="1:48">
      <c r="V89" s="45"/>
      <c r="W89" s="5"/>
      <c r="X89" s="5" t="s">
        <v>218</v>
      </c>
      <c r="Y89" s="5">
        <v>0.49</v>
      </c>
      <c r="Z89" s="48">
        <f>Y89*TCost</f>
        <v>3266.666666666667</v>
      </c>
      <c r="AA89" s="5">
        <v>0.1</v>
      </c>
      <c r="AB89" s="48">
        <f>AA89*TCost</f>
        <v>666.66666666666674</v>
      </c>
      <c r="AC89" s="5">
        <v>0</v>
      </c>
      <c r="AD89" s="48">
        <f>AC89*TCost</f>
        <v>0</v>
      </c>
      <c r="AE89" s="5">
        <v>0</v>
      </c>
      <c r="AF89" s="48">
        <f>AE89*TCost</f>
        <v>0</v>
      </c>
      <c r="AG89" s="5">
        <v>0</v>
      </c>
      <c r="AH89" s="48">
        <f>AG89*TCost</f>
        <v>0</v>
      </c>
      <c r="AI89" s="5">
        <v>0</v>
      </c>
      <c r="AJ89" s="48">
        <f>AI89*TCost</f>
        <v>0</v>
      </c>
      <c r="AK89" s="57">
        <f t="shared" si="6"/>
        <v>0.59</v>
      </c>
      <c r="AL89" s="58">
        <f t="shared" si="6"/>
        <v>3933.3333333333339</v>
      </c>
      <c r="AM89" s="103" t="s">
        <v>218</v>
      </c>
      <c r="AO89" s="45"/>
      <c r="AP89" s="5">
        <v>470</v>
      </c>
      <c r="AQ89" s="5" t="s">
        <v>204</v>
      </c>
      <c r="AR89" s="5" t="s">
        <v>176</v>
      </c>
      <c r="AS89" s="5"/>
      <c r="AT89" s="5">
        <v>12</v>
      </c>
      <c r="AU89" s="69">
        <v>56</v>
      </c>
      <c r="AV89" s="70">
        <v>677</v>
      </c>
    </row>
    <row r="90" spans="1:48">
      <c r="V90" s="45"/>
      <c r="W90" s="5"/>
      <c r="X90" s="5" t="s">
        <v>239</v>
      </c>
      <c r="Y90" s="5">
        <v>0</v>
      </c>
      <c r="Z90" s="48">
        <f>Y90*TCost</f>
        <v>0</v>
      </c>
      <c r="AA90" s="5">
        <v>14.42</v>
      </c>
      <c r="AB90" s="48">
        <f>AA90*TCost</f>
        <v>96133.333333333343</v>
      </c>
      <c r="AC90" s="5">
        <v>0</v>
      </c>
      <c r="AD90" s="48">
        <f>AC90*TCost</f>
        <v>0</v>
      </c>
      <c r="AE90" s="5">
        <v>0</v>
      </c>
      <c r="AF90" s="48">
        <f>AE90*TCost</f>
        <v>0</v>
      </c>
      <c r="AG90" s="5">
        <v>0</v>
      </c>
      <c r="AH90" s="48">
        <f>AG90*TCost</f>
        <v>0</v>
      </c>
      <c r="AI90" s="5">
        <v>0</v>
      </c>
      <c r="AJ90" s="48">
        <f>AI90*TCost</f>
        <v>0</v>
      </c>
      <c r="AK90" s="57">
        <f t="shared" si="6"/>
        <v>14.42</v>
      </c>
      <c r="AL90" s="58">
        <f t="shared" si="6"/>
        <v>96133.333333333343</v>
      </c>
      <c r="AM90" s="103" t="s">
        <v>239</v>
      </c>
      <c r="AO90" s="45"/>
      <c r="AP90" s="5">
        <v>470</v>
      </c>
      <c r="AQ90" s="5" t="s">
        <v>204</v>
      </c>
      <c r="AR90" s="5" t="s">
        <v>176</v>
      </c>
      <c r="AS90" s="5"/>
      <c r="AT90" s="5">
        <v>12</v>
      </c>
      <c r="AU90" s="69">
        <v>338</v>
      </c>
      <c r="AV90" s="70">
        <v>4051</v>
      </c>
    </row>
    <row r="91" spans="1:48">
      <c r="V91" s="45"/>
      <c r="W91" s="5"/>
      <c r="X91" s="5" t="s">
        <v>142</v>
      </c>
      <c r="Y91" s="5">
        <v>0.24</v>
      </c>
      <c r="Z91" s="48">
        <f>Y91*TCost</f>
        <v>1600</v>
      </c>
      <c r="AA91" s="5">
        <v>0</v>
      </c>
      <c r="AB91" s="48">
        <f>AA91*TCost</f>
        <v>0</v>
      </c>
      <c r="AC91" s="5">
        <v>0</v>
      </c>
      <c r="AD91" s="48">
        <f>AC91*TCost</f>
        <v>0</v>
      </c>
      <c r="AE91" s="5">
        <v>0</v>
      </c>
      <c r="AF91" s="48">
        <f>AE91*TCost</f>
        <v>0</v>
      </c>
      <c r="AG91" s="5">
        <v>0</v>
      </c>
      <c r="AH91" s="48">
        <f>AG91*TCost</f>
        <v>0</v>
      </c>
      <c r="AI91" s="5">
        <v>0</v>
      </c>
      <c r="AJ91" s="48">
        <f>AI91*TCost</f>
        <v>0</v>
      </c>
      <c r="AK91" s="57">
        <f t="shared" si="6"/>
        <v>0.24</v>
      </c>
      <c r="AL91" s="58">
        <f t="shared" si="6"/>
        <v>1600</v>
      </c>
      <c r="AM91" s="103" t="s">
        <v>142</v>
      </c>
      <c r="AO91" s="45"/>
      <c r="AP91" s="5">
        <v>470</v>
      </c>
      <c r="AQ91" s="5" t="s">
        <v>204</v>
      </c>
      <c r="AR91" s="5" t="s">
        <v>176</v>
      </c>
      <c r="AS91" s="5"/>
      <c r="AT91" s="5">
        <v>12</v>
      </c>
      <c r="AU91" s="69">
        <v>112</v>
      </c>
      <c r="AV91" s="70">
        <v>1344</v>
      </c>
    </row>
    <row r="92" spans="1:48">
      <c r="V92" s="45"/>
      <c r="W92" s="5">
        <v>471</v>
      </c>
      <c r="X92" s="5" t="s">
        <v>0</v>
      </c>
      <c r="Y92" s="5">
        <v>1.22</v>
      </c>
      <c r="Z92" s="48"/>
      <c r="AA92" s="5">
        <v>15.01</v>
      </c>
      <c r="AB92" s="48"/>
      <c r="AC92" s="5">
        <v>0</v>
      </c>
      <c r="AD92" s="48"/>
      <c r="AE92" s="5">
        <v>0</v>
      </c>
      <c r="AF92" s="48"/>
      <c r="AG92" s="5">
        <v>0</v>
      </c>
      <c r="AH92" s="48"/>
      <c r="AI92" s="5">
        <v>0</v>
      </c>
      <c r="AJ92" s="48"/>
      <c r="AK92" s="57">
        <f t="shared" si="6"/>
        <v>16.23</v>
      </c>
      <c r="AL92" s="58">
        <f t="shared" si="6"/>
        <v>0</v>
      </c>
      <c r="AM92" s="103"/>
      <c r="AO92" s="45"/>
      <c r="AP92" s="5">
        <v>470</v>
      </c>
      <c r="AQ92" s="5" t="s">
        <v>202</v>
      </c>
      <c r="AR92" s="5" t="s">
        <v>176</v>
      </c>
      <c r="AS92" s="5"/>
      <c r="AT92" s="5">
        <v>6</v>
      </c>
      <c r="AU92" s="69">
        <v>1054</v>
      </c>
      <c r="AV92" s="70">
        <v>6325</v>
      </c>
    </row>
    <row r="93" spans="1:48">
      <c r="V93" s="45"/>
      <c r="W93" s="5">
        <v>472</v>
      </c>
      <c r="X93" s="5" t="s">
        <v>218</v>
      </c>
      <c r="Y93" s="5">
        <v>0.52</v>
      </c>
      <c r="Z93" s="48">
        <f>Y93*TCost</f>
        <v>3466.666666666667</v>
      </c>
      <c r="AA93" s="5">
        <v>0</v>
      </c>
      <c r="AB93" s="48">
        <f>AA93*TCost</f>
        <v>0</v>
      </c>
      <c r="AC93" s="5">
        <v>0</v>
      </c>
      <c r="AD93" s="48">
        <f>AC93*TCost</f>
        <v>0</v>
      </c>
      <c r="AE93" s="5">
        <v>0</v>
      </c>
      <c r="AF93" s="48">
        <f>AE93*TCost</f>
        <v>0</v>
      </c>
      <c r="AG93" s="5">
        <v>0</v>
      </c>
      <c r="AH93" s="48">
        <f>AG93*TCost</f>
        <v>0</v>
      </c>
      <c r="AI93" s="5">
        <v>0</v>
      </c>
      <c r="AJ93" s="48">
        <f>AI93*TCost</f>
        <v>0</v>
      </c>
      <c r="AK93" s="57">
        <f t="shared" si="6"/>
        <v>0.52</v>
      </c>
      <c r="AL93" s="58">
        <f t="shared" si="6"/>
        <v>3466.666666666667</v>
      </c>
      <c r="AM93" s="103" t="s">
        <v>218</v>
      </c>
      <c r="AO93" s="45"/>
      <c r="AP93" s="5">
        <v>470</v>
      </c>
      <c r="AQ93" s="5" t="s">
        <v>202</v>
      </c>
      <c r="AR93" s="5" t="s">
        <v>176</v>
      </c>
      <c r="AS93" s="5"/>
      <c r="AT93" s="5">
        <v>6</v>
      </c>
      <c r="AU93" s="69">
        <v>1054</v>
      </c>
      <c r="AV93" s="70">
        <v>6325</v>
      </c>
    </row>
    <row r="94" spans="1:48">
      <c r="A94" s="259" t="s">
        <v>201</v>
      </c>
      <c r="B94" s="259"/>
      <c r="C94" s="259"/>
      <c r="D94" s="259"/>
      <c r="E94" s="259"/>
      <c r="F94" s="259"/>
      <c r="G94" s="259"/>
      <c r="H94" s="259"/>
      <c r="I94" s="259"/>
      <c r="V94" s="45"/>
      <c r="W94" s="5">
        <v>472</v>
      </c>
      <c r="X94" s="5" t="s">
        <v>0</v>
      </c>
      <c r="Y94" s="5">
        <v>0.52</v>
      </c>
      <c r="Z94" s="48"/>
      <c r="AA94" s="5">
        <v>0</v>
      </c>
      <c r="AB94" s="48"/>
      <c r="AC94" s="5">
        <v>0</v>
      </c>
      <c r="AD94" s="48"/>
      <c r="AE94" s="5">
        <v>0</v>
      </c>
      <c r="AF94" s="48"/>
      <c r="AG94" s="5">
        <v>0</v>
      </c>
      <c r="AH94" s="48"/>
      <c r="AI94" s="5">
        <v>0</v>
      </c>
      <c r="AJ94" s="48"/>
      <c r="AK94" s="57">
        <f t="shared" si="6"/>
        <v>0.52</v>
      </c>
      <c r="AL94" s="58">
        <f t="shared" si="6"/>
        <v>0</v>
      </c>
      <c r="AM94" s="103"/>
      <c r="AO94" s="45"/>
      <c r="AP94" s="5">
        <v>470</v>
      </c>
      <c r="AQ94" s="5" t="s">
        <v>200</v>
      </c>
      <c r="AR94" s="5" t="s">
        <v>176</v>
      </c>
      <c r="AS94" s="5"/>
      <c r="AT94" s="5">
        <v>12</v>
      </c>
      <c r="AU94" s="69">
        <v>338</v>
      </c>
      <c r="AV94" s="70">
        <v>4051</v>
      </c>
    </row>
    <row r="95" spans="1:48">
      <c r="V95" s="45"/>
      <c r="W95" s="5">
        <v>473</v>
      </c>
      <c r="X95" s="5" t="s">
        <v>228</v>
      </c>
      <c r="Y95" s="5">
        <v>0</v>
      </c>
      <c r="Z95" s="48">
        <f>Y95*ECost</f>
        <v>0</v>
      </c>
      <c r="AA95" s="5">
        <v>0.24</v>
      </c>
      <c r="AB95" s="48">
        <f>AA95*ECost</f>
        <v>3000</v>
      </c>
      <c r="AC95" s="5">
        <v>0</v>
      </c>
      <c r="AD95" s="48">
        <f>AC95*ECost</f>
        <v>0</v>
      </c>
      <c r="AE95" s="5">
        <v>0</v>
      </c>
      <c r="AF95" s="48">
        <f>AE95*ECost</f>
        <v>0</v>
      </c>
      <c r="AG95" s="5">
        <v>0</v>
      </c>
      <c r="AH95" s="48">
        <f>AG95*ECost</f>
        <v>0</v>
      </c>
      <c r="AI95" s="5">
        <v>0</v>
      </c>
      <c r="AJ95" s="48">
        <f>AI95*ECost</f>
        <v>0</v>
      </c>
      <c r="AK95" s="57">
        <f t="shared" si="6"/>
        <v>0.24</v>
      </c>
      <c r="AL95" s="58">
        <f t="shared" si="6"/>
        <v>3000</v>
      </c>
      <c r="AM95" s="103" t="s">
        <v>228</v>
      </c>
      <c r="AO95" s="45"/>
      <c r="AP95" s="5">
        <v>470</v>
      </c>
      <c r="AQ95" s="5" t="s">
        <v>200</v>
      </c>
      <c r="AR95" s="5" t="s">
        <v>176</v>
      </c>
      <c r="AS95" s="5"/>
      <c r="AT95" s="5">
        <v>12</v>
      </c>
      <c r="AU95" s="69">
        <v>338</v>
      </c>
      <c r="AV95" s="70">
        <v>4051</v>
      </c>
    </row>
    <row r="96" spans="1:48" ht="15.75" thickBot="1">
      <c r="A96" s="21"/>
      <c r="B96" s="21"/>
      <c r="C96" s="21"/>
      <c r="D96" s="21"/>
      <c r="E96" s="21"/>
      <c r="F96" s="21"/>
      <c r="G96" s="21"/>
      <c r="H96" s="21"/>
      <c r="I96" s="21"/>
      <c r="J96" s="21"/>
      <c r="K96" s="21"/>
      <c r="L96" s="21"/>
      <c r="V96" s="45"/>
      <c r="W96" s="5"/>
      <c r="X96" s="5" t="s">
        <v>212</v>
      </c>
      <c r="Y96" s="5">
        <v>0</v>
      </c>
      <c r="Z96" s="48">
        <f>Y96*ECost</f>
        <v>0</v>
      </c>
      <c r="AA96" s="5">
        <v>0.49</v>
      </c>
      <c r="AB96" s="48">
        <f>AA96*ECost</f>
        <v>6125</v>
      </c>
      <c r="AC96" s="5">
        <v>0</v>
      </c>
      <c r="AD96" s="48">
        <f>AC96*ECost</f>
        <v>0</v>
      </c>
      <c r="AE96" s="5">
        <v>0</v>
      </c>
      <c r="AF96" s="48">
        <f>AE96*ECost</f>
        <v>0</v>
      </c>
      <c r="AG96" s="5">
        <v>0</v>
      </c>
      <c r="AH96" s="48">
        <f>AG96*ECost</f>
        <v>0</v>
      </c>
      <c r="AI96" s="5">
        <v>0</v>
      </c>
      <c r="AJ96" s="48">
        <f>AI96*ECost</f>
        <v>0</v>
      </c>
      <c r="AK96" s="57">
        <f t="shared" si="6"/>
        <v>0.49</v>
      </c>
      <c r="AL96" s="58">
        <f t="shared" si="6"/>
        <v>6125</v>
      </c>
      <c r="AM96" s="103" t="s">
        <v>212</v>
      </c>
      <c r="AO96" s="45"/>
      <c r="AP96" s="5">
        <v>470</v>
      </c>
      <c r="AQ96" s="5" t="s">
        <v>199</v>
      </c>
      <c r="AR96" s="5" t="s">
        <v>176</v>
      </c>
      <c r="AS96" s="5"/>
      <c r="AT96" s="5">
        <v>24</v>
      </c>
      <c r="AU96" s="69">
        <v>45</v>
      </c>
      <c r="AV96" s="70">
        <v>1083</v>
      </c>
    </row>
    <row r="97" spans="1:48">
      <c r="A97" s="250" t="s">
        <v>169</v>
      </c>
      <c r="B97" s="254"/>
      <c r="C97" s="254"/>
      <c r="D97" s="254"/>
      <c r="E97" s="254"/>
      <c r="F97" s="254"/>
      <c r="G97" s="254"/>
      <c r="H97" s="254"/>
      <c r="I97" s="251"/>
      <c r="J97" s="21"/>
      <c r="K97" s="21"/>
      <c r="L97" s="21"/>
      <c r="V97" s="45"/>
      <c r="W97" s="5"/>
      <c r="X97" s="5" t="s">
        <v>218</v>
      </c>
      <c r="Y97" s="5">
        <v>0</v>
      </c>
      <c r="Z97" s="48">
        <f>Y97*TCost</f>
        <v>0</v>
      </c>
      <c r="AA97" s="5">
        <v>0.12</v>
      </c>
      <c r="AB97" s="48">
        <f>AA97*TCost</f>
        <v>800</v>
      </c>
      <c r="AC97" s="5">
        <v>0</v>
      </c>
      <c r="AD97" s="48">
        <f>AC97*TCost</f>
        <v>0</v>
      </c>
      <c r="AE97" s="5">
        <v>0</v>
      </c>
      <c r="AF97" s="48">
        <f>AE97*TCost</f>
        <v>0</v>
      </c>
      <c r="AG97" s="5">
        <v>0</v>
      </c>
      <c r="AH97" s="48">
        <f>AG97*TCost</f>
        <v>0</v>
      </c>
      <c r="AI97" s="5">
        <v>0</v>
      </c>
      <c r="AJ97" s="48">
        <f>AI97*TCost</f>
        <v>0</v>
      </c>
      <c r="AK97" s="57">
        <f t="shared" si="6"/>
        <v>0.12</v>
      </c>
      <c r="AL97" s="58">
        <f t="shared" si="6"/>
        <v>800</v>
      </c>
      <c r="AM97" s="103" t="s">
        <v>218</v>
      </c>
      <c r="AO97" s="45"/>
      <c r="AP97" s="5">
        <v>470</v>
      </c>
      <c r="AQ97" s="5" t="s">
        <v>199</v>
      </c>
      <c r="AR97" s="5" t="s">
        <v>176</v>
      </c>
      <c r="AS97" s="5"/>
      <c r="AT97" s="5">
        <v>12</v>
      </c>
      <c r="AU97" s="69">
        <v>45</v>
      </c>
      <c r="AV97" s="70">
        <v>541</v>
      </c>
    </row>
    <row r="98" spans="1:48">
      <c r="A98" s="255" t="s">
        <v>167</v>
      </c>
      <c r="B98" s="256"/>
      <c r="C98" s="5" t="s">
        <v>166</v>
      </c>
      <c r="D98" s="5" t="s">
        <v>165</v>
      </c>
      <c r="E98" s="5" t="s">
        <v>164</v>
      </c>
      <c r="F98" s="5" t="s">
        <v>163</v>
      </c>
      <c r="G98" s="5" t="s">
        <v>162</v>
      </c>
      <c r="H98" s="5" t="s">
        <v>161</v>
      </c>
      <c r="I98" s="13" t="s">
        <v>157</v>
      </c>
      <c r="V98" s="45"/>
      <c r="W98" s="5">
        <v>473</v>
      </c>
      <c r="X98" s="5" t="s">
        <v>0</v>
      </c>
      <c r="Y98" s="5">
        <v>0</v>
      </c>
      <c r="Z98" s="48"/>
      <c r="AA98" s="5">
        <v>0.86</v>
      </c>
      <c r="AB98" s="48"/>
      <c r="AC98" s="5">
        <v>0</v>
      </c>
      <c r="AD98" s="48"/>
      <c r="AE98" s="5">
        <v>0</v>
      </c>
      <c r="AF98" s="48"/>
      <c r="AG98" s="5">
        <v>0</v>
      </c>
      <c r="AH98" s="48"/>
      <c r="AI98" s="5">
        <v>0</v>
      </c>
      <c r="AJ98" s="48"/>
      <c r="AK98" s="57">
        <f t="shared" si="6"/>
        <v>0.86</v>
      </c>
      <c r="AL98" s="58">
        <f t="shared" si="6"/>
        <v>0</v>
      </c>
      <c r="AM98" s="103"/>
      <c r="AO98" s="45"/>
      <c r="AP98" s="5">
        <v>470</v>
      </c>
      <c r="AQ98" s="5" t="s">
        <v>197</v>
      </c>
      <c r="AR98" s="5" t="s">
        <v>176</v>
      </c>
      <c r="AS98" s="5"/>
      <c r="AT98" s="5">
        <v>24</v>
      </c>
      <c r="AU98" s="69">
        <v>60</v>
      </c>
      <c r="AV98" s="70">
        <v>1444</v>
      </c>
    </row>
    <row r="99" spans="1:48">
      <c r="A99" s="6" t="s">
        <v>155</v>
      </c>
      <c r="B99" s="5" t="s">
        <v>154</v>
      </c>
      <c r="C99" s="5"/>
      <c r="D99" s="5"/>
      <c r="E99" s="5"/>
      <c r="F99" s="5"/>
      <c r="G99" s="5"/>
      <c r="H99" s="5"/>
      <c r="I99" s="13"/>
      <c r="V99" s="45"/>
      <c r="W99" s="5"/>
      <c r="X99" s="55" t="s">
        <v>0</v>
      </c>
      <c r="Y99" s="55">
        <v>14.16</v>
      </c>
      <c r="Z99" s="59">
        <f>SUM(Z78:Z98)</f>
        <v>170124.99999999997</v>
      </c>
      <c r="AA99" s="55">
        <v>22.26</v>
      </c>
      <c r="AB99" s="59">
        <f>SUM(AB78:AB98)</f>
        <v>192850</v>
      </c>
      <c r="AC99" s="55">
        <v>0.88</v>
      </c>
      <c r="AD99" s="59">
        <f>SUM(AD78:AD98)</f>
        <v>11000</v>
      </c>
      <c r="AE99" s="55" t="s">
        <v>40</v>
      </c>
      <c r="AF99" s="59">
        <f>SUM(AF78:AF98)</f>
        <v>0</v>
      </c>
      <c r="AG99" s="55" t="s">
        <v>40</v>
      </c>
      <c r="AH99" s="59">
        <f>SUM(AH78:AH98)</f>
        <v>0</v>
      </c>
      <c r="AI99" s="55" t="s">
        <v>40</v>
      </c>
      <c r="AJ99" s="59">
        <f>SUM(AJ78:AJ98)</f>
        <v>0</v>
      </c>
      <c r="AK99" s="57">
        <f t="shared" si="6"/>
        <v>37.300000000000004</v>
      </c>
      <c r="AL99" s="60">
        <f t="shared" si="6"/>
        <v>373975</v>
      </c>
      <c r="AM99" s="103"/>
      <c r="AO99" s="45"/>
      <c r="AP99" s="5">
        <v>470</v>
      </c>
      <c r="AQ99" s="5" t="s">
        <v>194</v>
      </c>
      <c r="AR99" s="5" t="s">
        <v>176</v>
      </c>
      <c r="AS99" s="5"/>
      <c r="AT99" s="5">
        <v>6</v>
      </c>
      <c r="AU99" s="69">
        <v>500</v>
      </c>
      <c r="AV99" s="70">
        <v>3000</v>
      </c>
    </row>
    <row r="100" spans="1:48">
      <c r="A100" s="6">
        <v>1</v>
      </c>
      <c r="B100" s="5" t="s">
        <v>153</v>
      </c>
      <c r="C100" s="11">
        <v>272</v>
      </c>
      <c r="D100" s="11">
        <v>663</v>
      </c>
      <c r="E100" s="11">
        <v>361</v>
      </c>
      <c r="F100" s="11">
        <v>362</v>
      </c>
      <c r="G100" s="11">
        <v>367</v>
      </c>
      <c r="H100" s="11">
        <v>254</v>
      </c>
      <c r="I100" s="3">
        <v>2278</v>
      </c>
      <c r="J100" s="20"/>
      <c r="V100" s="45" t="s">
        <v>1</v>
      </c>
      <c r="W100" s="5">
        <v>500</v>
      </c>
      <c r="X100" s="5" t="s">
        <v>231</v>
      </c>
      <c r="Y100" s="5">
        <v>0</v>
      </c>
      <c r="Z100" s="48">
        <f>Y100*MCost</f>
        <v>0</v>
      </c>
      <c r="AA100" s="5">
        <v>0</v>
      </c>
      <c r="AB100" s="48">
        <f>AA100*MCost</f>
        <v>0</v>
      </c>
      <c r="AC100" s="5">
        <v>0</v>
      </c>
      <c r="AD100" s="48">
        <f>AC100*MCost</f>
        <v>0</v>
      </c>
      <c r="AE100" s="5">
        <v>0</v>
      </c>
      <c r="AF100" s="48">
        <f>AE100*MCost</f>
        <v>0</v>
      </c>
      <c r="AG100" s="5">
        <v>0</v>
      </c>
      <c r="AH100" s="48">
        <f>AG100*MCost</f>
        <v>0</v>
      </c>
      <c r="AI100" s="5">
        <v>0</v>
      </c>
      <c r="AJ100" s="48">
        <f>AI100*MCost</f>
        <v>0</v>
      </c>
      <c r="AK100" s="57">
        <f t="shared" si="6"/>
        <v>0</v>
      </c>
      <c r="AL100" s="58">
        <f t="shared" si="6"/>
        <v>0</v>
      </c>
      <c r="AM100" s="115" t="s">
        <v>231</v>
      </c>
      <c r="AO100" s="45"/>
      <c r="AP100" s="5">
        <v>470</v>
      </c>
      <c r="AQ100" s="5" t="s">
        <v>194</v>
      </c>
      <c r="AR100" s="5" t="s">
        <v>176</v>
      </c>
      <c r="AS100" s="5"/>
      <c r="AT100" s="5">
        <v>6</v>
      </c>
      <c r="AU100" s="69">
        <v>500</v>
      </c>
      <c r="AV100" s="70">
        <v>3000</v>
      </c>
    </row>
    <row r="101" spans="1:48">
      <c r="A101" s="6">
        <v>2</v>
      </c>
      <c r="B101" s="5" t="s">
        <v>151</v>
      </c>
      <c r="C101" s="12">
        <v>123</v>
      </c>
      <c r="D101" s="12">
        <v>180</v>
      </c>
      <c r="E101" s="5" t="s">
        <v>137</v>
      </c>
      <c r="F101" s="5" t="s">
        <v>137</v>
      </c>
      <c r="G101" s="5" t="s">
        <v>137</v>
      </c>
      <c r="H101" s="5" t="s">
        <v>137</v>
      </c>
      <c r="I101" s="3">
        <v>302</v>
      </c>
      <c r="V101" s="45"/>
      <c r="W101" s="5">
        <v>500</v>
      </c>
      <c r="X101" s="5" t="s">
        <v>230</v>
      </c>
      <c r="Y101" s="5">
        <v>3.26</v>
      </c>
      <c r="Z101" s="48">
        <f>Y101*MCost</f>
        <v>54333.333333333336</v>
      </c>
      <c r="AA101" s="5">
        <v>0.67</v>
      </c>
      <c r="AB101" s="48">
        <f>AA101*MCost</f>
        <v>11166.666666666668</v>
      </c>
      <c r="AC101" s="5">
        <v>0</v>
      </c>
      <c r="AD101" s="48">
        <f>AC101*MCost</f>
        <v>0</v>
      </c>
      <c r="AE101" s="5">
        <v>0</v>
      </c>
      <c r="AF101" s="48">
        <f>AE101*MCost</f>
        <v>0</v>
      </c>
      <c r="AG101" s="5">
        <v>0</v>
      </c>
      <c r="AH101" s="48">
        <f>AG101*MCost</f>
        <v>0</v>
      </c>
      <c r="AI101" s="5">
        <v>0</v>
      </c>
      <c r="AJ101" s="48">
        <f>AI101*MCost</f>
        <v>0</v>
      </c>
      <c r="AK101" s="57">
        <f t="shared" ref="AK101:AL164" si="25">SUM(Y101,AA101,AC101,AE101,AG101,AI101)</f>
        <v>3.9299999999999997</v>
      </c>
      <c r="AL101" s="58">
        <f t="shared" si="25"/>
        <v>65500</v>
      </c>
      <c r="AM101" s="103" t="s">
        <v>230</v>
      </c>
      <c r="AO101" s="45"/>
      <c r="AP101" s="5">
        <v>470</v>
      </c>
      <c r="AQ101" s="5" t="s">
        <v>192</v>
      </c>
      <c r="AR101" s="5" t="s">
        <v>176</v>
      </c>
      <c r="AS101" s="5"/>
      <c r="AT101" s="5">
        <v>6</v>
      </c>
      <c r="AU101" s="69">
        <v>500</v>
      </c>
      <c r="AV101" s="70">
        <v>3000</v>
      </c>
    </row>
    <row r="102" spans="1:48">
      <c r="A102" s="6">
        <v>3</v>
      </c>
      <c r="B102" s="5" t="s">
        <v>148</v>
      </c>
      <c r="C102" s="12">
        <v>20</v>
      </c>
      <c r="D102" s="12">
        <v>11</v>
      </c>
      <c r="E102" s="5" t="s">
        <v>137</v>
      </c>
      <c r="F102" s="5" t="s">
        <v>137</v>
      </c>
      <c r="G102" s="5" t="s">
        <v>137</v>
      </c>
      <c r="H102" s="5" t="s">
        <v>137</v>
      </c>
      <c r="I102" s="3">
        <v>31</v>
      </c>
      <c r="V102" s="45"/>
      <c r="W102" s="5">
        <v>500</v>
      </c>
      <c r="X102" s="5" t="s">
        <v>229</v>
      </c>
      <c r="Y102" s="5">
        <v>11.36</v>
      </c>
      <c r="Z102" s="48">
        <f t="shared" ref="Z102:Z107" si="26">Y102*ECost</f>
        <v>142000</v>
      </c>
      <c r="AA102" s="5">
        <v>3.85</v>
      </c>
      <c r="AB102" s="48">
        <f t="shared" ref="AB102:AB107" si="27">AA102*ECost</f>
        <v>48125</v>
      </c>
      <c r="AC102" s="5">
        <v>0</v>
      </c>
      <c r="AD102" s="48">
        <f t="shared" ref="AD102:AD107" si="28">AC102*ECost</f>
        <v>0</v>
      </c>
      <c r="AE102" s="5">
        <v>0</v>
      </c>
      <c r="AF102" s="48">
        <f t="shared" ref="AF102:AF107" si="29">AE102*ECost</f>
        <v>0</v>
      </c>
      <c r="AG102" s="5">
        <v>0</v>
      </c>
      <c r="AH102" s="48">
        <f t="shared" ref="AH102:AH107" si="30">AG102*ECost</f>
        <v>0</v>
      </c>
      <c r="AI102" s="5">
        <v>0</v>
      </c>
      <c r="AJ102" s="48">
        <f t="shared" ref="AJ102:AJ107" si="31">AI102*ECost</f>
        <v>0</v>
      </c>
      <c r="AK102" s="57">
        <f t="shared" si="25"/>
        <v>15.209999999999999</v>
      </c>
      <c r="AL102" s="58">
        <f t="shared" si="25"/>
        <v>190125</v>
      </c>
      <c r="AM102" s="103" t="s">
        <v>229</v>
      </c>
      <c r="AO102" s="45"/>
      <c r="AP102" s="5">
        <v>470</v>
      </c>
      <c r="AQ102" s="5" t="s">
        <v>190</v>
      </c>
      <c r="AR102" s="5" t="s">
        <v>176</v>
      </c>
      <c r="AS102" s="5"/>
      <c r="AT102" s="5">
        <v>6</v>
      </c>
      <c r="AU102" s="69">
        <v>500</v>
      </c>
      <c r="AV102" s="70">
        <v>3000</v>
      </c>
    </row>
    <row r="103" spans="1:48">
      <c r="A103" s="6">
        <v>4</v>
      </c>
      <c r="B103" s="5" t="s">
        <v>147</v>
      </c>
      <c r="C103" s="4">
        <v>2357</v>
      </c>
      <c r="D103" s="4">
        <v>1887</v>
      </c>
      <c r="E103" s="4">
        <v>40</v>
      </c>
      <c r="F103" s="5" t="s">
        <v>137</v>
      </c>
      <c r="G103" s="5" t="s">
        <v>137</v>
      </c>
      <c r="H103" s="5" t="s">
        <v>137</v>
      </c>
      <c r="I103" s="3">
        <v>4284</v>
      </c>
      <c r="V103" s="45"/>
      <c r="W103" s="5">
        <v>500</v>
      </c>
      <c r="X103" s="5" t="s">
        <v>228</v>
      </c>
      <c r="Y103" s="5">
        <v>31.75</v>
      </c>
      <c r="Z103" s="48">
        <f t="shared" si="26"/>
        <v>396875</v>
      </c>
      <c r="AA103" s="5">
        <v>9.6300000000000008</v>
      </c>
      <c r="AB103" s="48">
        <f t="shared" si="27"/>
        <v>120375.00000000001</v>
      </c>
      <c r="AC103" s="5">
        <v>0</v>
      </c>
      <c r="AD103" s="48">
        <f t="shared" si="28"/>
        <v>0</v>
      </c>
      <c r="AE103" s="5">
        <v>0</v>
      </c>
      <c r="AF103" s="48">
        <f t="shared" si="29"/>
        <v>0</v>
      </c>
      <c r="AG103" s="5">
        <v>0</v>
      </c>
      <c r="AH103" s="48">
        <f t="shared" si="30"/>
        <v>0</v>
      </c>
      <c r="AI103" s="5">
        <v>0</v>
      </c>
      <c r="AJ103" s="48">
        <f t="shared" si="31"/>
        <v>0</v>
      </c>
      <c r="AK103" s="57">
        <f t="shared" si="25"/>
        <v>41.38</v>
      </c>
      <c r="AL103" s="58">
        <f t="shared" si="25"/>
        <v>517250</v>
      </c>
      <c r="AM103" s="103" t="s">
        <v>228</v>
      </c>
      <c r="AO103" s="45"/>
      <c r="AP103" s="5">
        <v>470</v>
      </c>
      <c r="AQ103" s="5" t="s">
        <v>188</v>
      </c>
      <c r="AR103" s="5" t="s">
        <v>176</v>
      </c>
      <c r="AS103" s="5"/>
      <c r="AT103" s="5">
        <v>6</v>
      </c>
      <c r="AU103" s="69">
        <v>500</v>
      </c>
      <c r="AV103" s="70">
        <v>3000</v>
      </c>
    </row>
    <row r="104" spans="1:48">
      <c r="A104" s="6">
        <v>5</v>
      </c>
      <c r="B104" s="5" t="s">
        <v>145</v>
      </c>
      <c r="C104" s="4">
        <v>5336</v>
      </c>
      <c r="D104" s="4">
        <v>2012</v>
      </c>
      <c r="E104" s="5" t="s">
        <v>137</v>
      </c>
      <c r="F104" s="5" t="s">
        <v>137</v>
      </c>
      <c r="G104" s="5" t="s">
        <v>137</v>
      </c>
      <c r="H104" s="5" t="s">
        <v>137</v>
      </c>
      <c r="I104" s="3">
        <v>7348</v>
      </c>
      <c r="V104" s="45"/>
      <c r="W104" s="5">
        <v>500</v>
      </c>
      <c r="X104" s="5" t="s">
        <v>227</v>
      </c>
      <c r="Y104" s="5">
        <v>0</v>
      </c>
      <c r="Z104" s="48">
        <f t="shared" si="26"/>
        <v>0</v>
      </c>
      <c r="AA104" s="5">
        <v>0</v>
      </c>
      <c r="AB104" s="48">
        <f t="shared" si="27"/>
        <v>0</v>
      </c>
      <c r="AC104" s="5">
        <v>0</v>
      </c>
      <c r="AD104" s="48">
        <f t="shared" si="28"/>
        <v>0</v>
      </c>
      <c r="AE104" s="5">
        <v>0</v>
      </c>
      <c r="AF104" s="48">
        <f t="shared" si="29"/>
        <v>0</v>
      </c>
      <c r="AG104" s="5">
        <v>0</v>
      </c>
      <c r="AH104" s="48">
        <f t="shared" si="30"/>
        <v>0</v>
      </c>
      <c r="AI104" s="5">
        <v>0</v>
      </c>
      <c r="AJ104" s="48">
        <f t="shared" si="31"/>
        <v>0</v>
      </c>
      <c r="AK104" s="57">
        <f t="shared" si="25"/>
        <v>0</v>
      </c>
      <c r="AL104" s="58">
        <f t="shared" si="25"/>
        <v>0</v>
      </c>
      <c r="AM104" s="103" t="s">
        <v>227</v>
      </c>
      <c r="AO104" s="45"/>
      <c r="AP104" s="5">
        <v>470</v>
      </c>
      <c r="AQ104" s="5" t="s">
        <v>177</v>
      </c>
      <c r="AR104" s="5" t="s">
        <v>176</v>
      </c>
      <c r="AS104" s="5"/>
      <c r="AT104" s="5">
        <v>1</v>
      </c>
      <c r="AU104" s="69">
        <v>21490</v>
      </c>
      <c r="AV104" s="70">
        <v>21490</v>
      </c>
    </row>
    <row r="105" spans="1:48">
      <c r="A105" s="6">
        <v>6</v>
      </c>
      <c r="B105" s="5" t="s">
        <v>143</v>
      </c>
      <c r="C105" s="11">
        <v>44</v>
      </c>
      <c r="D105" s="11">
        <v>621</v>
      </c>
      <c r="E105" s="11">
        <v>701</v>
      </c>
      <c r="F105" s="11">
        <v>1223</v>
      </c>
      <c r="G105" s="11">
        <v>1237</v>
      </c>
      <c r="H105" s="11">
        <v>48</v>
      </c>
      <c r="I105" s="3">
        <v>3875</v>
      </c>
      <c r="V105" s="45"/>
      <c r="W105" s="5">
        <v>500</v>
      </c>
      <c r="X105" s="5" t="s">
        <v>225</v>
      </c>
      <c r="Y105" s="5">
        <v>3.17</v>
      </c>
      <c r="Z105" s="48">
        <f t="shared" si="26"/>
        <v>39625</v>
      </c>
      <c r="AA105" s="5">
        <v>0</v>
      </c>
      <c r="AB105" s="48">
        <f t="shared" si="27"/>
        <v>0</v>
      </c>
      <c r="AC105" s="5">
        <v>0</v>
      </c>
      <c r="AD105" s="48">
        <f t="shared" si="28"/>
        <v>0</v>
      </c>
      <c r="AE105" s="5">
        <v>0</v>
      </c>
      <c r="AF105" s="48">
        <f t="shared" si="29"/>
        <v>0</v>
      </c>
      <c r="AG105" s="5">
        <v>0</v>
      </c>
      <c r="AH105" s="48">
        <f t="shared" si="30"/>
        <v>0</v>
      </c>
      <c r="AI105" s="5">
        <v>0</v>
      </c>
      <c r="AJ105" s="48">
        <f t="shared" si="31"/>
        <v>0</v>
      </c>
      <c r="AK105" s="57">
        <f t="shared" si="25"/>
        <v>3.17</v>
      </c>
      <c r="AL105" s="58">
        <f t="shared" si="25"/>
        <v>39625</v>
      </c>
      <c r="AM105" s="103" t="s">
        <v>225</v>
      </c>
      <c r="AO105" s="45"/>
      <c r="AP105" s="5">
        <v>470</v>
      </c>
      <c r="AQ105" s="5" t="s">
        <v>177</v>
      </c>
      <c r="AR105" s="5" t="s">
        <v>176</v>
      </c>
      <c r="AS105" s="5"/>
      <c r="AT105" s="5">
        <v>1</v>
      </c>
      <c r="AU105" s="69">
        <v>21490</v>
      </c>
      <c r="AV105" s="70">
        <v>21490</v>
      </c>
    </row>
    <row r="106" spans="1:48">
      <c r="A106" s="6">
        <v>7</v>
      </c>
      <c r="B106" s="5" t="s">
        <v>140</v>
      </c>
      <c r="C106" s="12">
        <v>87</v>
      </c>
      <c r="D106" s="12">
        <v>169</v>
      </c>
      <c r="E106" s="12">
        <v>34</v>
      </c>
      <c r="F106" s="5" t="s">
        <v>137</v>
      </c>
      <c r="G106" s="5" t="s">
        <v>137</v>
      </c>
      <c r="H106" s="5" t="s">
        <v>137</v>
      </c>
      <c r="I106" s="3">
        <v>290</v>
      </c>
      <c r="V106" s="45"/>
      <c r="W106" s="5">
        <v>500</v>
      </c>
      <c r="X106" s="5" t="s">
        <v>223</v>
      </c>
      <c r="Y106" s="5">
        <v>23.33</v>
      </c>
      <c r="Z106" s="48">
        <f t="shared" si="26"/>
        <v>291625</v>
      </c>
      <c r="AA106" s="5">
        <v>3.06</v>
      </c>
      <c r="AB106" s="48">
        <f t="shared" si="27"/>
        <v>38250</v>
      </c>
      <c r="AC106" s="5">
        <v>0</v>
      </c>
      <c r="AD106" s="48">
        <f t="shared" si="28"/>
        <v>0</v>
      </c>
      <c r="AE106" s="5">
        <v>0</v>
      </c>
      <c r="AF106" s="48">
        <f t="shared" si="29"/>
        <v>0</v>
      </c>
      <c r="AG106" s="5">
        <v>0</v>
      </c>
      <c r="AH106" s="48">
        <f t="shared" si="30"/>
        <v>0</v>
      </c>
      <c r="AI106" s="5">
        <v>0</v>
      </c>
      <c r="AJ106" s="48">
        <f t="shared" si="31"/>
        <v>0</v>
      </c>
      <c r="AK106" s="57">
        <f t="shared" si="25"/>
        <v>26.389999999999997</v>
      </c>
      <c r="AL106" s="58">
        <f t="shared" si="25"/>
        <v>329875</v>
      </c>
      <c r="AM106" s="103" t="s">
        <v>223</v>
      </c>
      <c r="AO106" s="45"/>
      <c r="AP106" s="5">
        <v>470</v>
      </c>
      <c r="AQ106" s="5" t="s">
        <v>177</v>
      </c>
      <c r="AR106" s="5" t="s">
        <v>176</v>
      </c>
      <c r="AS106" s="5"/>
      <c r="AT106" s="5">
        <v>1</v>
      </c>
      <c r="AU106" s="69">
        <v>14700</v>
      </c>
      <c r="AV106" s="70">
        <v>14700</v>
      </c>
    </row>
    <row r="107" spans="1:48">
      <c r="A107" s="6">
        <v>8</v>
      </c>
      <c r="B107" s="5" t="s">
        <v>138</v>
      </c>
      <c r="C107" s="12">
        <v>14</v>
      </c>
      <c r="D107" s="12">
        <v>1048</v>
      </c>
      <c r="E107" s="12">
        <v>311</v>
      </c>
      <c r="F107" s="5" t="s">
        <v>137</v>
      </c>
      <c r="G107" s="5" t="s">
        <v>137</v>
      </c>
      <c r="H107" s="5" t="s">
        <v>137</v>
      </c>
      <c r="I107" s="3">
        <v>1373</v>
      </c>
      <c r="V107" s="45"/>
      <c r="W107" s="5">
        <v>500</v>
      </c>
      <c r="X107" s="5" t="s">
        <v>212</v>
      </c>
      <c r="Y107" s="5">
        <v>0.54</v>
      </c>
      <c r="Z107" s="48">
        <f t="shared" si="26"/>
        <v>6750</v>
      </c>
      <c r="AA107" s="5">
        <v>2.4500000000000002</v>
      </c>
      <c r="AB107" s="48">
        <f t="shared" si="27"/>
        <v>30625.000000000004</v>
      </c>
      <c r="AC107" s="5">
        <v>0</v>
      </c>
      <c r="AD107" s="48">
        <f t="shared" si="28"/>
        <v>0</v>
      </c>
      <c r="AE107" s="5">
        <v>0</v>
      </c>
      <c r="AF107" s="48">
        <f t="shared" si="29"/>
        <v>0</v>
      </c>
      <c r="AG107" s="5">
        <v>0</v>
      </c>
      <c r="AH107" s="48">
        <f t="shared" si="30"/>
        <v>0</v>
      </c>
      <c r="AI107" s="5">
        <v>0</v>
      </c>
      <c r="AJ107" s="48">
        <f t="shared" si="31"/>
        <v>0</v>
      </c>
      <c r="AK107" s="57">
        <f t="shared" si="25"/>
        <v>2.99</v>
      </c>
      <c r="AL107" s="58">
        <f t="shared" si="25"/>
        <v>37375</v>
      </c>
      <c r="AM107" s="116" t="s">
        <v>212</v>
      </c>
      <c r="AO107" s="45"/>
      <c r="AP107" s="5">
        <v>470</v>
      </c>
      <c r="AQ107" s="5" t="s">
        <v>177</v>
      </c>
      <c r="AR107" s="5" t="s">
        <v>176</v>
      </c>
      <c r="AS107" s="5"/>
      <c r="AT107" s="5">
        <v>1</v>
      </c>
      <c r="AU107" s="69">
        <v>2800</v>
      </c>
      <c r="AV107" s="70">
        <v>2800</v>
      </c>
    </row>
    <row r="108" spans="1:48">
      <c r="A108" s="6">
        <v>9</v>
      </c>
      <c r="B108" s="5" t="s">
        <v>135</v>
      </c>
      <c r="C108" s="11">
        <v>289</v>
      </c>
      <c r="D108" s="11">
        <v>1136</v>
      </c>
      <c r="E108" s="11">
        <v>1180</v>
      </c>
      <c r="F108" s="11">
        <v>1176</v>
      </c>
      <c r="G108" s="11">
        <v>1239</v>
      </c>
      <c r="H108" s="11">
        <v>943</v>
      </c>
      <c r="I108" s="3">
        <v>5963</v>
      </c>
      <c r="V108" s="45"/>
      <c r="W108" s="5">
        <v>500</v>
      </c>
      <c r="X108" s="5" t="s">
        <v>218</v>
      </c>
      <c r="Y108" s="5">
        <v>21.49</v>
      </c>
      <c r="Z108" s="48">
        <f>Y108*TCost</f>
        <v>143266.66666666666</v>
      </c>
      <c r="AA108" s="5">
        <v>1.62</v>
      </c>
      <c r="AB108" s="48">
        <f>AA108*TCost</f>
        <v>10800.000000000002</v>
      </c>
      <c r="AC108" s="5">
        <v>0</v>
      </c>
      <c r="AD108" s="48">
        <f>AC108*TCost</f>
        <v>0</v>
      </c>
      <c r="AE108" s="5">
        <v>0</v>
      </c>
      <c r="AF108" s="48">
        <f>AE108*TCost</f>
        <v>0</v>
      </c>
      <c r="AG108" s="5">
        <v>0</v>
      </c>
      <c r="AH108" s="48">
        <f>AG108*TCost</f>
        <v>0</v>
      </c>
      <c r="AI108" s="5">
        <v>0</v>
      </c>
      <c r="AJ108" s="48">
        <f>AI108*TCost</f>
        <v>0</v>
      </c>
      <c r="AK108" s="57">
        <f t="shared" si="25"/>
        <v>23.11</v>
      </c>
      <c r="AL108" s="58">
        <f t="shared" si="25"/>
        <v>154066.66666666666</v>
      </c>
      <c r="AM108" s="103" t="s">
        <v>218</v>
      </c>
      <c r="AO108" s="45"/>
      <c r="AP108" s="5">
        <v>470</v>
      </c>
      <c r="AQ108" s="5" t="s">
        <v>177</v>
      </c>
      <c r="AR108" s="5" t="s">
        <v>176</v>
      </c>
      <c r="AS108" s="5"/>
      <c r="AT108" s="5">
        <v>1</v>
      </c>
      <c r="AU108" s="69">
        <v>8400</v>
      </c>
      <c r="AV108" s="70">
        <v>8400</v>
      </c>
    </row>
    <row r="109" spans="1:48">
      <c r="A109" s="6"/>
      <c r="B109" s="10" t="s">
        <v>184</v>
      </c>
      <c r="C109" s="4">
        <v>1412</v>
      </c>
      <c r="D109" s="4">
        <v>1277</v>
      </c>
      <c r="E109" s="4">
        <v>434</v>
      </c>
      <c r="F109" s="4">
        <v>456</v>
      </c>
      <c r="G109" s="4">
        <v>470</v>
      </c>
      <c r="H109" s="4">
        <v>206</v>
      </c>
      <c r="I109" s="3">
        <v>4255</v>
      </c>
      <c r="V109" s="45"/>
      <c r="W109" s="5">
        <v>500</v>
      </c>
      <c r="X109" s="5" t="s">
        <v>142</v>
      </c>
      <c r="Y109" s="5">
        <v>3.9</v>
      </c>
      <c r="Z109" s="48">
        <f>Y109*TCost</f>
        <v>26000</v>
      </c>
      <c r="AA109" s="5">
        <v>0</v>
      </c>
      <c r="AB109" s="48">
        <f>AA109*TCost</f>
        <v>0</v>
      </c>
      <c r="AC109" s="5">
        <v>0</v>
      </c>
      <c r="AD109" s="48">
        <f>AC109*TCost</f>
        <v>0</v>
      </c>
      <c r="AE109" s="5">
        <v>0</v>
      </c>
      <c r="AF109" s="48">
        <f>AE109*TCost</f>
        <v>0</v>
      </c>
      <c r="AG109" s="5">
        <v>0</v>
      </c>
      <c r="AH109" s="48">
        <f>AG109*TCost</f>
        <v>0</v>
      </c>
      <c r="AI109" s="5">
        <v>0</v>
      </c>
      <c r="AJ109" s="48">
        <f>AI109*TCost</f>
        <v>0</v>
      </c>
      <c r="AK109" s="57">
        <f t="shared" si="25"/>
        <v>3.9</v>
      </c>
      <c r="AL109" s="58">
        <f t="shared" si="25"/>
        <v>26000</v>
      </c>
      <c r="AM109" s="103" t="s">
        <v>142</v>
      </c>
      <c r="AO109" s="45"/>
      <c r="AP109" s="5">
        <v>470</v>
      </c>
      <c r="AQ109" s="5" t="s">
        <v>177</v>
      </c>
      <c r="AR109" s="5" t="s">
        <v>176</v>
      </c>
      <c r="AS109" s="5"/>
      <c r="AT109" s="5">
        <v>1</v>
      </c>
      <c r="AU109" s="69">
        <v>4200</v>
      </c>
      <c r="AV109" s="70">
        <v>4200</v>
      </c>
    </row>
    <row r="110" spans="1:48">
      <c r="A110" s="9"/>
      <c r="B110" s="8" t="s">
        <v>130</v>
      </c>
      <c r="C110" s="7">
        <v>9953</v>
      </c>
      <c r="D110" s="7">
        <v>9003</v>
      </c>
      <c r="E110" s="7">
        <v>3062</v>
      </c>
      <c r="F110" s="7">
        <v>3218</v>
      </c>
      <c r="G110" s="7">
        <v>3312</v>
      </c>
      <c r="H110" s="7">
        <v>1451</v>
      </c>
      <c r="I110" s="19">
        <v>30000</v>
      </c>
      <c r="V110" s="45"/>
      <c r="W110" s="5"/>
      <c r="X110" s="55" t="s">
        <v>0</v>
      </c>
      <c r="Y110" s="55">
        <v>99.63</v>
      </c>
      <c r="Z110" s="59">
        <f>SUM(Z101:Z109)</f>
        <v>1100475</v>
      </c>
      <c r="AA110" s="55">
        <v>21.28</v>
      </c>
      <c r="AB110" s="59">
        <f>SUM(AB101:AB109)</f>
        <v>259341.66666666669</v>
      </c>
      <c r="AC110" s="55"/>
      <c r="AD110" s="59">
        <f>SUM(AD101:AD109)</f>
        <v>0</v>
      </c>
      <c r="AE110" s="55"/>
      <c r="AF110" s="59">
        <f>SUM(AF101:AF109)</f>
        <v>0</v>
      </c>
      <c r="AG110" s="55"/>
      <c r="AH110" s="59">
        <f>SUM(AH101:AH109)</f>
        <v>0</v>
      </c>
      <c r="AI110" s="55"/>
      <c r="AJ110" s="59">
        <f>SUM(AJ101:AJ109)</f>
        <v>0</v>
      </c>
      <c r="AK110" s="57">
        <f t="shared" si="25"/>
        <v>120.91</v>
      </c>
      <c r="AL110" s="60">
        <f t="shared" si="25"/>
        <v>1359816.6666666667</v>
      </c>
      <c r="AM110" s="103"/>
      <c r="AO110" s="45"/>
      <c r="AP110" s="5">
        <v>470</v>
      </c>
      <c r="AQ110" s="5" t="s">
        <v>177</v>
      </c>
      <c r="AR110" s="5" t="s">
        <v>176</v>
      </c>
      <c r="AS110" s="5"/>
      <c r="AT110" s="5">
        <v>1</v>
      </c>
      <c r="AU110" s="69">
        <v>10413</v>
      </c>
      <c r="AV110" s="70">
        <v>10413</v>
      </c>
    </row>
    <row r="111" spans="1:48">
      <c r="A111" s="6"/>
      <c r="B111" s="5" t="s">
        <v>127</v>
      </c>
      <c r="C111" s="4">
        <v>77</v>
      </c>
      <c r="D111" s="4">
        <v>77</v>
      </c>
      <c r="E111" s="4">
        <v>77</v>
      </c>
      <c r="F111" s="4">
        <v>77</v>
      </c>
      <c r="G111" s="4">
        <v>77</v>
      </c>
      <c r="H111" s="4">
        <v>77</v>
      </c>
      <c r="I111" s="3">
        <v>459</v>
      </c>
      <c r="V111" s="45" t="s">
        <v>1</v>
      </c>
      <c r="W111" s="5">
        <v>650</v>
      </c>
      <c r="X111" s="5" t="s">
        <v>212</v>
      </c>
      <c r="Y111" s="5">
        <v>1.91</v>
      </c>
      <c r="Z111" s="48">
        <f>Y111*ECost</f>
        <v>23875</v>
      </c>
      <c r="AA111" s="5">
        <v>7.52</v>
      </c>
      <c r="AB111" s="48">
        <f>AA111*ECost</f>
        <v>94000</v>
      </c>
      <c r="AC111" s="5">
        <v>3.06</v>
      </c>
      <c r="AD111" s="48">
        <f>AC111*ECost</f>
        <v>38250</v>
      </c>
      <c r="AE111" s="5">
        <v>6.12</v>
      </c>
      <c r="AF111" s="48">
        <f>AE111*ECost</f>
        <v>76500</v>
      </c>
      <c r="AG111" s="5">
        <v>6.12</v>
      </c>
      <c r="AH111" s="48">
        <f>AG111*ECost</f>
        <v>76500</v>
      </c>
      <c r="AI111" s="5">
        <v>0</v>
      </c>
      <c r="AJ111" s="48">
        <f>AI111*ECost</f>
        <v>0</v>
      </c>
      <c r="AK111" s="57">
        <f t="shared" si="25"/>
        <v>24.73</v>
      </c>
      <c r="AL111" s="58">
        <f t="shared" si="25"/>
        <v>309125</v>
      </c>
      <c r="AM111" s="116" t="s">
        <v>212</v>
      </c>
      <c r="AO111" s="45"/>
      <c r="AP111" s="5">
        <v>470</v>
      </c>
      <c r="AQ111" s="5" t="s">
        <v>177</v>
      </c>
      <c r="AR111" s="5" t="s">
        <v>176</v>
      </c>
      <c r="AS111" s="5"/>
      <c r="AT111" s="5">
        <v>1</v>
      </c>
      <c r="AU111" s="69">
        <v>10413</v>
      </c>
      <c r="AV111" s="70">
        <v>10413</v>
      </c>
    </row>
    <row r="112" spans="1:48">
      <c r="A112" s="257" t="s">
        <v>124</v>
      </c>
      <c r="B112" s="258"/>
      <c r="C112" s="4">
        <v>20</v>
      </c>
      <c r="D112" s="4">
        <v>20</v>
      </c>
      <c r="E112" s="4">
        <v>20</v>
      </c>
      <c r="F112" s="4">
        <v>20</v>
      </c>
      <c r="G112" s="4">
        <v>20</v>
      </c>
      <c r="H112" s="4">
        <v>20</v>
      </c>
      <c r="I112" s="3">
        <v>120</v>
      </c>
      <c r="V112" s="45"/>
      <c r="W112" s="55">
        <v>650</v>
      </c>
      <c r="X112" s="55" t="s">
        <v>0</v>
      </c>
      <c r="Y112" s="55">
        <v>1.91</v>
      </c>
      <c r="Z112" s="59">
        <f>SUM(Z111)</f>
        <v>23875</v>
      </c>
      <c r="AA112" s="55">
        <v>7.52</v>
      </c>
      <c r="AB112" s="59">
        <f>SUM(AB111)</f>
        <v>94000</v>
      </c>
      <c r="AC112" s="55">
        <v>3.06</v>
      </c>
      <c r="AD112" s="59">
        <f>SUM(AD111)</f>
        <v>38250</v>
      </c>
      <c r="AE112" s="55">
        <v>6.12</v>
      </c>
      <c r="AF112" s="59">
        <f>SUM(AF111)</f>
        <v>76500</v>
      </c>
      <c r="AG112" s="55">
        <v>6.12</v>
      </c>
      <c r="AH112" s="59">
        <f>SUM(AH111)</f>
        <v>76500</v>
      </c>
      <c r="AI112" s="55">
        <v>0</v>
      </c>
      <c r="AJ112" s="59">
        <f>SUM(AJ111)</f>
        <v>0</v>
      </c>
      <c r="AK112" s="57">
        <f t="shared" si="25"/>
        <v>24.73</v>
      </c>
      <c r="AL112" s="60">
        <f t="shared" si="25"/>
        <v>309125</v>
      </c>
      <c r="AM112" s="103"/>
      <c r="AO112" s="45"/>
      <c r="AP112" s="5">
        <v>470</v>
      </c>
      <c r="AQ112" s="5" t="s">
        <v>177</v>
      </c>
      <c r="AR112" s="5" t="s">
        <v>176</v>
      </c>
      <c r="AS112" s="5"/>
      <c r="AT112" s="5">
        <v>1</v>
      </c>
      <c r="AU112" s="69">
        <v>8750</v>
      </c>
      <c r="AV112" s="70">
        <v>8750</v>
      </c>
    </row>
    <row r="113" spans="1:48">
      <c r="A113" s="257" t="s">
        <v>121</v>
      </c>
      <c r="B113" s="258"/>
      <c r="C113" s="4">
        <v>88</v>
      </c>
      <c r="D113" s="4">
        <v>88</v>
      </c>
      <c r="E113" s="5" t="s">
        <v>137</v>
      </c>
      <c r="F113" s="5" t="s">
        <v>137</v>
      </c>
      <c r="G113" s="5" t="s">
        <v>137</v>
      </c>
      <c r="H113" s="5" t="s">
        <v>137</v>
      </c>
      <c r="I113" s="3">
        <v>175</v>
      </c>
      <c r="V113" s="45" t="s">
        <v>3</v>
      </c>
      <c r="W113" s="5">
        <v>630</v>
      </c>
      <c r="X113" s="5" t="s">
        <v>37</v>
      </c>
      <c r="Y113" s="5">
        <v>0</v>
      </c>
      <c r="Z113" s="48">
        <f t="shared" ref="Z113:Z120" si="32">Y113*TCost</f>
        <v>0</v>
      </c>
      <c r="AA113" s="5">
        <v>0.5</v>
      </c>
      <c r="AB113" s="48">
        <f t="shared" ref="AB113:AB120" si="33">AA113*TCost</f>
        <v>3333.3333333333335</v>
      </c>
      <c r="AC113" s="5">
        <v>0</v>
      </c>
      <c r="AD113" s="48">
        <f t="shared" ref="AD113:AD120" si="34">AC113*TCost</f>
        <v>0</v>
      </c>
      <c r="AE113" s="5">
        <v>0</v>
      </c>
      <c r="AF113" s="48">
        <f t="shared" ref="AF113:AF120" si="35">AE113*TCost</f>
        <v>0</v>
      </c>
      <c r="AG113" s="5">
        <v>0</v>
      </c>
      <c r="AH113" s="48">
        <f t="shared" ref="AH113:AH120" si="36">AG113*TCost</f>
        <v>0</v>
      </c>
      <c r="AI113" s="5">
        <v>0</v>
      </c>
      <c r="AJ113" s="48">
        <f t="shared" ref="AJ113:AJ120" si="37">AI113*TCost</f>
        <v>0</v>
      </c>
      <c r="AK113" s="57">
        <f t="shared" si="25"/>
        <v>0.5</v>
      </c>
      <c r="AL113" s="58">
        <f t="shared" si="25"/>
        <v>3333.3333333333335</v>
      </c>
      <c r="AM113" s="103" t="s">
        <v>37</v>
      </c>
      <c r="AO113" s="45"/>
      <c r="AP113" s="5">
        <v>470</v>
      </c>
      <c r="AQ113" s="5" t="s">
        <v>177</v>
      </c>
      <c r="AR113" s="5" t="s">
        <v>176</v>
      </c>
      <c r="AS113" s="5"/>
      <c r="AT113" s="5">
        <v>1</v>
      </c>
      <c r="AU113" s="69">
        <v>8750</v>
      </c>
      <c r="AV113" s="70">
        <v>8750</v>
      </c>
    </row>
    <row r="114" spans="1:48">
      <c r="A114" s="6"/>
      <c r="B114" s="5"/>
      <c r="C114" s="5"/>
      <c r="D114" s="5"/>
      <c r="E114" s="5"/>
      <c r="F114" s="5"/>
      <c r="G114" s="5"/>
      <c r="H114" s="5"/>
      <c r="I114" s="13"/>
      <c r="V114" s="45"/>
      <c r="W114" s="5">
        <v>630</v>
      </c>
      <c r="X114" s="5" t="s">
        <v>37</v>
      </c>
      <c r="Y114" s="5">
        <v>0</v>
      </c>
      <c r="Z114" s="48">
        <f t="shared" si="32"/>
        <v>0</v>
      </c>
      <c r="AA114" s="5">
        <v>1</v>
      </c>
      <c r="AB114" s="48">
        <f t="shared" si="33"/>
        <v>6666.666666666667</v>
      </c>
      <c r="AC114" s="5">
        <v>0</v>
      </c>
      <c r="AD114" s="48">
        <f t="shared" si="34"/>
        <v>0</v>
      </c>
      <c r="AE114" s="5">
        <v>0</v>
      </c>
      <c r="AF114" s="48">
        <f t="shared" si="35"/>
        <v>0</v>
      </c>
      <c r="AG114" s="5">
        <v>0</v>
      </c>
      <c r="AH114" s="48">
        <f t="shared" si="36"/>
        <v>0</v>
      </c>
      <c r="AI114" s="5">
        <v>0</v>
      </c>
      <c r="AJ114" s="48">
        <f t="shared" si="37"/>
        <v>0</v>
      </c>
      <c r="AK114" s="57">
        <f t="shared" si="25"/>
        <v>1</v>
      </c>
      <c r="AL114" s="58">
        <f t="shared" si="25"/>
        <v>6666.666666666667</v>
      </c>
      <c r="AM114" s="103" t="s">
        <v>37</v>
      </c>
      <c r="AO114" s="45"/>
      <c r="AP114" s="5">
        <v>470</v>
      </c>
      <c r="AQ114" s="5" t="s">
        <v>177</v>
      </c>
      <c r="AR114" s="5" t="s">
        <v>176</v>
      </c>
      <c r="AS114" s="5"/>
      <c r="AT114" s="5">
        <v>1</v>
      </c>
      <c r="AU114" s="69">
        <v>12000</v>
      </c>
      <c r="AV114" s="70">
        <v>12000</v>
      </c>
    </row>
    <row r="115" spans="1:48">
      <c r="A115" s="9"/>
      <c r="B115" s="8" t="s">
        <v>117</v>
      </c>
      <c r="C115" s="7">
        <v>184</v>
      </c>
      <c r="D115" s="7">
        <v>184</v>
      </c>
      <c r="E115" s="7">
        <v>97</v>
      </c>
      <c r="F115" s="7">
        <v>97</v>
      </c>
      <c r="G115" s="7">
        <v>97</v>
      </c>
      <c r="H115" s="7">
        <v>97</v>
      </c>
      <c r="I115" s="19">
        <v>754</v>
      </c>
      <c r="V115" s="45"/>
      <c r="W115" s="5">
        <v>652</v>
      </c>
      <c r="X115" s="5" t="s">
        <v>208</v>
      </c>
      <c r="Y115" s="5">
        <v>0.01</v>
      </c>
      <c r="Z115" s="48">
        <f t="shared" si="32"/>
        <v>66.666666666666671</v>
      </c>
      <c r="AA115" s="5">
        <v>2</v>
      </c>
      <c r="AB115" s="48">
        <f t="shared" si="33"/>
        <v>13333.333333333334</v>
      </c>
      <c r="AC115" s="5">
        <v>0</v>
      </c>
      <c r="AD115" s="48">
        <f t="shared" si="34"/>
        <v>0</v>
      </c>
      <c r="AE115" s="5">
        <v>0</v>
      </c>
      <c r="AF115" s="48">
        <f t="shared" si="35"/>
        <v>0</v>
      </c>
      <c r="AG115" s="5">
        <v>0</v>
      </c>
      <c r="AH115" s="48">
        <f t="shared" si="36"/>
        <v>0</v>
      </c>
      <c r="AI115" s="5">
        <v>0</v>
      </c>
      <c r="AJ115" s="48">
        <f t="shared" si="37"/>
        <v>0</v>
      </c>
      <c r="AK115" s="57">
        <f t="shared" si="25"/>
        <v>2.0099999999999998</v>
      </c>
      <c r="AL115" s="58">
        <f t="shared" si="25"/>
        <v>13400</v>
      </c>
      <c r="AM115" s="103" t="s">
        <v>208</v>
      </c>
      <c r="AO115" s="45"/>
      <c r="AP115" s="5">
        <v>470</v>
      </c>
      <c r="AQ115" s="5" t="s">
        <v>175</v>
      </c>
      <c r="AR115" s="5" t="s">
        <v>174</v>
      </c>
      <c r="AS115" s="5"/>
      <c r="AT115" s="5">
        <v>5</v>
      </c>
      <c r="AU115" s="69">
        <v>10000</v>
      </c>
      <c r="AV115" s="70">
        <v>50000</v>
      </c>
    </row>
    <row r="116" spans="1:48">
      <c r="A116" s="6"/>
      <c r="B116" s="5" t="s">
        <v>113</v>
      </c>
      <c r="C116" s="4">
        <v>10137</v>
      </c>
      <c r="D116" s="4">
        <v>9187</v>
      </c>
      <c r="E116" s="4">
        <v>3158</v>
      </c>
      <c r="F116" s="4">
        <v>3314</v>
      </c>
      <c r="G116" s="4">
        <v>3409</v>
      </c>
      <c r="H116" s="4">
        <v>1548</v>
      </c>
      <c r="I116" s="3">
        <v>30754</v>
      </c>
      <c r="V116" s="45"/>
      <c r="W116" s="5">
        <v>660</v>
      </c>
      <c r="X116" s="5" t="s">
        <v>206</v>
      </c>
      <c r="Y116" s="5">
        <v>0</v>
      </c>
      <c r="Z116" s="48">
        <f t="shared" si="32"/>
        <v>0</v>
      </c>
      <c r="AA116" s="5">
        <v>0.05</v>
      </c>
      <c r="AB116" s="48">
        <f t="shared" si="33"/>
        <v>333.33333333333337</v>
      </c>
      <c r="AC116" s="5">
        <v>0.6</v>
      </c>
      <c r="AD116" s="48">
        <f t="shared" si="34"/>
        <v>4000</v>
      </c>
      <c r="AE116" s="5">
        <v>0.15</v>
      </c>
      <c r="AF116" s="48">
        <f t="shared" si="35"/>
        <v>1000</v>
      </c>
      <c r="AG116" s="5">
        <v>0</v>
      </c>
      <c r="AH116" s="48">
        <f t="shared" si="36"/>
        <v>0</v>
      </c>
      <c r="AI116" s="5">
        <v>0</v>
      </c>
      <c r="AJ116" s="48">
        <f t="shared" si="37"/>
        <v>0</v>
      </c>
      <c r="AK116" s="57">
        <f t="shared" si="25"/>
        <v>0.8</v>
      </c>
      <c r="AL116" s="58">
        <f t="shared" si="25"/>
        <v>5333.333333333333</v>
      </c>
      <c r="AM116" s="103" t="s">
        <v>206</v>
      </c>
      <c r="AP116" s="45">
        <v>470</v>
      </c>
      <c r="AQ116" s="5" t="s">
        <v>175</v>
      </c>
      <c r="AR116" s="5" t="s">
        <v>174</v>
      </c>
      <c r="AS116" s="5"/>
      <c r="AT116" s="5">
        <v>5</v>
      </c>
      <c r="AU116" s="69">
        <v>5000</v>
      </c>
      <c r="AV116" s="69">
        <v>25000</v>
      </c>
    </row>
    <row r="117" spans="1:48">
      <c r="A117" s="6"/>
      <c r="B117" s="5"/>
      <c r="C117" s="5"/>
      <c r="D117" s="5"/>
      <c r="E117" s="5"/>
      <c r="F117" s="5"/>
      <c r="G117" s="5"/>
      <c r="H117" s="5"/>
      <c r="I117" s="13"/>
      <c r="V117" s="45"/>
      <c r="W117" s="5">
        <v>661</v>
      </c>
      <c r="X117" s="5" t="s">
        <v>182</v>
      </c>
      <c r="Y117" s="5">
        <v>0.03</v>
      </c>
      <c r="Z117" s="48">
        <f t="shared" si="32"/>
        <v>200</v>
      </c>
      <c r="AA117" s="5">
        <v>0</v>
      </c>
      <c r="AB117" s="48">
        <f t="shared" si="33"/>
        <v>0</v>
      </c>
      <c r="AC117" s="5">
        <v>0.93</v>
      </c>
      <c r="AD117" s="48">
        <f t="shared" si="34"/>
        <v>6200.0000000000009</v>
      </c>
      <c r="AE117" s="5">
        <v>2.2400000000000002</v>
      </c>
      <c r="AF117" s="48">
        <f t="shared" si="35"/>
        <v>14933.333333333336</v>
      </c>
      <c r="AG117" s="5">
        <v>2.2400000000000002</v>
      </c>
      <c r="AH117" s="48">
        <f t="shared" si="36"/>
        <v>14933.333333333336</v>
      </c>
      <c r="AI117" s="5">
        <v>1.68</v>
      </c>
      <c r="AJ117" s="48">
        <f t="shared" si="37"/>
        <v>11200</v>
      </c>
      <c r="AK117" s="57">
        <f t="shared" si="25"/>
        <v>7.12</v>
      </c>
      <c r="AL117" s="58">
        <f t="shared" si="25"/>
        <v>47466.666666666672</v>
      </c>
      <c r="AM117" s="103" t="s">
        <v>182</v>
      </c>
      <c r="AO117" s="45"/>
      <c r="AP117" s="5">
        <v>470</v>
      </c>
      <c r="AQ117" s="5" t="s">
        <v>175</v>
      </c>
      <c r="AR117" s="5" t="s">
        <v>174</v>
      </c>
      <c r="AS117" s="5"/>
      <c r="AT117" s="5">
        <v>40</v>
      </c>
      <c r="AU117" s="69">
        <v>500</v>
      </c>
      <c r="AV117" s="70">
        <v>20000</v>
      </c>
    </row>
    <row r="118" spans="1:48">
      <c r="A118" s="6"/>
      <c r="B118" s="5"/>
      <c r="C118" s="18"/>
      <c r="D118" s="5" t="s">
        <v>173</v>
      </c>
      <c r="E118" s="5"/>
      <c r="F118" s="5"/>
      <c r="G118" s="5"/>
      <c r="H118" s="5"/>
      <c r="I118" s="13"/>
      <c r="V118" s="45"/>
      <c r="W118" s="5">
        <v>611</v>
      </c>
      <c r="X118" s="5" t="s">
        <v>205</v>
      </c>
      <c r="Y118" s="5">
        <v>0.02</v>
      </c>
      <c r="Z118" s="48">
        <f t="shared" si="32"/>
        <v>133.33333333333334</v>
      </c>
      <c r="AA118" s="5">
        <v>0.23</v>
      </c>
      <c r="AB118" s="48">
        <f t="shared" si="33"/>
        <v>1533.3333333333335</v>
      </c>
      <c r="AC118" s="5">
        <v>0</v>
      </c>
      <c r="AD118" s="48">
        <f t="shared" si="34"/>
        <v>0</v>
      </c>
      <c r="AE118" s="5">
        <v>0</v>
      </c>
      <c r="AF118" s="48">
        <f t="shared" si="35"/>
        <v>0</v>
      </c>
      <c r="AG118" s="5">
        <v>0</v>
      </c>
      <c r="AH118" s="48">
        <f t="shared" si="36"/>
        <v>0</v>
      </c>
      <c r="AI118" s="5">
        <v>0</v>
      </c>
      <c r="AJ118" s="48">
        <f t="shared" si="37"/>
        <v>0</v>
      </c>
      <c r="AK118" s="57">
        <f t="shared" si="25"/>
        <v>0.25</v>
      </c>
      <c r="AL118" s="58">
        <f t="shared" si="25"/>
        <v>1666.6666666666667</v>
      </c>
      <c r="AM118" s="103" t="s">
        <v>205</v>
      </c>
      <c r="AO118" s="45"/>
      <c r="AP118" s="55" t="s">
        <v>0</v>
      </c>
      <c r="AQ118" s="55"/>
      <c r="AR118" s="55"/>
      <c r="AS118" s="55"/>
      <c r="AT118" s="55"/>
      <c r="AU118" s="72"/>
      <c r="AV118" s="73">
        <v>301760</v>
      </c>
    </row>
    <row r="119" spans="1:48" ht="15.75" thickBot="1">
      <c r="A119" s="17"/>
      <c r="B119" s="15"/>
      <c r="C119" s="16"/>
      <c r="D119" s="15" t="s">
        <v>172</v>
      </c>
      <c r="E119" s="15"/>
      <c r="F119" s="15"/>
      <c r="G119" s="15"/>
      <c r="H119" s="15"/>
      <c r="I119" s="14"/>
      <c r="V119" s="45"/>
      <c r="W119" s="5">
        <v>621</v>
      </c>
      <c r="X119" s="5" t="s">
        <v>182</v>
      </c>
      <c r="Y119" s="5">
        <v>0</v>
      </c>
      <c r="Z119" s="48">
        <f t="shared" si="32"/>
        <v>0</v>
      </c>
      <c r="AA119" s="5">
        <v>0</v>
      </c>
      <c r="AB119" s="48">
        <f t="shared" si="33"/>
        <v>0</v>
      </c>
      <c r="AC119" s="5">
        <v>0.25</v>
      </c>
      <c r="AD119" s="48">
        <f t="shared" si="34"/>
        <v>1666.6666666666667</v>
      </c>
      <c r="AE119" s="5">
        <v>0</v>
      </c>
      <c r="AF119" s="48">
        <f t="shared" si="35"/>
        <v>0</v>
      </c>
      <c r="AG119" s="5">
        <v>0</v>
      </c>
      <c r="AH119" s="48">
        <f t="shared" si="36"/>
        <v>0</v>
      </c>
      <c r="AI119" s="5">
        <v>0</v>
      </c>
      <c r="AJ119" s="48">
        <f t="shared" si="37"/>
        <v>0</v>
      </c>
      <c r="AK119" s="57">
        <f t="shared" si="25"/>
        <v>0.25</v>
      </c>
      <c r="AL119" s="58">
        <f t="shared" si="25"/>
        <v>1666.6666666666667</v>
      </c>
      <c r="AM119" s="103" t="s">
        <v>182</v>
      </c>
      <c r="AO119" s="45"/>
      <c r="AP119" s="5">
        <v>500</v>
      </c>
      <c r="AQ119" s="5" t="s">
        <v>171</v>
      </c>
      <c r="AR119" s="5"/>
      <c r="AS119" s="5"/>
      <c r="AT119" s="5">
        <v>2</v>
      </c>
      <c r="AU119" s="69">
        <v>860201</v>
      </c>
      <c r="AV119" s="70">
        <f t="shared" ref="AV119:AV150" si="38">AT119*AU119</f>
        <v>1720402</v>
      </c>
    </row>
    <row r="120" spans="1:48" ht="15.75" thickBot="1">
      <c r="V120" s="45"/>
      <c r="W120" s="5">
        <v>661</v>
      </c>
      <c r="X120" s="5" t="s">
        <v>203</v>
      </c>
      <c r="Y120" s="5">
        <v>0.01</v>
      </c>
      <c r="Z120" s="48">
        <f t="shared" si="32"/>
        <v>66.666666666666671</v>
      </c>
      <c r="AA120" s="5">
        <v>0</v>
      </c>
      <c r="AB120" s="48">
        <f t="shared" si="33"/>
        <v>0</v>
      </c>
      <c r="AC120" s="5">
        <v>2</v>
      </c>
      <c r="AD120" s="48">
        <f t="shared" si="34"/>
        <v>13333.333333333334</v>
      </c>
      <c r="AE120" s="5">
        <v>0</v>
      </c>
      <c r="AF120" s="48">
        <f t="shared" si="35"/>
        <v>0</v>
      </c>
      <c r="AG120" s="5">
        <v>0</v>
      </c>
      <c r="AH120" s="48">
        <f t="shared" si="36"/>
        <v>0</v>
      </c>
      <c r="AI120" s="5">
        <v>0</v>
      </c>
      <c r="AJ120" s="48">
        <f t="shared" si="37"/>
        <v>0</v>
      </c>
      <c r="AK120" s="57">
        <f t="shared" si="25"/>
        <v>2.0099999999999998</v>
      </c>
      <c r="AL120" s="58">
        <f t="shared" si="25"/>
        <v>13400</v>
      </c>
      <c r="AM120" s="103" t="s">
        <v>203</v>
      </c>
      <c r="AO120" s="45"/>
      <c r="AP120" s="5">
        <v>500</v>
      </c>
      <c r="AQ120" s="5" t="s">
        <v>92</v>
      </c>
      <c r="AR120" s="5"/>
      <c r="AS120" s="5"/>
      <c r="AT120" s="5">
        <v>8</v>
      </c>
      <c r="AU120" s="69">
        <v>4200</v>
      </c>
      <c r="AV120" s="70">
        <f t="shared" si="38"/>
        <v>33600</v>
      </c>
    </row>
    <row r="121" spans="1:48">
      <c r="A121" s="250" t="s">
        <v>169</v>
      </c>
      <c r="B121" s="254"/>
      <c r="C121" s="254"/>
      <c r="D121" s="254"/>
      <c r="E121" s="254"/>
      <c r="F121" s="254"/>
      <c r="G121" s="254"/>
      <c r="H121" s="254"/>
      <c r="I121" s="251"/>
      <c r="V121" s="45"/>
      <c r="W121" s="5"/>
      <c r="X121" s="55" t="s">
        <v>0</v>
      </c>
      <c r="Y121" s="55">
        <v>7.0000000000000007E-2</v>
      </c>
      <c r="Z121" s="59">
        <f>SUM(Z113:Z120)</f>
        <v>466.66666666666669</v>
      </c>
      <c r="AA121" s="55">
        <v>3.78</v>
      </c>
      <c r="AB121" s="59">
        <f>SUM(AB113:AB120)</f>
        <v>25200</v>
      </c>
      <c r="AC121" s="55">
        <v>3.78</v>
      </c>
      <c r="AD121" s="59">
        <f>SUM(AD113:AD120)</f>
        <v>25200</v>
      </c>
      <c r="AE121" s="55">
        <v>2.39</v>
      </c>
      <c r="AF121" s="59">
        <f>SUM(AF113:AF120)</f>
        <v>15933.333333333336</v>
      </c>
      <c r="AG121" s="55">
        <v>2.2400000000000002</v>
      </c>
      <c r="AH121" s="59">
        <f>SUM(AH113:AH120)</f>
        <v>14933.333333333336</v>
      </c>
      <c r="AI121" s="55">
        <v>1.68</v>
      </c>
      <c r="AJ121" s="59">
        <f>SUM(AJ113:AJ120)</f>
        <v>11200</v>
      </c>
      <c r="AK121" s="57">
        <f t="shared" si="25"/>
        <v>13.94</v>
      </c>
      <c r="AL121" s="60">
        <f t="shared" si="25"/>
        <v>92933.333333333343</v>
      </c>
      <c r="AM121" s="103"/>
      <c r="AO121" s="45"/>
      <c r="AP121" s="5">
        <v>500</v>
      </c>
      <c r="AQ121" s="5" t="s">
        <v>168</v>
      </c>
      <c r="AR121" s="5"/>
      <c r="AS121" s="5"/>
      <c r="AT121" s="5">
        <v>1</v>
      </c>
      <c r="AU121" s="69">
        <v>1000</v>
      </c>
      <c r="AV121" s="70">
        <f t="shared" si="38"/>
        <v>1000</v>
      </c>
    </row>
    <row r="122" spans="1:48">
      <c r="A122" s="255" t="s">
        <v>167</v>
      </c>
      <c r="B122" s="256"/>
      <c r="C122" s="5" t="s">
        <v>166</v>
      </c>
      <c r="D122" s="5" t="s">
        <v>165</v>
      </c>
      <c r="E122" s="5" t="s">
        <v>164</v>
      </c>
      <c r="F122" s="5" t="s">
        <v>163</v>
      </c>
      <c r="G122" s="5" t="s">
        <v>162</v>
      </c>
      <c r="H122" s="5" t="s">
        <v>161</v>
      </c>
      <c r="I122" s="5" t="s">
        <v>160</v>
      </c>
      <c r="J122" s="5" t="s">
        <v>159</v>
      </c>
      <c r="K122" s="5" t="s">
        <v>158</v>
      </c>
      <c r="L122" s="13" t="s">
        <v>157</v>
      </c>
      <c r="V122" s="45"/>
      <c r="W122" s="5">
        <v>710</v>
      </c>
      <c r="X122" s="5" t="s">
        <v>100</v>
      </c>
      <c r="Y122" s="5">
        <v>1.9</v>
      </c>
      <c r="Z122" s="48">
        <f>Y122*ECost</f>
        <v>23750</v>
      </c>
      <c r="AA122" s="5">
        <v>2.5</v>
      </c>
      <c r="AB122" s="48">
        <f>AA122*ECost</f>
        <v>31250</v>
      </c>
      <c r="AC122" s="5">
        <v>1.5</v>
      </c>
      <c r="AD122" s="48">
        <f>AC122*ECost</f>
        <v>18750</v>
      </c>
      <c r="AE122" s="5">
        <v>0</v>
      </c>
      <c r="AF122" s="48">
        <f>AE122*ECost</f>
        <v>0</v>
      </c>
      <c r="AG122" s="5">
        <v>0</v>
      </c>
      <c r="AH122" s="48">
        <f>AG122*ECost</f>
        <v>0</v>
      </c>
      <c r="AI122" s="5">
        <v>0</v>
      </c>
      <c r="AJ122" s="48">
        <f>AI122*ECost</f>
        <v>0</v>
      </c>
      <c r="AK122" s="57">
        <f t="shared" si="25"/>
        <v>5.9</v>
      </c>
      <c r="AL122" s="58">
        <f t="shared" si="25"/>
        <v>73750</v>
      </c>
      <c r="AM122" s="18" t="s">
        <v>100</v>
      </c>
      <c r="AO122" s="45"/>
      <c r="AP122" s="5">
        <v>500</v>
      </c>
      <c r="AQ122" s="5" t="s">
        <v>88</v>
      </c>
      <c r="AR122" s="5"/>
      <c r="AS122" s="5"/>
      <c r="AT122" s="5">
        <v>1</v>
      </c>
      <c r="AU122" s="69">
        <v>3000</v>
      </c>
      <c r="AV122" s="70">
        <f t="shared" si="38"/>
        <v>3000</v>
      </c>
    </row>
    <row r="123" spans="1:48">
      <c r="A123" s="6" t="s">
        <v>155</v>
      </c>
      <c r="B123" s="5" t="s">
        <v>154</v>
      </c>
      <c r="C123" s="5"/>
      <c r="D123" s="5"/>
      <c r="E123" s="5"/>
      <c r="F123" s="5"/>
      <c r="G123" s="5"/>
      <c r="H123" s="5"/>
      <c r="I123" s="5"/>
      <c r="J123" s="5"/>
      <c r="K123" s="5"/>
      <c r="L123" s="13"/>
      <c r="V123" s="45"/>
      <c r="W123" s="5">
        <v>710</v>
      </c>
      <c r="X123" s="5" t="s">
        <v>100</v>
      </c>
      <c r="Y123" s="5">
        <v>1.88</v>
      </c>
      <c r="Z123" s="48">
        <f>Y123*ECost</f>
        <v>23500</v>
      </c>
      <c r="AA123" s="5">
        <v>1.88</v>
      </c>
      <c r="AB123" s="48">
        <f>AA123*ECost</f>
        <v>23500</v>
      </c>
      <c r="AC123" s="5">
        <v>0</v>
      </c>
      <c r="AD123" s="48">
        <f>AC123*ECost</f>
        <v>0</v>
      </c>
      <c r="AE123" s="5">
        <v>0</v>
      </c>
      <c r="AF123" s="48">
        <f>AE123*ECost</f>
        <v>0</v>
      </c>
      <c r="AG123" s="5">
        <v>0</v>
      </c>
      <c r="AH123" s="48">
        <f>AG123*ECost</f>
        <v>0</v>
      </c>
      <c r="AI123" s="5">
        <v>0</v>
      </c>
      <c r="AJ123" s="48">
        <f>AI123*ECost</f>
        <v>0</v>
      </c>
      <c r="AK123" s="57">
        <f t="shared" si="25"/>
        <v>3.76</v>
      </c>
      <c r="AL123" s="58">
        <f t="shared" si="25"/>
        <v>47000</v>
      </c>
      <c r="AM123" s="18" t="s">
        <v>100</v>
      </c>
      <c r="AO123" s="45"/>
      <c r="AP123" s="5">
        <v>500</v>
      </c>
      <c r="AQ123" s="5" t="s">
        <v>111</v>
      </c>
      <c r="AR123" s="5"/>
      <c r="AS123" s="5"/>
      <c r="AT123" s="5">
        <v>2</v>
      </c>
      <c r="AU123" s="69">
        <v>2000</v>
      </c>
      <c r="AV123" s="70">
        <f t="shared" si="38"/>
        <v>4000</v>
      </c>
    </row>
    <row r="124" spans="1:48">
      <c r="A124" s="6">
        <v>1</v>
      </c>
      <c r="B124" s="5" t="s">
        <v>153</v>
      </c>
      <c r="C124" s="11">
        <v>272</v>
      </c>
      <c r="D124" s="11">
        <v>663</v>
      </c>
      <c r="E124" s="11">
        <v>361</v>
      </c>
      <c r="F124" s="11">
        <v>362</v>
      </c>
      <c r="G124" s="11">
        <v>367</v>
      </c>
      <c r="H124" s="11">
        <v>372</v>
      </c>
      <c r="I124" s="11">
        <v>377</v>
      </c>
      <c r="J124" s="11">
        <v>382</v>
      </c>
      <c r="K124" s="11">
        <v>387</v>
      </c>
      <c r="L124" s="3">
        <f t="shared" ref="L124:L140" si="39">SUM(C124:K124)</f>
        <v>3543</v>
      </c>
      <c r="V124" s="45"/>
      <c r="W124" s="5">
        <v>720</v>
      </c>
      <c r="X124" s="5" t="s">
        <v>100</v>
      </c>
      <c r="Y124" s="5">
        <v>0</v>
      </c>
      <c r="Z124" s="48">
        <f>Y124*ECost</f>
        <v>0</v>
      </c>
      <c r="AA124" s="5">
        <v>3</v>
      </c>
      <c r="AB124" s="48">
        <f>AA124*ECost</f>
        <v>37500</v>
      </c>
      <c r="AC124" s="5">
        <v>0</v>
      </c>
      <c r="AD124" s="48">
        <f>AC124*ECost</f>
        <v>0</v>
      </c>
      <c r="AE124" s="5">
        <v>0</v>
      </c>
      <c r="AF124" s="48">
        <f>AE124*ECost</f>
        <v>0</v>
      </c>
      <c r="AG124" s="5">
        <v>0</v>
      </c>
      <c r="AH124" s="48">
        <f>AG124*ECost</f>
        <v>0</v>
      </c>
      <c r="AI124" s="5">
        <v>0</v>
      </c>
      <c r="AJ124" s="48">
        <f>AI124*ECost</f>
        <v>0</v>
      </c>
      <c r="AK124" s="57">
        <f t="shared" si="25"/>
        <v>3</v>
      </c>
      <c r="AL124" s="58">
        <f t="shared" si="25"/>
        <v>37500</v>
      </c>
      <c r="AM124" s="18" t="s">
        <v>100</v>
      </c>
      <c r="AO124" s="45"/>
      <c r="AP124" s="5">
        <v>500</v>
      </c>
      <c r="AQ124" s="5" t="s">
        <v>152</v>
      </c>
      <c r="AR124" s="5"/>
      <c r="AS124" s="5"/>
      <c r="AT124" s="5">
        <v>1</v>
      </c>
      <c r="AU124" s="69">
        <v>5000</v>
      </c>
      <c r="AV124" s="70">
        <f t="shared" si="38"/>
        <v>5000</v>
      </c>
    </row>
    <row r="125" spans="1:48">
      <c r="A125" s="6">
        <v>2</v>
      </c>
      <c r="B125" s="5" t="s">
        <v>151</v>
      </c>
      <c r="C125" s="12">
        <v>123</v>
      </c>
      <c r="D125" s="12">
        <v>180</v>
      </c>
      <c r="E125" s="5" t="s">
        <v>137</v>
      </c>
      <c r="F125" s="5" t="s">
        <v>137</v>
      </c>
      <c r="G125" s="5" t="s">
        <v>137</v>
      </c>
      <c r="H125" s="5" t="s">
        <v>137</v>
      </c>
      <c r="I125" s="5"/>
      <c r="J125" s="5"/>
      <c r="K125" s="5"/>
      <c r="L125" s="3">
        <f t="shared" si="39"/>
        <v>303</v>
      </c>
      <c r="V125" s="45"/>
      <c r="W125" s="5"/>
      <c r="X125" s="55" t="s">
        <v>0</v>
      </c>
      <c r="Y125" s="55">
        <v>3.78</v>
      </c>
      <c r="Z125" s="59">
        <f>SUM(Z122:Z124)</f>
        <v>47250</v>
      </c>
      <c r="AA125" s="55">
        <v>7.38</v>
      </c>
      <c r="AB125" s="59">
        <f>SUM(AB122:AB124)</f>
        <v>92250</v>
      </c>
      <c r="AC125" s="55">
        <v>1.5</v>
      </c>
      <c r="AD125" s="59">
        <f>SUM(AD122:AD124)</f>
        <v>18750</v>
      </c>
      <c r="AE125" s="55" t="s">
        <v>40</v>
      </c>
      <c r="AF125" s="59">
        <f>SUM(AF122:AF124)</f>
        <v>0</v>
      </c>
      <c r="AG125" s="55" t="s">
        <v>40</v>
      </c>
      <c r="AH125" s="59">
        <f>SUM(AH122:AH124)</f>
        <v>0</v>
      </c>
      <c r="AI125" s="55" t="s">
        <v>40</v>
      </c>
      <c r="AJ125" s="59">
        <f>SUM(AJ122:AJ124)</f>
        <v>0</v>
      </c>
      <c r="AK125" s="57">
        <f t="shared" si="25"/>
        <v>12.66</v>
      </c>
      <c r="AL125" s="60">
        <f t="shared" si="25"/>
        <v>158250</v>
      </c>
      <c r="AM125" s="103"/>
      <c r="AO125" s="45"/>
      <c r="AP125" s="5">
        <v>500</v>
      </c>
      <c r="AQ125" s="5" t="s">
        <v>149</v>
      </c>
      <c r="AR125" s="5"/>
      <c r="AS125" s="5"/>
      <c r="AT125" s="5">
        <v>1</v>
      </c>
      <c r="AU125" s="69">
        <v>1000</v>
      </c>
      <c r="AV125" s="70">
        <f t="shared" si="38"/>
        <v>1000</v>
      </c>
    </row>
    <row r="126" spans="1:48">
      <c r="A126" s="6">
        <v>3</v>
      </c>
      <c r="B126" s="5" t="s">
        <v>148</v>
      </c>
      <c r="C126" s="12">
        <v>20</v>
      </c>
      <c r="D126" s="12">
        <v>11</v>
      </c>
      <c r="E126" s="5" t="s">
        <v>137</v>
      </c>
      <c r="F126" s="5" t="s">
        <v>137</v>
      </c>
      <c r="G126" s="5" t="s">
        <v>137</v>
      </c>
      <c r="H126" s="5" t="s">
        <v>137</v>
      </c>
      <c r="I126" s="5"/>
      <c r="J126" s="5"/>
      <c r="K126" s="5"/>
      <c r="L126" s="3">
        <f t="shared" si="39"/>
        <v>31</v>
      </c>
      <c r="V126" s="45"/>
      <c r="W126" s="5">
        <v>811</v>
      </c>
      <c r="X126" s="5" t="s">
        <v>198</v>
      </c>
      <c r="Y126" s="5">
        <v>0</v>
      </c>
      <c r="Z126" s="48">
        <f t="shared" ref="Z126:Z142" si="40">Y126*TCost</f>
        <v>0</v>
      </c>
      <c r="AA126" s="5">
        <v>2.75</v>
      </c>
      <c r="AB126" s="48">
        <f t="shared" ref="AB126:AB142" si="41">AA126*TCost</f>
        <v>18333.333333333336</v>
      </c>
      <c r="AC126" s="5">
        <v>0.5</v>
      </c>
      <c r="AD126" s="48">
        <f t="shared" ref="AD126:AD142" si="42">AC126*TCost</f>
        <v>3333.3333333333335</v>
      </c>
      <c r="AE126" s="5">
        <v>0</v>
      </c>
      <c r="AF126" s="48">
        <f t="shared" ref="AF126:AF142" si="43">AE126*TCost</f>
        <v>0</v>
      </c>
      <c r="AG126" s="5">
        <v>0</v>
      </c>
      <c r="AH126" s="48">
        <f t="shared" ref="AH126:AH142" si="44">AG126*TCost</f>
        <v>0</v>
      </c>
      <c r="AI126" s="5">
        <v>0</v>
      </c>
      <c r="AJ126" s="48">
        <f t="shared" ref="AJ126:AJ142" si="45">AI126*TCost</f>
        <v>0</v>
      </c>
      <c r="AK126" s="57">
        <f t="shared" si="25"/>
        <v>3.25</v>
      </c>
      <c r="AL126" s="58">
        <f t="shared" si="25"/>
        <v>21666.666666666668</v>
      </c>
      <c r="AM126" s="103" t="s">
        <v>198</v>
      </c>
      <c r="AO126" s="45"/>
      <c r="AP126" s="5">
        <v>500</v>
      </c>
      <c r="AQ126" s="5" t="s">
        <v>84</v>
      </c>
      <c r="AR126" s="5"/>
      <c r="AS126" s="5"/>
      <c r="AT126" s="5">
        <v>1</v>
      </c>
      <c r="AU126" s="69">
        <v>100</v>
      </c>
      <c r="AV126" s="70">
        <f t="shared" si="38"/>
        <v>100</v>
      </c>
    </row>
    <row r="127" spans="1:48">
      <c r="A127" s="6">
        <v>4</v>
      </c>
      <c r="B127" s="5" t="s">
        <v>147</v>
      </c>
      <c r="C127" s="4">
        <f>3*2357</f>
        <v>7071</v>
      </c>
      <c r="D127" s="4">
        <f>3*1887</f>
        <v>5661</v>
      </c>
      <c r="E127" s="4">
        <f>3*40</f>
        <v>120</v>
      </c>
      <c r="F127" s="5" t="s">
        <v>137</v>
      </c>
      <c r="G127" s="5" t="s">
        <v>137</v>
      </c>
      <c r="H127" s="5" t="s">
        <v>137</v>
      </c>
      <c r="I127" s="5"/>
      <c r="J127" s="5"/>
      <c r="K127" s="5"/>
      <c r="L127" s="3">
        <f t="shared" si="39"/>
        <v>12852</v>
      </c>
      <c r="V127" s="45"/>
      <c r="W127" s="5">
        <v>811</v>
      </c>
      <c r="X127" s="5" t="s">
        <v>196</v>
      </c>
      <c r="Y127" s="5">
        <v>0</v>
      </c>
      <c r="Z127" s="48">
        <f t="shared" si="40"/>
        <v>0</v>
      </c>
      <c r="AA127" s="5">
        <v>0.75</v>
      </c>
      <c r="AB127" s="48">
        <f t="shared" si="41"/>
        <v>5000</v>
      </c>
      <c r="AC127" s="5">
        <v>0</v>
      </c>
      <c r="AD127" s="48">
        <f t="shared" si="42"/>
        <v>0</v>
      </c>
      <c r="AE127" s="5">
        <v>0</v>
      </c>
      <c r="AF127" s="48">
        <f t="shared" si="43"/>
        <v>0</v>
      </c>
      <c r="AG127" s="5">
        <v>0</v>
      </c>
      <c r="AH127" s="48">
        <f t="shared" si="44"/>
        <v>0</v>
      </c>
      <c r="AI127" s="5">
        <v>0</v>
      </c>
      <c r="AJ127" s="48">
        <f t="shared" si="45"/>
        <v>0</v>
      </c>
      <c r="AK127" s="57">
        <f t="shared" si="25"/>
        <v>0.75</v>
      </c>
      <c r="AL127" s="58">
        <f t="shared" si="25"/>
        <v>5000</v>
      </c>
      <c r="AM127" s="103" t="s">
        <v>196</v>
      </c>
      <c r="AO127" s="45"/>
      <c r="AP127" s="5">
        <v>500</v>
      </c>
      <c r="AQ127" s="5" t="s">
        <v>146</v>
      </c>
      <c r="AR127" s="5"/>
      <c r="AS127" s="5"/>
      <c r="AT127" s="5">
        <v>1</v>
      </c>
      <c r="AU127" s="69">
        <v>100</v>
      </c>
      <c r="AV127" s="70">
        <f t="shared" si="38"/>
        <v>100</v>
      </c>
    </row>
    <row r="128" spans="1:48">
      <c r="A128" s="6">
        <v>5</v>
      </c>
      <c r="B128" s="5" t="s">
        <v>145</v>
      </c>
      <c r="C128" s="4">
        <f>3*5336</f>
        <v>16008</v>
      </c>
      <c r="D128" s="4">
        <f>3*2012</f>
        <v>6036</v>
      </c>
      <c r="E128" s="5" t="s">
        <v>137</v>
      </c>
      <c r="F128" s="5" t="s">
        <v>137</v>
      </c>
      <c r="G128" s="5" t="s">
        <v>137</v>
      </c>
      <c r="H128" s="5" t="s">
        <v>137</v>
      </c>
      <c r="I128" s="5"/>
      <c r="J128" s="5"/>
      <c r="K128" s="5"/>
      <c r="L128" s="3">
        <f t="shared" si="39"/>
        <v>22044</v>
      </c>
      <c r="V128" s="45"/>
      <c r="W128" s="5">
        <v>811</v>
      </c>
      <c r="X128" s="5" t="s">
        <v>195</v>
      </c>
      <c r="Y128" s="5">
        <v>0</v>
      </c>
      <c r="Z128" s="48">
        <f t="shared" si="40"/>
        <v>0</v>
      </c>
      <c r="AA128" s="5">
        <v>0.75</v>
      </c>
      <c r="AB128" s="48">
        <f t="shared" si="41"/>
        <v>5000</v>
      </c>
      <c r="AC128" s="5">
        <v>0</v>
      </c>
      <c r="AD128" s="48">
        <f t="shared" si="42"/>
        <v>0</v>
      </c>
      <c r="AE128" s="5">
        <v>0</v>
      </c>
      <c r="AF128" s="48">
        <f t="shared" si="43"/>
        <v>0</v>
      </c>
      <c r="AG128" s="5">
        <v>0</v>
      </c>
      <c r="AH128" s="48">
        <f t="shared" si="44"/>
        <v>0</v>
      </c>
      <c r="AI128" s="5">
        <v>0</v>
      </c>
      <c r="AJ128" s="48">
        <f t="shared" si="45"/>
        <v>0</v>
      </c>
      <c r="AK128" s="57">
        <f t="shared" si="25"/>
        <v>0.75</v>
      </c>
      <c r="AL128" s="58">
        <f t="shared" si="25"/>
        <v>5000</v>
      </c>
      <c r="AM128" s="103" t="s">
        <v>195</v>
      </c>
      <c r="AO128" s="45"/>
      <c r="AP128" s="5">
        <v>500</v>
      </c>
      <c r="AQ128" s="5" t="s">
        <v>144</v>
      </c>
      <c r="AR128" s="5"/>
      <c r="AS128" s="5"/>
      <c r="AT128" s="5">
        <v>1</v>
      </c>
      <c r="AU128" s="69">
        <v>500</v>
      </c>
      <c r="AV128" s="70">
        <f t="shared" si="38"/>
        <v>500</v>
      </c>
    </row>
    <row r="129" spans="1:48">
      <c r="A129" s="6">
        <v>6</v>
      </c>
      <c r="B129" s="5" t="s">
        <v>143</v>
      </c>
      <c r="C129" s="11">
        <f>3*44</f>
        <v>132</v>
      </c>
      <c r="D129" s="11">
        <f>3*621</f>
        <v>1863</v>
      </c>
      <c r="E129" s="11">
        <f>3*701</f>
        <v>2103</v>
      </c>
      <c r="F129" s="11">
        <f>3*1223</f>
        <v>3669</v>
      </c>
      <c r="G129" s="11">
        <f>3*1237</f>
        <v>3711</v>
      </c>
      <c r="H129" s="11">
        <f>3*1223</f>
        <v>3669</v>
      </c>
      <c r="I129" s="11">
        <f>3*1237</f>
        <v>3711</v>
      </c>
      <c r="J129" s="11">
        <f>3*1223</f>
        <v>3669</v>
      </c>
      <c r="K129" s="11">
        <f>3*1237</f>
        <v>3711</v>
      </c>
      <c r="L129" s="3">
        <f t="shared" si="39"/>
        <v>26238</v>
      </c>
      <c r="V129" s="45"/>
      <c r="W129" s="5">
        <v>811</v>
      </c>
      <c r="X129" s="5" t="s">
        <v>193</v>
      </c>
      <c r="Y129" s="5">
        <v>0</v>
      </c>
      <c r="Z129" s="48">
        <f t="shared" si="40"/>
        <v>0</v>
      </c>
      <c r="AA129" s="5">
        <v>0.6</v>
      </c>
      <c r="AB129" s="48">
        <f t="shared" si="41"/>
        <v>4000</v>
      </c>
      <c r="AC129" s="5">
        <v>0</v>
      </c>
      <c r="AD129" s="48">
        <f t="shared" si="42"/>
        <v>0</v>
      </c>
      <c r="AE129" s="5">
        <v>0</v>
      </c>
      <c r="AF129" s="48">
        <f t="shared" si="43"/>
        <v>0</v>
      </c>
      <c r="AG129" s="5">
        <v>0</v>
      </c>
      <c r="AH129" s="48">
        <f t="shared" si="44"/>
        <v>0</v>
      </c>
      <c r="AI129" s="5">
        <v>0</v>
      </c>
      <c r="AJ129" s="48">
        <f t="shared" si="45"/>
        <v>0</v>
      </c>
      <c r="AK129" s="57">
        <f t="shared" si="25"/>
        <v>0.6</v>
      </c>
      <c r="AL129" s="58">
        <f t="shared" si="25"/>
        <v>4000</v>
      </c>
      <c r="AM129" s="103" t="s">
        <v>193</v>
      </c>
      <c r="AO129" s="45"/>
      <c r="AP129" s="5">
        <v>500</v>
      </c>
      <c r="AQ129" s="5" t="s">
        <v>141</v>
      </c>
      <c r="AR129" s="5"/>
      <c r="AS129" s="5"/>
      <c r="AT129" s="5">
        <v>1</v>
      </c>
      <c r="AU129" s="69">
        <v>9000</v>
      </c>
      <c r="AV129" s="70">
        <f t="shared" si="38"/>
        <v>9000</v>
      </c>
    </row>
    <row r="130" spans="1:48">
      <c r="A130" s="6">
        <v>7</v>
      </c>
      <c r="B130" s="5" t="s">
        <v>140</v>
      </c>
      <c r="C130" s="12">
        <v>87</v>
      </c>
      <c r="D130" s="12">
        <v>169</v>
      </c>
      <c r="E130" s="12">
        <v>34</v>
      </c>
      <c r="F130" s="5" t="s">
        <v>137</v>
      </c>
      <c r="G130" s="5" t="s">
        <v>137</v>
      </c>
      <c r="H130" s="5" t="s">
        <v>137</v>
      </c>
      <c r="I130" s="5"/>
      <c r="J130" s="5"/>
      <c r="K130" s="5"/>
      <c r="L130" s="3">
        <f t="shared" si="39"/>
        <v>290</v>
      </c>
      <c r="V130" s="45"/>
      <c r="W130" s="5">
        <v>811</v>
      </c>
      <c r="X130" s="5" t="s">
        <v>191</v>
      </c>
      <c r="Y130" s="5">
        <v>0</v>
      </c>
      <c r="Z130" s="48">
        <f t="shared" si="40"/>
        <v>0</v>
      </c>
      <c r="AA130" s="5">
        <v>1.75</v>
      </c>
      <c r="AB130" s="48">
        <f t="shared" si="41"/>
        <v>11666.666666666668</v>
      </c>
      <c r="AC130" s="5">
        <v>1</v>
      </c>
      <c r="AD130" s="48">
        <f t="shared" si="42"/>
        <v>6666.666666666667</v>
      </c>
      <c r="AE130" s="5">
        <v>0</v>
      </c>
      <c r="AF130" s="48">
        <f t="shared" si="43"/>
        <v>0</v>
      </c>
      <c r="AG130" s="5">
        <v>0</v>
      </c>
      <c r="AH130" s="48">
        <f t="shared" si="44"/>
        <v>0</v>
      </c>
      <c r="AI130" s="5">
        <v>0</v>
      </c>
      <c r="AJ130" s="48">
        <f t="shared" si="45"/>
        <v>0</v>
      </c>
      <c r="AK130" s="57">
        <f t="shared" si="25"/>
        <v>2.75</v>
      </c>
      <c r="AL130" s="58">
        <f t="shared" si="25"/>
        <v>18333.333333333336</v>
      </c>
      <c r="AM130" s="103" t="s">
        <v>191</v>
      </c>
      <c r="AO130" s="45"/>
      <c r="AP130" s="5">
        <v>500</v>
      </c>
      <c r="AQ130" s="5" t="s">
        <v>139</v>
      </c>
      <c r="AR130" s="5"/>
      <c r="AS130" s="5"/>
      <c r="AT130" s="5">
        <v>1</v>
      </c>
      <c r="AU130" s="69">
        <v>1185</v>
      </c>
      <c r="AV130" s="70">
        <f t="shared" si="38"/>
        <v>1185</v>
      </c>
    </row>
    <row r="131" spans="1:48">
      <c r="A131" s="6">
        <v>8</v>
      </c>
      <c r="B131" s="5" t="s">
        <v>138</v>
      </c>
      <c r="C131" s="12">
        <f>3*14</f>
        <v>42</v>
      </c>
      <c r="D131" s="12">
        <f>3*1048</f>
        <v>3144</v>
      </c>
      <c r="E131" s="12">
        <f>3*311</f>
        <v>933</v>
      </c>
      <c r="F131" s="5" t="s">
        <v>137</v>
      </c>
      <c r="G131" s="5" t="s">
        <v>137</v>
      </c>
      <c r="H131" s="5" t="s">
        <v>137</v>
      </c>
      <c r="I131" s="5"/>
      <c r="J131" s="5"/>
      <c r="K131" s="5"/>
      <c r="L131" s="3">
        <f t="shared" si="39"/>
        <v>4119</v>
      </c>
      <c r="V131" s="45"/>
      <c r="W131" s="5">
        <v>811</v>
      </c>
      <c r="X131" s="5" t="s">
        <v>189</v>
      </c>
      <c r="Y131" s="5">
        <v>0</v>
      </c>
      <c r="Z131" s="48">
        <f t="shared" si="40"/>
        <v>0</v>
      </c>
      <c r="AA131" s="5">
        <v>1</v>
      </c>
      <c r="AB131" s="48">
        <f t="shared" si="41"/>
        <v>6666.666666666667</v>
      </c>
      <c r="AC131" s="5">
        <v>1</v>
      </c>
      <c r="AD131" s="48">
        <f t="shared" si="42"/>
        <v>6666.666666666667</v>
      </c>
      <c r="AE131" s="5">
        <v>0</v>
      </c>
      <c r="AF131" s="48">
        <f t="shared" si="43"/>
        <v>0</v>
      </c>
      <c r="AG131" s="5">
        <v>0</v>
      </c>
      <c r="AH131" s="48">
        <f t="shared" si="44"/>
        <v>0</v>
      </c>
      <c r="AI131" s="5">
        <v>0</v>
      </c>
      <c r="AJ131" s="48">
        <f t="shared" si="45"/>
        <v>0</v>
      </c>
      <c r="AK131" s="57">
        <f t="shared" si="25"/>
        <v>2</v>
      </c>
      <c r="AL131" s="58">
        <f t="shared" si="25"/>
        <v>13333.333333333334</v>
      </c>
      <c r="AM131" s="103" t="s">
        <v>189</v>
      </c>
      <c r="AO131" s="45"/>
      <c r="AP131" s="5">
        <v>500</v>
      </c>
      <c r="AQ131" s="5" t="s">
        <v>136</v>
      </c>
      <c r="AR131" s="5"/>
      <c r="AS131" s="5"/>
      <c r="AT131" s="5">
        <v>1</v>
      </c>
      <c r="AU131" s="69">
        <v>100</v>
      </c>
      <c r="AV131" s="70">
        <f t="shared" si="38"/>
        <v>100</v>
      </c>
    </row>
    <row r="132" spans="1:48">
      <c r="A132" s="6">
        <v>9</v>
      </c>
      <c r="B132" s="5" t="s">
        <v>135</v>
      </c>
      <c r="C132" s="11">
        <v>289</v>
      </c>
      <c r="D132" s="11">
        <v>1136</v>
      </c>
      <c r="E132" s="11">
        <v>1180</v>
      </c>
      <c r="F132" s="11">
        <v>1176</v>
      </c>
      <c r="G132" s="11">
        <v>1239</v>
      </c>
      <c r="H132" s="11">
        <v>1302</v>
      </c>
      <c r="I132" s="11">
        <v>1365</v>
      </c>
      <c r="J132" s="11">
        <v>1428</v>
      </c>
      <c r="K132" s="11">
        <v>1491</v>
      </c>
      <c r="L132" s="3">
        <f t="shared" si="39"/>
        <v>10606</v>
      </c>
      <c r="V132" s="45"/>
      <c r="W132" s="5">
        <v>811</v>
      </c>
      <c r="X132" s="5" t="s">
        <v>187</v>
      </c>
      <c r="Y132" s="5">
        <v>0</v>
      </c>
      <c r="Z132" s="48">
        <f t="shared" si="40"/>
        <v>0</v>
      </c>
      <c r="AA132" s="5">
        <v>7</v>
      </c>
      <c r="AB132" s="48">
        <f t="shared" si="41"/>
        <v>46666.666666666672</v>
      </c>
      <c r="AC132" s="5">
        <v>0</v>
      </c>
      <c r="AD132" s="48">
        <f t="shared" si="42"/>
        <v>0</v>
      </c>
      <c r="AE132" s="5">
        <v>0</v>
      </c>
      <c r="AF132" s="48">
        <f t="shared" si="43"/>
        <v>0</v>
      </c>
      <c r="AG132" s="5">
        <v>0</v>
      </c>
      <c r="AH132" s="48">
        <f t="shared" si="44"/>
        <v>0</v>
      </c>
      <c r="AI132" s="5">
        <v>0</v>
      </c>
      <c r="AJ132" s="48">
        <f t="shared" si="45"/>
        <v>0</v>
      </c>
      <c r="AK132" s="57">
        <f t="shared" si="25"/>
        <v>7</v>
      </c>
      <c r="AL132" s="58">
        <f t="shared" si="25"/>
        <v>46666.666666666672</v>
      </c>
      <c r="AM132" s="103" t="s">
        <v>187</v>
      </c>
      <c r="AO132" s="45"/>
      <c r="AP132" s="5">
        <v>500</v>
      </c>
      <c r="AQ132" s="5" t="s">
        <v>134</v>
      </c>
      <c r="AR132" s="5"/>
      <c r="AS132" s="5"/>
      <c r="AT132" s="5">
        <v>1</v>
      </c>
      <c r="AU132" s="69">
        <v>895</v>
      </c>
      <c r="AV132" s="70">
        <f t="shared" si="38"/>
        <v>895</v>
      </c>
    </row>
    <row r="133" spans="1:48">
      <c r="A133" s="6" t="s">
        <v>133</v>
      </c>
      <c r="B133" s="10">
        <v>0.1653</v>
      </c>
      <c r="C133" s="4">
        <f t="shared" ref="C133:K133" si="46">$B$133*SUM(C124:C132)</f>
        <v>3974.4731999999999</v>
      </c>
      <c r="D133" s="4">
        <f t="shared" si="46"/>
        <v>3118.0538999999999</v>
      </c>
      <c r="E133" s="4">
        <f t="shared" si="46"/>
        <v>782.03430000000003</v>
      </c>
      <c r="F133" s="4">
        <f t="shared" si="46"/>
        <v>860.71709999999996</v>
      </c>
      <c r="G133" s="4">
        <f t="shared" si="46"/>
        <v>878.90010000000007</v>
      </c>
      <c r="H133" s="4">
        <f t="shared" si="46"/>
        <v>883.1979</v>
      </c>
      <c r="I133" s="4">
        <f t="shared" si="46"/>
        <v>901.3809</v>
      </c>
      <c r="J133" s="4">
        <f t="shared" si="46"/>
        <v>905.67870000000005</v>
      </c>
      <c r="K133" s="4">
        <f t="shared" si="46"/>
        <v>923.86170000000004</v>
      </c>
      <c r="L133" s="3">
        <f t="shared" si="39"/>
        <v>13228.2978</v>
      </c>
      <c r="V133" s="45"/>
      <c r="W133" s="5">
        <v>811</v>
      </c>
      <c r="X133" s="5" t="s">
        <v>182</v>
      </c>
      <c r="Y133" s="5">
        <v>0</v>
      </c>
      <c r="Z133" s="48">
        <f t="shared" si="40"/>
        <v>0</v>
      </c>
      <c r="AA133" s="5">
        <v>7</v>
      </c>
      <c r="AB133" s="48">
        <f t="shared" si="41"/>
        <v>46666.666666666672</v>
      </c>
      <c r="AC133" s="5">
        <v>6.2</v>
      </c>
      <c r="AD133" s="48">
        <f t="shared" si="42"/>
        <v>41333.333333333336</v>
      </c>
      <c r="AE133" s="5">
        <v>0</v>
      </c>
      <c r="AF133" s="48">
        <f t="shared" si="43"/>
        <v>0</v>
      </c>
      <c r="AG133" s="5">
        <v>0</v>
      </c>
      <c r="AH133" s="48">
        <f t="shared" si="44"/>
        <v>0</v>
      </c>
      <c r="AI133" s="5">
        <v>0</v>
      </c>
      <c r="AJ133" s="48">
        <f t="shared" si="45"/>
        <v>0</v>
      </c>
      <c r="AK133" s="57">
        <f t="shared" si="25"/>
        <v>13.2</v>
      </c>
      <c r="AL133" s="58">
        <f t="shared" si="25"/>
        <v>88000</v>
      </c>
      <c r="AM133" s="103" t="s">
        <v>182</v>
      </c>
      <c r="AO133" s="45"/>
      <c r="AP133" s="5">
        <v>500</v>
      </c>
      <c r="AQ133" s="5" t="s">
        <v>131</v>
      </c>
      <c r="AR133" s="5"/>
      <c r="AS133" s="5"/>
      <c r="AT133" s="5">
        <v>1</v>
      </c>
      <c r="AU133" s="69">
        <v>5000</v>
      </c>
      <c r="AV133" s="70">
        <f t="shared" si="38"/>
        <v>5000</v>
      </c>
    </row>
    <row r="134" spans="1:48">
      <c r="A134" s="9"/>
      <c r="B134" s="8" t="s">
        <v>130</v>
      </c>
      <c r="C134" s="7">
        <f t="shared" ref="C134:K134" si="47">SUM(C124:C133)</f>
        <v>28018.4732</v>
      </c>
      <c r="D134" s="7">
        <f t="shared" si="47"/>
        <v>21981.053899999999</v>
      </c>
      <c r="E134" s="7">
        <f t="shared" si="47"/>
        <v>5513.0343000000003</v>
      </c>
      <c r="F134" s="7">
        <f t="shared" si="47"/>
        <v>6067.7170999999998</v>
      </c>
      <c r="G134" s="7">
        <f t="shared" si="47"/>
        <v>6195.9000999999998</v>
      </c>
      <c r="H134" s="7">
        <f t="shared" si="47"/>
        <v>6226.1979000000001</v>
      </c>
      <c r="I134" s="7">
        <f t="shared" si="47"/>
        <v>6354.3809000000001</v>
      </c>
      <c r="J134" s="7">
        <f t="shared" si="47"/>
        <v>6384.6787000000004</v>
      </c>
      <c r="K134" s="7">
        <f t="shared" si="47"/>
        <v>6512.8617000000004</v>
      </c>
      <c r="L134" s="3">
        <f t="shared" si="39"/>
        <v>93254.2978</v>
      </c>
      <c r="V134" s="45"/>
      <c r="W134" s="5">
        <v>811</v>
      </c>
      <c r="X134" s="5" t="s">
        <v>182</v>
      </c>
      <c r="Y134" s="5">
        <v>0</v>
      </c>
      <c r="Z134" s="48">
        <f t="shared" si="40"/>
        <v>0</v>
      </c>
      <c r="AA134" s="5">
        <v>0.7</v>
      </c>
      <c r="AB134" s="48">
        <f t="shared" si="41"/>
        <v>4666.666666666667</v>
      </c>
      <c r="AC134" s="5">
        <v>0.6</v>
      </c>
      <c r="AD134" s="48">
        <f t="shared" si="42"/>
        <v>4000</v>
      </c>
      <c r="AE134" s="5">
        <v>0</v>
      </c>
      <c r="AF134" s="48">
        <f t="shared" si="43"/>
        <v>0</v>
      </c>
      <c r="AG134" s="5">
        <v>0</v>
      </c>
      <c r="AH134" s="48">
        <f t="shared" si="44"/>
        <v>0</v>
      </c>
      <c r="AI134" s="5">
        <v>0</v>
      </c>
      <c r="AJ134" s="48">
        <f t="shared" si="45"/>
        <v>0</v>
      </c>
      <c r="AK134" s="57">
        <f t="shared" si="25"/>
        <v>1.2999999999999998</v>
      </c>
      <c r="AL134" s="58">
        <f t="shared" si="25"/>
        <v>8666.6666666666679</v>
      </c>
      <c r="AM134" s="103" t="s">
        <v>182</v>
      </c>
      <c r="AO134" s="45"/>
      <c r="AP134" s="5">
        <v>500</v>
      </c>
      <c r="AQ134" s="5" t="s">
        <v>128</v>
      </c>
      <c r="AR134" s="5"/>
      <c r="AS134" s="5"/>
      <c r="AT134" s="5">
        <v>1</v>
      </c>
      <c r="AU134" s="69">
        <v>5000</v>
      </c>
      <c r="AV134" s="70">
        <f t="shared" si="38"/>
        <v>5000</v>
      </c>
    </row>
    <row r="135" spans="1:48">
      <c r="A135" s="6"/>
      <c r="B135" s="5" t="s">
        <v>127</v>
      </c>
      <c r="C135" s="4">
        <v>77</v>
      </c>
      <c r="D135" s="4">
        <v>77</v>
      </c>
      <c r="E135" s="4">
        <v>77</v>
      </c>
      <c r="F135" s="4">
        <v>77</v>
      </c>
      <c r="G135" s="4">
        <v>77</v>
      </c>
      <c r="H135" s="4">
        <v>77</v>
      </c>
      <c r="I135" s="4">
        <v>77</v>
      </c>
      <c r="J135" s="4">
        <v>77</v>
      </c>
      <c r="K135" s="4">
        <v>77</v>
      </c>
      <c r="L135" s="3">
        <f t="shared" si="39"/>
        <v>693</v>
      </c>
      <c r="V135" s="45"/>
      <c r="W135" s="5">
        <v>811</v>
      </c>
      <c r="X135" s="5" t="s">
        <v>186</v>
      </c>
      <c r="Y135" s="5">
        <v>0</v>
      </c>
      <c r="Z135" s="48">
        <f t="shared" si="40"/>
        <v>0</v>
      </c>
      <c r="AA135" s="5">
        <v>0.1</v>
      </c>
      <c r="AB135" s="48">
        <f t="shared" si="41"/>
        <v>666.66666666666674</v>
      </c>
      <c r="AC135" s="5">
        <v>0</v>
      </c>
      <c r="AD135" s="48">
        <f t="shared" si="42"/>
        <v>0</v>
      </c>
      <c r="AE135" s="5">
        <v>0</v>
      </c>
      <c r="AF135" s="48">
        <f t="shared" si="43"/>
        <v>0</v>
      </c>
      <c r="AG135" s="5">
        <v>0</v>
      </c>
      <c r="AH135" s="48">
        <f t="shared" si="44"/>
        <v>0</v>
      </c>
      <c r="AI135" s="5">
        <v>0</v>
      </c>
      <c r="AJ135" s="48">
        <f t="shared" si="45"/>
        <v>0</v>
      </c>
      <c r="AK135" s="57">
        <f t="shared" si="25"/>
        <v>0.1</v>
      </c>
      <c r="AL135" s="58">
        <f t="shared" si="25"/>
        <v>666.66666666666674</v>
      </c>
      <c r="AM135" s="115" t="s">
        <v>186</v>
      </c>
      <c r="AO135" s="45"/>
      <c r="AP135" s="5">
        <v>500</v>
      </c>
      <c r="AQ135" s="5" t="s">
        <v>125</v>
      </c>
      <c r="AR135" s="5"/>
      <c r="AS135" s="5"/>
      <c r="AT135" s="5">
        <v>1</v>
      </c>
      <c r="AU135" s="69">
        <v>3500</v>
      </c>
      <c r="AV135" s="70">
        <f t="shared" si="38"/>
        <v>3500</v>
      </c>
    </row>
    <row r="136" spans="1:48">
      <c r="A136" s="257" t="s">
        <v>124</v>
      </c>
      <c r="B136" s="258"/>
      <c r="C136" s="4">
        <v>20</v>
      </c>
      <c r="D136" s="4">
        <v>20</v>
      </c>
      <c r="E136" s="4">
        <v>20</v>
      </c>
      <c r="F136" s="4">
        <v>20</v>
      </c>
      <c r="G136" s="4">
        <v>20</v>
      </c>
      <c r="H136" s="4">
        <v>20</v>
      </c>
      <c r="I136" s="4">
        <v>20</v>
      </c>
      <c r="J136" s="4">
        <v>20</v>
      </c>
      <c r="K136" s="4">
        <v>20</v>
      </c>
      <c r="L136" s="3">
        <f t="shared" si="39"/>
        <v>180</v>
      </c>
      <c r="V136" s="45"/>
      <c r="W136" s="5">
        <v>811</v>
      </c>
      <c r="X136" s="5" t="s">
        <v>185</v>
      </c>
      <c r="Y136" s="5">
        <v>0</v>
      </c>
      <c r="Z136" s="48">
        <f t="shared" si="40"/>
        <v>0</v>
      </c>
      <c r="AA136" s="5">
        <v>0.23</v>
      </c>
      <c r="AB136" s="48">
        <f t="shared" si="41"/>
        <v>1533.3333333333335</v>
      </c>
      <c r="AC136" s="5">
        <v>0.13</v>
      </c>
      <c r="AD136" s="48">
        <f t="shared" si="42"/>
        <v>866.66666666666674</v>
      </c>
      <c r="AE136" s="5">
        <v>0</v>
      </c>
      <c r="AF136" s="48">
        <f t="shared" si="43"/>
        <v>0</v>
      </c>
      <c r="AG136" s="5">
        <v>0</v>
      </c>
      <c r="AH136" s="48">
        <f t="shared" si="44"/>
        <v>0</v>
      </c>
      <c r="AI136" s="5">
        <v>0</v>
      </c>
      <c r="AJ136" s="48">
        <f t="shared" si="45"/>
        <v>0</v>
      </c>
      <c r="AK136" s="57">
        <f t="shared" si="25"/>
        <v>0.36</v>
      </c>
      <c r="AL136" s="58">
        <f t="shared" si="25"/>
        <v>2400</v>
      </c>
      <c r="AM136" s="103" t="s">
        <v>185</v>
      </c>
      <c r="AO136" s="45"/>
      <c r="AP136" s="5">
        <v>500</v>
      </c>
      <c r="AQ136" s="5" t="s">
        <v>122</v>
      </c>
      <c r="AR136" s="5"/>
      <c r="AS136" s="5"/>
      <c r="AT136" s="5">
        <v>1</v>
      </c>
      <c r="AU136" s="69">
        <v>450</v>
      </c>
      <c r="AV136" s="70">
        <f t="shared" si="38"/>
        <v>450</v>
      </c>
    </row>
    <row r="137" spans="1:48">
      <c r="A137" s="257" t="s">
        <v>121</v>
      </c>
      <c r="B137" s="258"/>
      <c r="C137" s="4">
        <v>88</v>
      </c>
      <c r="D137" s="4">
        <v>88</v>
      </c>
      <c r="E137" s="5">
        <v>0</v>
      </c>
      <c r="F137" s="5">
        <v>0</v>
      </c>
      <c r="G137" s="5">
        <v>0</v>
      </c>
      <c r="H137" s="5">
        <v>0</v>
      </c>
      <c r="I137" s="5">
        <v>0</v>
      </c>
      <c r="J137" s="5">
        <v>0</v>
      </c>
      <c r="K137" s="5">
        <v>0</v>
      </c>
      <c r="L137" s="3">
        <f t="shared" si="39"/>
        <v>176</v>
      </c>
      <c r="V137" s="45"/>
      <c r="W137" s="5">
        <v>811</v>
      </c>
      <c r="X137" s="5" t="s">
        <v>183</v>
      </c>
      <c r="Y137" s="5">
        <v>0</v>
      </c>
      <c r="Z137" s="48">
        <f t="shared" si="40"/>
        <v>0</v>
      </c>
      <c r="AA137" s="5">
        <v>5.5</v>
      </c>
      <c r="AB137" s="48">
        <f t="shared" si="41"/>
        <v>36666.666666666672</v>
      </c>
      <c r="AC137" s="5">
        <v>1</v>
      </c>
      <c r="AD137" s="48">
        <f t="shared" si="42"/>
        <v>6666.666666666667</v>
      </c>
      <c r="AE137" s="5">
        <v>0</v>
      </c>
      <c r="AF137" s="48">
        <f t="shared" si="43"/>
        <v>0</v>
      </c>
      <c r="AG137" s="5">
        <v>0</v>
      </c>
      <c r="AH137" s="48">
        <f t="shared" si="44"/>
        <v>0</v>
      </c>
      <c r="AI137" s="5">
        <v>0</v>
      </c>
      <c r="AJ137" s="48">
        <f t="shared" si="45"/>
        <v>0</v>
      </c>
      <c r="AK137" s="57">
        <f t="shared" si="25"/>
        <v>6.5</v>
      </c>
      <c r="AL137" s="58">
        <f t="shared" si="25"/>
        <v>43333.333333333336</v>
      </c>
      <c r="AM137" s="103" t="s">
        <v>183</v>
      </c>
      <c r="AO137" s="45"/>
      <c r="AP137" s="5">
        <v>500</v>
      </c>
      <c r="AQ137" s="5" t="s">
        <v>120</v>
      </c>
      <c r="AR137" s="5"/>
      <c r="AS137" s="5"/>
      <c r="AT137" s="5">
        <v>1</v>
      </c>
      <c r="AU137" s="69">
        <v>750</v>
      </c>
      <c r="AV137" s="70">
        <f t="shared" si="38"/>
        <v>750</v>
      </c>
    </row>
    <row r="138" spans="1:48">
      <c r="A138" s="6"/>
      <c r="B138" s="5"/>
      <c r="C138" s="5"/>
      <c r="D138" s="5"/>
      <c r="E138" s="5"/>
      <c r="F138" s="5"/>
      <c r="G138" s="5"/>
      <c r="H138" s="5"/>
      <c r="I138" s="5"/>
      <c r="J138" s="5"/>
      <c r="K138" s="5"/>
      <c r="L138" s="3">
        <f t="shared" si="39"/>
        <v>0</v>
      </c>
      <c r="V138" s="45"/>
      <c r="W138" s="5">
        <v>811</v>
      </c>
      <c r="X138" s="5" t="s">
        <v>182</v>
      </c>
      <c r="Y138" s="5">
        <v>0</v>
      </c>
      <c r="Z138" s="48">
        <f t="shared" si="40"/>
        <v>0</v>
      </c>
      <c r="AA138" s="5">
        <v>3.5</v>
      </c>
      <c r="AB138" s="48">
        <f t="shared" si="41"/>
        <v>23333.333333333336</v>
      </c>
      <c r="AC138" s="5">
        <v>2.1</v>
      </c>
      <c r="AD138" s="48">
        <f t="shared" si="42"/>
        <v>14000.000000000002</v>
      </c>
      <c r="AE138" s="5">
        <v>0</v>
      </c>
      <c r="AF138" s="48">
        <f t="shared" si="43"/>
        <v>0</v>
      </c>
      <c r="AG138" s="5">
        <v>0</v>
      </c>
      <c r="AH138" s="48">
        <f t="shared" si="44"/>
        <v>0</v>
      </c>
      <c r="AI138" s="5">
        <v>0</v>
      </c>
      <c r="AJ138" s="48">
        <f t="shared" si="45"/>
        <v>0</v>
      </c>
      <c r="AK138" s="57">
        <f t="shared" si="25"/>
        <v>5.6</v>
      </c>
      <c r="AL138" s="58">
        <f t="shared" si="25"/>
        <v>37333.333333333336</v>
      </c>
      <c r="AM138" s="103" t="s">
        <v>182</v>
      </c>
      <c r="AO138" s="45"/>
      <c r="AP138" s="5">
        <v>500</v>
      </c>
      <c r="AQ138" s="5" t="s">
        <v>118</v>
      </c>
      <c r="AR138" s="5"/>
      <c r="AS138" s="5"/>
      <c r="AT138" s="5">
        <v>1</v>
      </c>
      <c r="AU138" s="69">
        <v>5000</v>
      </c>
      <c r="AV138" s="70">
        <f t="shared" si="38"/>
        <v>5000</v>
      </c>
    </row>
    <row r="139" spans="1:48">
      <c r="A139" s="9"/>
      <c r="B139" s="8" t="s">
        <v>117</v>
      </c>
      <c r="C139" s="7">
        <f t="shared" ref="C139:K139" si="48">SUM(C135:C138)</f>
        <v>185</v>
      </c>
      <c r="D139" s="7">
        <f t="shared" si="48"/>
        <v>185</v>
      </c>
      <c r="E139" s="7">
        <f t="shared" si="48"/>
        <v>97</v>
      </c>
      <c r="F139" s="7">
        <f t="shared" si="48"/>
        <v>97</v>
      </c>
      <c r="G139" s="7">
        <f t="shared" si="48"/>
        <v>97</v>
      </c>
      <c r="H139" s="7">
        <f t="shared" si="48"/>
        <v>97</v>
      </c>
      <c r="I139" s="7">
        <f t="shared" si="48"/>
        <v>97</v>
      </c>
      <c r="J139" s="7">
        <f t="shared" si="48"/>
        <v>97</v>
      </c>
      <c r="K139" s="7">
        <f t="shared" si="48"/>
        <v>97</v>
      </c>
      <c r="L139" s="3">
        <f t="shared" si="39"/>
        <v>1049</v>
      </c>
      <c r="V139" s="45"/>
      <c r="W139" s="5">
        <v>812</v>
      </c>
      <c r="X139" s="5" t="s">
        <v>181</v>
      </c>
      <c r="Y139" s="5">
        <v>0</v>
      </c>
      <c r="Z139" s="48">
        <f t="shared" si="40"/>
        <v>0</v>
      </c>
      <c r="AA139" s="5">
        <v>3.25</v>
      </c>
      <c r="AB139" s="48">
        <f t="shared" si="41"/>
        <v>21666.666666666668</v>
      </c>
      <c r="AC139" s="5">
        <v>0</v>
      </c>
      <c r="AD139" s="48">
        <f t="shared" si="42"/>
        <v>0</v>
      </c>
      <c r="AE139" s="5">
        <v>0</v>
      </c>
      <c r="AF139" s="48">
        <f t="shared" si="43"/>
        <v>0</v>
      </c>
      <c r="AG139" s="5">
        <v>0</v>
      </c>
      <c r="AH139" s="48">
        <f t="shared" si="44"/>
        <v>0</v>
      </c>
      <c r="AI139" s="5">
        <v>0</v>
      </c>
      <c r="AJ139" s="48">
        <f t="shared" si="45"/>
        <v>0</v>
      </c>
      <c r="AK139" s="57">
        <f t="shared" si="25"/>
        <v>3.25</v>
      </c>
      <c r="AL139" s="58">
        <f t="shared" si="25"/>
        <v>21666.666666666668</v>
      </c>
      <c r="AM139" s="103" t="s">
        <v>181</v>
      </c>
      <c r="AO139" s="45"/>
      <c r="AP139" s="5">
        <v>500</v>
      </c>
      <c r="AQ139" s="5" t="s">
        <v>115</v>
      </c>
      <c r="AR139" s="5"/>
      <c r="AS139" s="5" t="s">
        <v>114</v>
      </c>
      <c r="AT139" s="5">
        <v>1</v>
      </c>
      <c r="AU139" s="69">
        <v>35000</v>
      </c>
      <c r="AV139" s="70">
        <f t="shared" si="38"/>
        <v>35000</v>
      </c>
    </row>
    <row r="140" spans="1:48">
      <c r="A140" s="6"/>
      <c r="B140" s="5" t="s">
        <v>113</v>
      </c>
      <c r="C140" s="4">
        <f t="shared" ref="C140:K140" si="49">C134+C139</f>
        <v>28203.4732</v>
      </c>
      <c r="D140" s="4">
        <f t="shared" si="49"/>
        <v>22166.053899999999</v>
      </c>
      <c r="E140" s="4">
        <f t="shared" si="49"/>
        <v>5610.0343000000003</v>
      </c>
      <c r="F140" s="4">
        <f t="shared" si="49"/>
        <v>6164.7170999999998</v>
      </c>
      <c r="G140" s="4">
        <f t="shared" si="49"/>
        <v>6292.9000999999998</v>
      </c>
      <c r="H140" s="4">
        <f t="shared" si="49"/>
        <v>6323.1979000000001</v>
      </c>
      <c r="I140" s="4">
        <f t="shared" si="49"/>
        <v>6451.3809000000001</v>
      </c>
      <c r="J140" s="4">
        <f t="shared" si="49"/>
        <v>6481.6787000000004</v>
      </c>
      <c r="K140" s="4">
        <f t="shared" si="49"/>
        <v>6609.8617000000004</v>
      </c>
      <c r="L140" s="3">
        <f t="shared" si="39"/>
        <v>94303.2978</v>
      </c>
      <c r="V140" s="45"/>
      <c r="W140" s="5">
        <v>812</v>
      </c>
      <c r="X140" s="5" t="s">
        <v>180</v>
      </c>
      <c r="Y140" s="5">
        <v>0</v>
      </c>
      <c r="Z140" s="48">
        <f t="shared" si="40"/>
        <v>0</v>
      </c>
      <c r="AA140" s="5">
        <v>1.75</v>
      </c>
      <c r="AB140" s="48">
        <f t="shared" si="41"/>
        <v>11666.666666666668</v>
      </c>
      <c r="AC140" s="5">
        <v>0</v>
      </c>
      <c r="AD140" s="48">
        <f t="shared" si="42"/>
        <v>0</v>
      </c>
      <c r="AE140" s="5">
        <v>0</v>
      </c>
      <c r="AF140" s="48">
        <f t="shared" si="43"/>
        <v>0</v>
      </c>
      <c r="AG140" s="5">
        <v>0</v>
      </c>
      <c r="AH140" s="48">
        <f t="shared" si="44"/>
        <v>0</v>
      </c>
      <c r="AI140" s="5">
        <v>0</v>
      </c>
      <c r="AJ140" s="48">
        <f t="shared" si="45"/>
        <v>0</v>
      </c>
      <c r="AK140" s="57">
        <f t="shared" si="25"/>
        <v>1.75</v>
      </c>
      <c r="AL140" s="58">
        <f t="shared" si="25"/>
        <v>11666.666666666668</v>
      </c>
      <c r="AM140" s="103" t="s">
        <v>180</v>
      </c>
      <c r="AO140" s="45"/>
      <c r="AP140" s="5">
        <v>500</v>
      </c>
      <c r="AQ140" s="5" t="s">
        <v>111</v>
      </c>
      <c r="AR140" s="5"/>
      <c r="AS140" s="5"/>
      <c r="AT140" s="5">
        <v>1</v>
      </c>
      <c r="AU140" s="69">
        <v>82539</v>
      </c>
      <c r="AV140" s="70">
        <f t="shared" si="38"/>
        <v>82539</v>
      </c>
    </row>
    <row r="141" spans="1:48">
      <c r="V141" s="45"/>
      <c r="W141" s="5">
        <v>812</v>
      </c>
      <c r="X141" s="5" t="s">
        <v>179</v>
      </c>
      <c r="Y141" s="5">
        <v>0</v>
      </c>
      <c r="Z141" s="48">
        <f t="shared" si="40"/>
        <v>0</v>
      </c>
      <c r="AA141" s="5">
        <v>0.5</v>
      </c>
      <c r="AB141" s="48">
        <f t="shared" si="41"/>
        <v>3333.3333333333335</v>
      </c>
      <c r="AC141" s="5">
        <v>0</v>
      </c>
      <c r="AD141" s="48">
        <f t="shared" si="42"/>
        <v>0</v>
      </c>
      <c r="AE141" s="5">
        <v>0</v>
      </c>
      <c r="AF141" s="48">
        <f t="shared" si="43"/>
        <v>0</v>
      </c>
      <c r="AG141" s="5">
        <v>0</v>
      </c>
      <c r="AH141" s="48">
        <f t="shared" si="44"/>
        <v>0</v>
      </c>
      <c r="AI141" s="5">
        <v>0</v>
      </c>
      <c r="AJ141" s="48">
        <f t="shared" si="45"/>
        <v>0</v>
      </c>
      <c r="AK141" s="57">
        <f t="shared" si="25"/>
        <v>0.5</v>
      </c>
      <c r="AL141" s="58">
        <f t="shared" si="25"/>
        <v>3333.3333333333335</v>
      </c>
      <c r="AM141" s="103" t="s">
        <v>179</v>
      </c>
      <c r="AO141" s="45"/>
      <c r="AP141" s="5">
        <v>500</v>
      </c>
      <c r="AQ141" s="5" t="s">
        <v>109</v>
      </c>
      <c r="AR141" s="5"/>
      <c r="AS141" s="5"/>
      <c r="AT141" s="5">
        <v>1</v>
      </c>
      <c r="AU141" s="69">
        <v>5000</v>
      </c>
      <c r="AV141" s="70">
        <f t="shared" si="38"/>
        <v>5000</v>
      </c>
    </row>
    <row r="142" spans="1:48">
      <c r="V142" s="45"/>
      <c r="W142" s="5">
        <v>812</v>
      </c>
      <c r="X142" s="5" t="s">
        <v>178</v>
      </c>
      <c r="Y142" s="5">
        <v>0</v>
      </c>
      <c r="Z142" s="48">
        <f t="shared" si="40"/>
        <v>0</v>
      </c>
      <c r="AA142" s="5">
        <v>1</v>
      </c>
      <c r="AB142" s="48">
        <f t="shared" si="41"/>
        <v>6666.666666666667</v>
      </c>
      <c r="AC142" s="5">
        <v>0</v>
      </c>
      <c r="AD142" s="48">
        <f t="shared" si="42"/>
        <v>0</v>
      </c>
      <c r="AE142" s="5">
        <v>0</v>
      </c>
      <c r="AF142" s="48">
        <f t="shared" si="43"/>
        <v>0</v>
      </c>
      <c r="AG142" s="5">
        <v>0</v>
      </c>
      <c r="AH142" s="48">
        <f t="shared" si="44"/>
        <v>0</v>
      </c>
      <c r="AI142" s="5">
        <v>0</v>
      </c>
      <c r="AJ142" s="48">
        <f t="shared" si="45"/>
        <v>0</v>
      </c>
      <c r="AK142" s="57">
        <f t="shared" si="25"/>
        <v>1</v>
      </c>
      <c r="AL142" s="58">
        <f t="shared" si="25"/>
        <v>6666.666666666667</v>
      </c>
      <c r="AM142" s="103" t="s">
        <v>178</v>
      </c>
      <c r="AO142" s="45"/>
      <c r="AP142" s="5">
        <v>500</v>
      </c>
      <c r="AQ142" s="5" t="s">
        <v>107</v>
      </c>
      <c r="AR142" s="5" t="s">
        <v>106</v>
      </c>
      <c r="AS142" s="5"/>
      <c r="AT142" s="5">
        <v>1</v>
      </c>
      <c r="AU142" s="69">
        <v>1250</v>
      </c>
      <c r="AV142" s="70">
        <f t="shared" si="38"/>
        <v>1250</v>
      </c>
    </row>
    <row r="143" spans="1:48">
      <c r="V143" s="45"/>
      <c r="W143" s="5"/>
      <c r="X143" s="55" t="s">
        <v>0</v>
      </c>
      <c r="Y143" s="55">
        <f t="shared" ref="Y143:AI143" si="50">SUM(Y126:Y142)</f>
        <v>0</v>
      </c>
      <c r="Z143" s="59">
        <f>SUM(Z126:Z142)</f>
        <v>0</v>
      </c>
      <c r="AA143" s="55">
        <f t="shared" si="50"/>
        <v>38.130000000000003</v>
      </c>
      <c r="AB143" s="59">
        <f>SUM(AB126:AB142)</f>
        <v>254199.99999999997</v>
      </c>
      <c r="AC143" s="55">
        <f t="shared" si="50"/>
        <v>12.53</v>
      </c>
      <c r="AD143" s="59">
        <f>SUM(AD126:AD142)</f>
        <v>83533.333333333328</v>
      </c>
      <c r="AE143" s="55">
        <f t="shared" si="50"/>
        <v>0</v>
      </c>
      <c r="AF143" s="59">
        <f>SUM(AF126:AF142)</f>
        <v>0</v>
      </c>
      <c r="AG143" s="55">
        <f t="shared" si="50"/>
        <v>0</v>
      </c>
      <c r="AH143" s="59">
        <f>SUM(AH126:AH142)</f>
        <v>0</v>
      </c>
      <c r="AI143" s="55">
        <f t="shared" si="50"/>
        <v>0</v>
      </c>
      <c r="AJ143" s="59">
        <f>SUM(AJ126:AJ142)</f>
        <v>0</v>
      </c>
      <c r="AK143" s="57">
        <f t="shared" si="25"/>
        <v>50.660000000000004</v>
      </c>
      <c r="AL143" s="60">
        <f t="shared" si="25"/>
        <v>337733.33333333331</v>
      </c>
      <c r="AM143" s="103"/>
      <c r="AO143" s="45"/>
      <c r="AP143" s="5">
        <v>500</v>
      </c>
      <c r="AQ143" s="5" t="s">
        <v>77</v>
      </c>
      <c r="AR143" s="5"/>
      <c r="AS143" s="5"/>
      <c r="AT143" s="5">
        <v>2</v>
      </c>
      <c r="AU143" s="69">
        <v>4200</v>
      </c>
      <c r="AV143" s="70">
        <f t="shared" si="38"/>
        <v>8400</v>
      </c>
    </row>
    <row r="144" spans="1:48">
      <c r="V144" s="45" t="s">
        <v>1</v>
      </c>
      <c r="W144" s="5">
        <v>820</v>
      </c>
      <c r="X144" s="5" t="s">
        <v>132</v>
      </c>
      <c r="Y144" s="5">
        <v>0</v>
      </c>
      <c r="Z144" s="48">
        <f t="shared" ref="Z144:Z164" si="51">Y144*TCost</f>
        <v>0</v>
      </c>
      <c r="AA144" s="5">
        <v>0.12</v>
      </c>
      <c r="AB144" s="48">
        <f t="shared" ref="AB144:AB164" si="52">AA144*TCost</f>
        <v>800</v>
      </c>
      <c r="AC144" s="5">
        <v>0</v>
      </c>
      <c r="AD144" s="48">
        <f t="shared" ref="AD144:AD164" si="53">AC144*TCost</f>
        <v>0</v>
      </c>
      <c r="AE144" s="5">
        <v>0</v>
      </c>
      <c r="AF144" s="48">
        <f t="shared" ref="AF144:AF164" si="54">AE144*TCost</f>
        <v>0</v>
      </c>
      <c r="AG144" s="5">
        <v>0</v>
      </c>
      <c r="AH144" s="48">
        <f t="shared" ref="AH144:AH164" si="55">AG144*TCost</f>
        <v>0</v>
      </c>
      <c r="AI144" s="5">
        <v>0</v>
      </c>
      <c r="AJ144" s="48">
        <f t="shared" ref="AJ144:AJ164" si="56">AI144*TCost</f>
        <v>0</v>
      </c>
      <c r="AK144" s="57">
        <f t="shared" si="25"/>
        <v>0.12</v>
      </c>
      <c r="AL144" s="58">
        <f t="shared" si="25"/>
        <v>800</v>
      </c>
      <c r="AM144" s="103" t="s">
        <v>132</v>
      </c>
      <c r="AO144" s="45"/>
      <c r="AP144" s="5">
        <v>500</v>
      </c>
      <c r="AQ144" s="5" t="s">
        <v>76</v>
      </c>
      <c r="AR144" s="5"/>
      <c r="AS144" s="5" t="s">
        <v>103</v>
      </c>
      <c r="AT144" s="5">
        <v>1</v>
      </c>
      <c r="AU144" s="69">
        <v>9911</v>
      </c>
      <c r="AV144" s="70">
        <f t="shared" si="38"/>
        <v>9911</v>
      </c>
    </row>
    <row r="145" spans="1:48">
      <c r="V145" s="45"/>
      <c r="W145" s="5">
        <v>820</v>
      </c>
      <c r="X145" s="5" t="s">
        <v>129</v>
      </c>
      <c r="Y145" s="5">
        <v>0</v>
      </c>
      <c r="Z145" s="48">
        <f t="shared" si="51"/>
        <v>0</v>
      </c>
      <c r="AA145" s="5">
        <v>0.24</v>
      </c>
      <c r="AB145" s="48">
        <f t="shared" si="52"/>
        <v>1600</v>
      </c>
      <c r="AC145" s="5">
        <v>0</v>
      </c>
      <c r="AD145" s="48">
        <f t="shared" si="53"/>
        <v>0</v>
      </c>
      <c r="AE145" s="5">
        <v>0</v>
      </c>
      <c r="AF145" s="48">
        <f t="shared" si="54"/>
        <v>0</v>
      </c>
      <c r="AG145" s="5">
        <v>0</v>
      </c>
      <c r="AH145" s="48">
        <f t="shared" si="55"/>
        <v>0</v>
      </c>
      <c r="AI145" s="5">
        <v>0</v>
      </c>
      <c r="AJ145" s="48">
        <f t="shared" si="56"/>
        <v>0</v>
      </c>
      <c r="AK145" s="57">
        <f t="shared" si="25"/>
        <v>0.24</v>
      </c>
      <c r="AL145" s="58">
        <f t="shared" si="25"/>
        <v>1600</v>
      </c>
      <c r="AM145" s="103" t="s">
        <v>129</v>
      </c>
      <c r="AO145" s="45"/>
      <c r="AP145" s="5">
        <v>500</v>
      </c>
      <c r="AQ145" s="5" t="s">
        <v>102</v>
      </c>
      <c r="AR145" s="5"/>
      <c r="AS145" s="5" t="s">
        <v>101</v>
      </c>
      <c r="AT145" s="5">
        <v>1</v>
      </c>
      <c r="AU145" s="69">
        <v>895</v>
      </c>
      <c r="AV145" s="70">
        <f t="shared" si="38"/>
        <v>895</v>
      </c>
    </row>
    <row r="146" spans="1:48" ht="15.75" thickBot="1">
      <c r="V146" s="45"/>
      <c r="W146" s="5">
        <v>820</v>
      </c>
      <c r="X146" s="5" t="s">
        <v>126</v>
      </c>
      <c r="Y146" s="5">
        <v>0</v>
      </c>
      <c r="Z146" s="48">
        <f t="shared" si="51"/>
        <v>0</v>
      </c>
      <c r="AA146" s="5">
        <v>0.49</v>
      </c>
      <c r="AB146" s="48">
        <f t="shared" si="52"/>
        <v>3266.666666666667</v>
      </c>
      <c r="AC146" s="5">
        <v>0</v>
      </c>
      <c r="AD146" s="48">
        <f t="shared" si="53"/>
        <v>0</v>
      </c>
      <c r="AE146" s="5">
        <v>0</v>
      </c>
      <c r="AF146" s="48">
        <f t="shared" si="54"/>
        <v>0</v>
      </c>
      <c r="AG146" s="5">
        <v>0</v>
      </c>
      <c r="AH146" s="48">
        <f t="shared" si="55"/>
        <v>0</v>
      </c>
      <c r="AI146" s="5">
        <v>0</v>
      </c>
      <c r="AJ146" s="48">
        <f t="shared" si="56"/>
        <v>0</v>
      </c>
      <c r="AK146" s="57">
        <f t="shared" si="25"/>
        <v>0.49</v>
      </c>
      <c r="AL146" s="58">
        <f t="shared" si="25"/>
        <v>3266.666666666667</v>
      </c>
      <c r="AM146" s="103" t="s">
        <v>126</v>
      </c>
      <c r="AO146" s="45"/>
      <c r="AP146" s="5">
        <v>500</v>
      </c>
      <c r="AQ146" s="5" t="s">
        <v>99</v>
      </c>
      <c r="AR146" s="5"/>
      <c r="AS146" s="5"/>
      <c r="AT146" s="5">
        <v>1</v>
      </c>
      <c r="AU146" s="69">
        <v>1500</v>
      </c>
      <c r="AV146" s="70">
        <f t="shared" si="38"/>
        <v>1500</v>
      </c>
    </row>
    <row r="147" spans="1:48">
      <c r="A147" s="250" t="s">
        <v>561</v>
      </c>
      <c r="B147" s="251"/>
      <c r="V147" s="45"/>
      <c r="W147" s="5">
        <v>821</v>
      </c>
      <c r="X147" s="5" t="s">
        <v>132</v>
      </c>
      <c r="Y147" s="5">
        <v>0</v>
      </c>
      <c r="Z147" s="48">
        <f t="shared" si="51"/>
        <v>0</v>
      </c>
      <c r="AA147" s="5">
        <v>0.59</v>
      </c>
      <c r="AB147" s="48">
        <f t="shared" si="52"/>
        <v>3933.3333333333335</v>
      </c>
      <c r="AC147" s="5">
        <v>0</v>
      </c>
      <c r="AD147" s="48">
        <f t="shared" si="53"/>
        <v>0</v>
      </c>
      <c r="AE147" s="5">
        <v>0</v>
      </c>
      <c r="AF147" s="48">
        <f t="shared" si="54"/>
        <v>0</v>
      </c>
      <c r="AG147" s="5">
        <v>0</v>
      </c>
      <c r="AH147" s="48">
        <f t="shared" si="55"/>
        <v>0</v>
      </c>
      <c r="AI147" s="5">
        <v>0</v>
      </c>
      <c r="AJ147" s="48">
        <f t="shared" si="56"/>
        <v>0</v>
      </c>
      <c r="AK147" s="57">
        <f t="shared" si="25"/>
        <v>0.59</v>
      </c>
      <c r="AL147" s="58">
        <f t="shared" si="25"/>
        <v>3933.3333333333335</v>
      </c>
      <c r="AM147" s="103" t="s">
        <v>132</v>
      </c>
      <c r="AO147" s="45"/>
      <c r="AP147" s="5">
        <v>500</v>
      </c>
      <c r="AQ147" s="5" t="s">
        <v>98</v>
      </c>
      <c r="AR147" s="5"/>
      <c r="AS147" s="5"/>
      <c r="AT147" s="5">
        <v>1</v>
      </c>
      <c r="AU147" s="69">
        <v>5000</v>
      </c>
      <c r="AV147" s="70">
        <f t="shared" si="38"/>
        <v>5000</v>
      </c>
    </row>
    <row r="148" spans="1:48">
      <c r="A148" s="6" t="s">
        <v>548</v>
      </c>
      <c r="B148" s="13" t="s">
        <v>549</v>
      </c>
      <c r="V148" s="45"/>
      <c r="W148" s="5">
        <v>821</v>
      </c>
      <c r="X148" s="5" t="s">
        <v>170</v>
      </c>
      <c r="Y148" s="5">
        <v>0</v>
      </c>
      <c r="Z148" s="48">
        <f t="shared" si="51"/>
        <v>0</v>
      </c>
      <c r="AA148" s="5">
        <v>0.98</v>
      </c>
      <c r="AB148" s="48">
        <f t="shared" si="52"/>
        <v>6533.3333333333339</v>
      </c>
      <c r="AC148" s="5">
        <v>0</v>
      </c>
      <c r="AD148" s="48">
        <f t="shared" si="53"/>
        <v>0</v>
      </c>
      <c r="AE148" s="5">
        <v>0</v>
      </c>
      <c r="AF148" s="48">
        <f t="shared" si="54"/>
        <v>0</v>
      </c>
      <c r="AG148" s="5">
        <v>0</v>
      </c>
      <c r="AH148" s="48">
        <f t="shared" si="55"/>
        <v>0</v>
      </c>
      <c r="AI148" s="5">
        <v>0</v>
      </c>
      <c r="AJ148" s="48">
        <f t="shared" si="56"/>
        <v>0</v>
      </c>
      <c r="AK148" s="57">
        <f t="shared" si="25"/>
        <v>0.98</v>
      </c>
      <c r="AL148" s="58">
        <f t="shared" si="25"/>
        <v>6533.3333333333339</v>
      </c>
      <c r="AM148" s="103" t="s">
        <v>170</v>
      </c>
      <c r="AN148" s="38"/>
      <c r="AO148" s="45"/>
      <c r="AP148" s="5">
        <v>500</v>
      </c>
      <c r="AQ148" s="5" t="s">
        <v>97</v>
      </c>
      <c r="AR148" s="5"/>
      <c r="AS148" s="5" t="s">
        <v>96</v>
      </c>
      <c r="AT148" s="5">
        <v>1</v>
      </c>
      <c r="AU148" s="69">
        <v>3000</v>
      </c>
      <c r="AV148" s="70">
        <f t="shared" si="38"/>
        <v>3000</v>
      </c>
    </row>
    <row r="149" spans="1:48">
      <c r="A149" s="6" t="s">
        <v>484</v>
      </c>
      <c r="B149" s="13" t="s">
        <v>483</v>
      </c>
      <c r="V149" s="45"/>
      <c r="W149" s="5">
        <v>821</v>
      </c>
      <c r="X149" s="5" t="s">
        <v>129</v>
      </c>
      <c r="Y149" s="5">
        <v>0</v>
      </c>
      <c r="Z149" s="48">
        <f t="shared" si="51"/>
        <v>0</v>
      </c>
      <c r="AA149" s="5">
        <v>1.27</v>
      </c>
      <c r="AB149" s="48">
        <f t="shared" si="52"/>
        <v>8466.6666666666679</v>
      </c>
      <c r="AC149" s="5">
        <v>0</v>
      </c>
      <c r="AD149" s="48">
        <f t="shared" si="53"/>
        <v>0</v>
      </c>
      <c r="AE149" s="5">
        <v>0</v>
      </c>
      <c r="AF149" s="48">
        <f t="shared" si="54"/>
        <v>0</v>
      </c>
      <c r="AG149" s="5">
        <v>0</v>
      </c>
      <c r="AH149" s="48">
        <f t="shared" si="55"/>
        <v>0</v>
      </c>
      <c r="AI149" s="5">
        <v>0</v>
      </c>
      <c r="AJ149" s="48">
        <f t="shared" si="56"/>
        <v>0</v>
      </c>
      <c r="AK149" s="57">
        <f t="shared" si="25"/>
        <v>1.27</v>
      </c>
      <c r="AL149" s="58">
        <f t="shared" si="25"/>
        <v>8466.6666666666679</v>
      </c>
      <c r="AM149" s="103" t="s">
        <v>129</v>
      </c>
      <c r="AO149" s="45"/>
      <c r="AP149" s="5">
        <v>500</v>
      </c>
      <c r="AQ149" s="5" t="s">
        <v>95</v>
      </c>
      <c r="AR149" s="5"/>
      <c r="AS149" s="5"/>
      <c r="AT149" s="5">
        <v>1</v>
      </c>
      <c r="AU149" s="69">
        <v>10494</v>
      </c>
      <c r="AV149" s="70">
        <f t="shared" si="38"/>
        <v>10494</v>
      </c>
    </row>
    <row r="150" spans="1:48">
      <c r="A150" s="6" t="s">
        <v>550</v>
      </c>
      <c r="B150" s="13" t="s">
        <v>474</v>
      </c>
      <c r="V150" s="45"/>
      <c r="W150" s="5">
        <v>821</v>
      </c>
      <c r="X150" s="5" t="s">
        <v>156</v>
      </c>
      <c r="Y150" s="5">
        <v>0</v>
      </c>
      <c r="Z150" s="48">
        <f t="shared" si="51"/>
        <v>0</v>
      </c>
      <c r="AA150" s="5">
        <v>0.1</v>
      </c>
      <c r="AB150" s="48">
        <f t="shared" si="52"/>
        <v>666.66666666666674</v>
      </c>
      <c r="AC150" s="5">
        <v>0</v>
      </c>
      <c r="AD150" s="48">
        <f t="shared" si="53"/>
        <v>0</v>
      </c>
      <c r="AE150" s="5">
        <v>0</v>
      </c>
      <c r="AF150" s="48">
        <f t="shared" si="54"/>
        <v>0</v>
      </c>
      <c r="AG150" s="5">
        <v>0</v>
      </c>
      <c r="AH150" s="48">
        <f t="shared" si="55"/>
        <v>0</v>
      </c>
      <c r="AI150" s="5">
        <v>0</v>
      </c>
      <c r="AJ150" s="48">
        <f t="shared" si="56"/>
        <v>0</v>
      </c>
      <c r="AK150" s="57">
        <f t="shared" si="25"/>
        <v>0.1</v>
      </c>
      <c r="AL150" s="58">
        <f t="shared" si="25"/>
        <v>666.66666666666674</v>
      </c>
      <c r="AM150" s="103" t="s">
        <v>156</v>
      </c>
      <c r="AO150" s="45"/>
      <c r="AP150" s="5">
        <v>500</v>
      </c>
      <c r="AQ150" s="5" t="s">
        <v>94</v>
      </c>
      <c r="AR150" s="5" t="s">
        <v>93</v>
      </c>
      <c r="AS150" s="5" t="s">
        <v>91</v>
      </c>
      <c r="AT150" s="5">
        <v>2</v>
      </c>
      <c r="AU150" s="69">
        <v>50900</v>
      </c>
      <c r="AV150" s="70">
        <f t="shared" si="38"/>
        <v>101800</v>
      </c>
    </row>
    <row r="151" spans="1:48">
      <c r="A151" s="6" t="s">
        <v>465</v>
      </c>
      <c r="B151" s="13" t="s">
        <v>464</v>
      </c>
      <c r="V151" s="45"/>
      <c r="W151" s="5">
        <v>821</v>
      </c>
      <c r="X151" s="5" t="s">
        <v>126</v>
      </c>
      <c r="Y151" s="5">
        <v>0</v>
      </c>
      <c r="Z151" s="48">
        <f t="shared" si="51"/>
        <v>0</v>
      </c>
      <c r="AA151" s="5">
        <v>0.66</v>
      </c>
      <c r="AB151" s="48">
        <f t="shared" si="52"/>
        <v>4400</v>
      </c>
      <c r="AC151" s="5">
        <v>0</v>
      </c>
      <c r="AD151" s="48">
        <f t="shared" si="53"/>
        <v>0</v>
      </c>
      <c r="AE151" s="5">
        <v>0</v>
      </c>
      <c r="AF151" s="48">
        <f t="shared" si="54"/>
        <v>0</v>
      </c>
      <c r="AG151" s="5">
        <v>0</v>
      </c>
      <c r="AH151" s="48">
        <f t="shared" si="55"/>
        <v>0</v>
      </c>
      <c r="AI151" s="5">
        <v>0</v>
      </c>
      <c r="AJ151" s="48">
        <f t="shared" si="56"/>
        <v>0</v>
      </c>
      <c r="AK151" s="57">
        <f t="shared" si="25"/>
        <v>0.66</v>
      </c>
      <c r="AL151" s="58">
        <f t="shared" si="25"/>
        <v>4400</v>
      </c>
      <c r="AM151" s="103" t="s">
        <v>126</v>
      </c>
      <c r="AO151" s="45"/>
      <c r="AP151" s="5">
        <v>500</v>
      </c>
      <c r="AQ151" s="5" t="s">
        <v>92</v>
      </c>
      <c r="AR151" s="5" t="s">
        <v>91</v>
      </c>
      <c r="AS151" s="5" t="s">
        <v>90</v>
      </c>
      <c r="AT151" s="5">
        <v>16</v>
      </c>
      <c r="AU151" s="69">
        <v>4200</v>
      </c>
      <c r="AV151" s="70">
        <f t="shared" ref="AV151:AV182" si="57">AT151*AU151</f>
        <v>67200</v>
      </c>
    </row>
    <row r="152" spans="1:48">
      <c r="A152" s="6" t="s">
        <v>551</v>
      </c>
      <c r="B152" s="13" t="s">
        <v>453</v>
      </c>
      <c r="V152" s="45"/>
      <c r="W152" s="5">
        <v>821</v>
      </c>
      <c r="X152" s="5" t="s">
        <v>123</v>
      </c>
      <c r="Y152" s="5">
        <v>0</v>
      </c>
      <c r="Z152" s="48">
        <f t="shared" si="51"/>
        <v>0</v>
      </c>
      <c r="AA152" s="5">
        <v>0.17</v>
      </c>
      <c r="AB152" s="48">
        <f t="shared" si="52"/>
        <v>1133.3333333333335</v>
      </c>
      <c r="AC152" s="5">
        <v>0</v>
      </c>
      <c r="AD152" s="48">
        <f t="shared" si="53"/>
        <v>0</v>
      </c>
      <c r="AE152" s="5">
        <v>0</v>
      </c>
      <c r="AF152" s="48">
        <f t="shared" si="54"/>
        <v>0</v>
      </c>
      <c r="AG152" s="5">
        <v>0</v>
      </c>
      <c r="AH152" s="48">
        <f t="shared" si="55"/>
        <v>0</v>
      </c>
      <c r="AI152" s="5">
        <v>0</v>
      </c>
      <c r="AJ152" s="48">
        <f t="shared" si="56"/>
        <v>0</v>
      </c>
      <c r="AK152" s="57">
        <f t="shared" si="25"/>
        <v>0.17</v>
      </c>
      <c r="AL152" s="58">
        <f t="shared" si="25"/>
        <v>1133.3333333333335</v>
      </c>
      <c r="AM152" s="103" t="s">
        <v>123</v>
      </c>
      <c r="AO152" s="45"/>
      <c r="AP152" s="5">
        <v>500</v>
      </c>
      <c r="AQ152" s="5" t="s">
        <v>89</v>
      </c>
      <c r="AR152" s="5"/>
      <c r="AS152" s="5"/>
      <c r="AT152" s="5">
        <v>2</v>
      </c>
      <c r="AU152" s="69">
        <v>1000</v>
      </c>
      <c r="AV152" s="70">
        <f t="shared" si="57"/>
        <v>2000</v>
      </c>
    </row>
    <row r="153" spans="1:48">
      <c r="A153" s="6" t="s">
        <v>444</v>
      </c>
      <c r="B153" s="13" t="s">
        <v>443</v>
      </c>
      <c r="V153" s="45"/>
      <c r="W153" s="5">
        <v>822</v>
      </c>
      <c r="X153" s="5" t="s">
        <v>150</v>
      </c>
      <c r="Y153" s="5">
        <v>0</v>
      </c>
      <c r="Z153" s="48">
        <f t="shared" si="51"/>
        <v>0</v>
      </c>
      <c r="AA153" s="5">
        <v>2.94</v>
      </c>
      <c r="AB153" s="48">
        <f t="shared" si="52"/>
        <v>19600</v>
      </c>
      <c r="AC153" s="5">
        <v>0</v>
      </c>
      <c r="AD153" s="48">
        <f t="shared" si="53"/>
        <v>0</v>
      </c>
      <c r="AE153" s="5">
        <v>0</v>
      </c>
      <c r="AF153" s="48">
        <f t="shared" si="54"/>
        <v>0</v>
      </c>
      <c r="AG153" s="5">
        <v>0</v>
      </c>
      <c r="AH153" s="48">
        <f t="shared" si="55"/>
        <v>0</v>
      </c>
      <c r="AI153" s="5">
        <v>0</v>
      </c>
      <c r="AJ153" s="48">
        <f t="shared" si="56"/>
        <v>0</v>
      </c>
      <c r="AK153" s="57">
        <f t="shared" si="25"/>
        <v>2.94</v>
      </c>
      <c r="AL153" s="58">
        <f t="shared" si="25"/>
        <v>19600</v>
      </c>
      <c r="AM153" s="103" t="s">
        <v>150</v>
      </c>
      <c r="AO153" s="45"/>
      <c r="AP153" s="5">
        <v>500</v>
      </c>
      <c r="AQ153" s="5" t="s">
        <v>88</v>
      </c>
      <c r="AR153" s="5"/>
      <c r="AS153" s="5"/>
      <c r="AT153" s="5">
        <v>2</v>
      </c>
      <c r="AU153" s="69">
        <v>3000</v>
      </c>
      <c r="AV153" s="70">
        <f t="shared" si="57"/>
        <v>6000</v>
      </c>
    </row>
    <row r="154" spans="1:48">
      <c r="A154" s="6" t="s">
        <v>552</v>
      </c>
      <c r="B154" s="13" t="s">
        <v>553</v>
      </c>
      <c r="V154" s="45"/>
      <c r="W154" s="5">
        <v>822</v>
      </c>
      <c r="X154" s="5" t="s">
        <v>126</v>
      </c>
      <c r="Y154" s="5">
        <v>0</v>
      </c>
      <c r="Z154" s="48">
        <f t="shared" si="51"/>
        <v>0</v>
      </c>
      <c r="AA154" s="5">
        <v>0.98</v>
      </c>
      <c r="AB154" s="48">
        <f t="shared" si="52"/>
        <v>6533.3333333333339</v>
      </c>
      <c r="AC154" s="5">
        <v>0</v>
      </c>
      <c r="AD154" s="48">
        <f t="shared" si="53"/>
        <v>0</v>
      </c>
      <c r="AE154" s="5">
        <v>0</v>
      </c>
      <c r="AF154" s="48">
        <f t="shared" si="54"/>
        <v>0</v>
      </c>
      <c r="AG154" s="5">
        <v>0</v>
      </c>
      <c r="AH154" s="48">
        <f t="shared" si="55"/>
        <v>0</v>
      </c>
      <c r="AI154" s="5">
        <v>0</v>
      </c>
      <c r="AJ154" s="48">
        <f t="shared" si="56"/>
        <v>0</v>
      </c>
      <c r="AK154" s="57">
        <f t="shared" si="25"/>
        <v>0.98</v>
      </c>
      <c r="AL154" s="58">
        <f t="shared" si="25"/>
        <v>6533.3333333333339</v>
      </c>
      <c r="AM154" s="103" t="s">
        <v>126</v>
      </c>
      <c r="AO154" s="45"/>
      <c r="AP154" s="5">
        <v>500</v>
      </c>
      <c r="AQ154" s="5" t="s">
        <v>87</v>
      </c>
      <c r="AR154" s="5"/>
      <c r="AS154" s="5"/>
      <c r="AT154" s="5">
        <v>4</v>
      </c>
      <c r="AU154" s="69">
        <v>2000</v>
      </c>
      <c r="AV154" s="70">
        <f t="shared" si="57"/>
        <v>8000</v>
      </c>
    </row>
    <row r="155" spans="1:48">
      <c r="A155" s="6" t="s">
        <v>554</v>
      </c>
      <c r="B155" s="36" t="s">
        <v>555</v>
      </c>
      <c r="V155" s="45"/>
      <c r="W155" s="5">
        <v>822</v>
      </c>
      <c r="X155" s="5" t="s">
        <v>123</v>
      </c>
      <c r="Y155" s="5">
        <v>0</v>
      </c>
      <c r="Z155" s="48">
        <f t="shared" si="51"/>
        <v>0</v>
      </c>
      <c r="AA155" s="5">
        <v>0.98</v>
      </c>
      <c r="AB155" s="48">
        <f t="shared" si="52"/>
        <v>6533.3333333333339</v>
      </c>
      <c r="AC155" s="5">
        <v>0</v>
      </c>
      <c r="AD155" s="48">
        <f t="shared" si="53"/>
        <v>0</v>
      </c>
      <c r="AE155" s="5">
        <v>0</v>
      </c>
      <c r="AF155" s="48">
        <f t="shared" si="54"/>
        <v>0</v>
      </c>
      <c r="AG155" s="5">
        <v>0</v>
      </c>
      <c r="AH155" s="48">
        <f t="shared" si="55"/>
        <v>0</v>
      </c>
      <c r="AI155" s="5">
        <v>0</v>
      </c>
      <c r="AJ155" s="48">
        <f t="shared" si="56"/>
        <v>0</v>
      </c>
      <c r="AK155" s="57">
        <f t="shared" si="25"/>
        <v>0.98</v>
      </c>
      <c r="AL155" s="58">
        <f t="shared" si="25"/>
        <v>6533.3333333333339</v>
      </c>
      <c r="AM155" s="103" t="s">
        <v>123</v>
      </c>
      <c r="AO155" s="45"/>
      <c r="AP155" s="5">
        <v>500</v>
      </c>
      <c r="AQ155" s="5" t="s">
        <v>86</v>
      </c>
      <c r="AR155" s="5"/>
      <c r="AS155" s="5"/>
      <c r="AT155" s="5">
        <v>2</v>
      </c>
      <c r="AU155" s="69">
        <v>5000</v>
      </c>
      <c r="AV155" s="70">
        <f t="shared" si="57"/>
        <v>10000</v>
      </c>
    </row>
    <row r="156" spans="1:48">
      <c r="A156" s="6" t="s">
        <v>405</v>
      </c>
      <c r="B156" s="13" t="s">
        <v>404</v>
      </c>
      <c r="V156" s="45"/>
      <c r="W156" s="5">
        <v>823</v>
      </c>
      <c r="X156" s="5" t="s">
        <v>126</v>
      </c>
      <c r="Y156" s="5">
        <v>0.59</v>
      </c>
      <c r="Z156" s="48">
        <f t="shared" si="51"/>
        <v>3933.3333333333335</v>
      </c>
      <c r="AA156" s="5">
        <v>0</v>
      </c>
      <c r="AB156" s="48">
        <f t="shared" si="52"/>
        <v>0</v>
      </c>
      <c r="AC156" s="5">
        <v>0</v>
      </c>
      <c r="AD156" s="48">
        <f t="shared" si="53"/>
        <v>0</v>
      </c>
      <c r="AE156" s="5">
        <v>0</v>
      </c>
      <c r="AF156" s="48">
        <f t="shared" si="54"/>
        <v>0</v>
      </c>
      <c r="AG156" s="5">
        <v>0</v>
      </c>
      <c r="AH156" s="48">
        <f t="shared" si="55"/>
        <v>0</v>
      </c>
      <c r="AI156" s="5">
        <v>0</v>
      </c>
      <c r="AJ156" s="48">
        <f t="shared" si="56"/>
        <v>0</v>
      </c>
      <c r="AK156" s="57">
        <f t="shared" si="25"/>
        <v>0.59</v>
      </c>
      <c r="AL156" s="58">
        <f t="shared" si="25"/>
        <v>3933.3333333333335</v>
      </c>
      <c r="AM156" s="103" t="s">
        <v>126</v>
      </c>
      <c r="AO156" s="45"/>
      <c r="AP156" s="5">
        <v>500</v>
      </c>
      <c r="AQ156" s="5" t="s">
        <v>85</v>
      </c>
      <c r="AR156" s="5"/>
      <c r="AS156" s="5"/>
      <c r="AT156" s="5">
        <v>2</v>
      </c>
      <c r="AU156" s="69">
        <v>1000</v>
      </c>
      <c r="AV156" s="70">
        <f t="shared" si="57"/>
        <v>2000</v>
      </c>
    </row>
    <row r="157" spans="1:48">
      <c r="A157" s="6" t="s">
        <v>178</v>
      </c>
      <c r="B157" s="13" t="s">
        <v>398</v>
      </c>
      <c r="V157" s="45"/>
      <c r="W157" s="5">
        <v>823</v>
      </c>
      <c r="X157" s="5" t="s">
        <v>142</v>
      </c>
      <c r="Y157" s="5">
        <v>0.12</v>
      </c>
      <c r="Z157" s="48">
        <f t="shared" si="51"/>
        <v>800</v>
      </c>
      <c r="AA157" s="5">
        <v>0</v>
      </c>
      <c r="AB157" s="48">
        <f t="shared" si="52"/>
        <v>0</v>
      </c>
      <c r="AC157" s="5">
        <v>0</v>
      </c>
      <c r="AD157" s="48">
        <f t="shared" si="53"/>
        <v>0</v>
      </c>
      <c r="AE157" s="5">
        <v>0</v>
      </c>
      <c r="AF157" s="48">
        <f t="shared" si="54"/>
        <v>0</v>
      </c>
      <c r="AG157" s="5">
        <v>0</v>
      </c>
      <c r="AH157" s="48">
        <f t="shared" si="55"/>
        <v>0</v>
      </c>
      <c r="AI157" s="5">
        <v>0</v>
      </c>
      <c r="AJ157" s="48">
        <f t="shared" si="56"/>
        <v>0</v>
      </c>
      <c r="AK157" s="57">
        <f t="shared" si="25"/>
        <v>0.12</v>
      </c>
      <c r="AL157" s="58">
        <f t="shared" si="25"/>
        <v>800</v>
      </c>
      <c r="AM157" s="103" t="s">
        <v>142</v>
      </c>
      <c r="AO157" s="45"/>
      <c r="AP157" s="5">
        <v>500</v>
      </c>
      <c r="AQ157" s="5" t="s">
        <v>84</v>
      </c>
      <c r="AR157" s="5"/>
      <c r="AS157" s="5"/>
      <c r="AT157" s="5">
        <v>2</v>
      </c>
      <c r="AU157" s="69">
        <v>100</v>
      </c>
      <c r="AV157" s="70">
        <f t="shared" si="57"/>
        <v>200</v>
      </c>
    </row>
    <row r="158" spans="1:48">
      <c r="A158" s="6" t="s">
        <v>391</v>
      </c>
      <c r="B158" s="13" t="s">
        <v>390</v>
      </c>
      <c r="V158" s="45"/>
      <c r="W158" s="5">
        <v>824</v>
      </c>
      <c r="X158" s="5" t="s">
        <v>132</v>
      </c>
      <c r="Y158" s="5">
        <v>0</v>
      </c>
      <c r="Z158" s="48">
        <f t="shared" si="51"/>
        <v>0</v>
      </c>
      <c r="AA158" s="5">
        <v>0.12</v>
      </c>
      <c r="AB158" s="48">
        <f t="shared" si="52"/>
        <v>800</v>
      </c>
      <c r="AC158" s="5">
        <v>0</v>
      </c>
      <c r="AD158" s="48">
        <f t="shared" si="53"/>
        <v>0</v>
      </c>
      <c r="AE158" s="5">
        <v>0</v>
      </c>
      <c r="AF158" s="48">
        <f t="shared" si="54"/>
        <v>0</v>
      </c>
      <c r="AG158" s="5">
        <v>0</v>
      </c>
      <c r="AH158" s="48">
        <f t="shared" si="55"/>
        <v>0</v>
      </c>
      <c r="AI158" s="5">
        <v>0</v>
      </c>
      <c r="AJ158" s="48">
        <f t="shared" si="56"/>
        <v>0</v>
      </c>
      <c r="AK158" s="57">
        <f t="shared" si="25"/>
        <v>0.12</v>
      </c>
      <c r="AL158" s="58">
        <f t="shared" si="25"/>
        <v>800</v>
      </c>
      <c r="AM158" s="103" t="s">
        <v>132</v>
      </c>
      <c r="AO158" s="45"/>
      <c r="AP158" s="5">
        <v>500</v>
      </c>
      <c r="AQ158" s="5" t="s">
        <v>83</v>
      </c>
      <c r="AR158" s="5"/>
      <c r="AS158" s="5"/>
      <c r="AT158" s="5">
        <v>2</v>
      </c>
      <c r="AU158" s="69">
        <v>100</v>
      </c>
      <c r="AV158" s="70">
        <f t="shared" si="57"/>
        <v>200</v>
      </c>
    </row>
    <row r="159" spans="1:48">
      <c r="A159" s="6" t="s">
        <v>382</v>
      </c>
      <c r="B159" s="13" t="s">
        <v>381</v>
      </c>
      <c r="V159" s="45"/>
      <c r="W159" s="5">
        <v>824</v>
      </c>
      <c r="X159" s="5" t="s">
        <v>129</v>
      </c>
      <c r="Y159" s="5">
        <v>0</v>
      </c>
      <c r="Z159" s="48">
        <f t="shared" si="51"/>
        <v>0</v>
      </c>
      <c r="AA159" s="5">
        <v>0.24</v>
      </c>
      <c r="AB159" s="48">
        <f t="shared" si="52"/>
        <v>1600</v>
      </c>
      <c r="AC159" s="5">
        <v>0</v>
      </c>
      <c r="AD159" s="48">
        <f t="shared" si="53"/>
        <v>0</v>
      </c>
      <c r="AE159" s="5">
        <v>0</v>
      </c>
      <c r="AF159" s="48">
        <f t="shared" si="54"/>
        <v>0</v>
      </c>
      <c r="AG159" s="5">
        <v>0</v>
      </c>
      <c r="AH159" s="48">
        <f t="shared" si="55"/>
        <v>0</v>
      </c>
      <c r="AI159" s="5">
        <v>0</v>
      </c>
      <c r="AJ159" s="48">
        <f t="shared" si="56"/>
        <v>0</v>
      </c>
      <c r="AK159" s="57">
        <f t="shared" si="25"/>
        <v>0.24</v>
      </c>
      <c r="AL159" s="58">
        <f t="shared" si="25"/>
        <v>1600</v>
      </c>
      <c r="AM159" s="103" t="s">
        <v>129</v>
      </c>
      <c r="AO159" s="45"/>
      <c r="AP159" s="5">
        <v>500</v>
      </c>
      <c r="AQ159" s="5" t="s">
        <v>82</v>
      </c>
      <c r="AR159" s="5"/>
      <c r="AS159" s="5"/>
      <c r="AT159" s="5">
        <v>2</v>
      </c>
      <c r="AU159" s="69">
        <v>500</v>
      </c>
      <c r="AV159" s="70">
        <f t="shared" si="57"/>
        <v>1000</v>
      </c>
    </row>
    <row r="160" spans="1:48">
      <c r="A160" s="6" t="s">
        <v>556</v>
      </c>
      <c r="B160" s="13" t="s">
        <v>557</v>
      </c>
      <c r="V160" s="45"/>
      <c r="W160" s="5">
        <v>824</v>
      </c>
      <c r="X160" s="5" t="s">
        <v>126</v>
      </c>
      <c r="Y160" s="5">
        <v>0</v>
      </c>
      <c r="Z160" s="48">
        <f t="shared" si="51"/>
        <v>0</v>
      </c>
      <c r="AA160" s="5">
        <v>0.12</v>
      </c>
      <c r="AB160" s="48">
        <f t="shared" si="52"/>
        <v>800</v>
      </c>
      <c r="AC160" s="5">
        <v>0</v>
      </c>
      <c r="AD160" s="48">
        <f t="shared" si="53"/>
        <v>0</v>
      </c>
      <c r="AE160" s="5">
        <v>0</v>
      </c>
      <c r="AF160" s="48">
        <f t="shared" si="54"/>
        <v>0</v>
      </c>
      <c r="AG160" s="5">
        <v>0</v>
      </c>
      <c r="AH160" s="48">
        <f t="shared" si="55"/>
        <v>0</v>
      </c>
      <c r="AI160" s="5">
        <v>0</v>
      </c>
      <c r="AJ160" s="48">
        <f t="shared" si="56"/>
        <v>0</v>
      </c>
      <c r="AK160" s="57">
        <f t="shared" si="25"/>
        <v>0.12</v>
      </c>
      <c r="AL160" s="58">
        <f t="shared" si="25"/>
        <v>800</v>
      </c>
      <c r="AM160" s="103" t="s">
        <v>126</v>
      </c>
      <c r="AO160" s="45"/>
      <c r="AP160" s="5">
        <v>500</v>
      </c>
      <c r="AQ160" s="5" t="s">
        <v>81</v>
      </c>
      <c r="AR160" s="5"/>
      <c r="AS160" s="5"/>
      <c r="AT160" s="5">
        <v>2</v>
      </c>
      <c r="AU160" s="69">
        <v>82539</v>
      </c>
      <c r="AV160" s="70">
        <f t="shared" si="57"/>
        <v>165078</v>
      </c>
    </row>
    <row r="161" spans="1:48">
      <c r="A161" s="6" t="s">
        <v>558</v>
      </c>
      <c r="B161" s="13" t="s">
        <v>364</v>
      </c>
      <c r="V161" s="45"/>
      <c r="W161" s="5">
        <v>825</v>
      </c>
      <c r="X161" s="5" t="s">
        <v>132</v>
      </c>
      <c r="Y161" s="5">
        <v>0</v>
      </c>
      <c r="Z161" s="48">
        <f t="shared" si="51"/>
        <v>0</v>
      </c>
      <c r="AA161" s="5">
        <v>0.34</v>
      </c>
      <c r="AB161" s="48">
        <f t="shared" si="52"/>
        <v>2266.666666666667</v>
      </c>
      <c r="AC161" s="5">
        <v>0</v>
      </c>
      <c r="AD161" s="48">
        <f t="shared" si="53"/>
        <v>0</v>
      </c>
      <c r="AE161" s="5">
        <v>0</v>
      </c>
      <c r="AF161" s="48">
        <f t="shared" si="54"/>
        <v>0</v>
      </c>
      <c r="AG161" s="5">
        <v>0</v>
      </c>
      <c r="AH161" s="48">
        <f t="shared" si="55"/>
        <v>0</v>
      </c>
      <c r="AI161" s="5">
        <v>0</v>
      </c>
      <c r="AJ161" s="48">
        <f t="shared" si="56"/>
        <v>0</v>
      </c>
      <c r="AK161" s="57">
        <f t="shared" si="25"/>
        <v>0.34</v>
      </c>
      <c r="AL161" s="58">
        <f t="shared" si="25"/>
        <v>2266.666666666667</v>
      </c>
      <c r="AM161" s="103" t="s">
        <v>132</v>
      </c>
      <c r="AO161" s="45"/>
      <c r="AP161" s="5">
        <v>500</v>
      </c>
      <c r="AQ161" s="5" t="s">
        <v>80</v>
      </c>
      <c r="AR161" s="5"/>
      <c r="AS161" s="5"/>
      <c r="AT161" s="5">
        <v>1</v>
      </c>
      <c r="AU161" s="69">
        <v>0</v>
      </c>
      <c r="AV161" s="70">
        <f t="shared" si="57"/>
        <v>0</v>
      </c>
    </row>
    <row r="162" spans="1:48">
      <c r="A162" s="6" t="s">
        <v>559</v>
      </c>
      <c r="B162" s="13" t="s">
        <v>560</v>
      </c>
      <c r="V162" s="45"/>
      <c r="W162" s="5">
        <v>825</v>
      </c>
      <c r="X162" s="5" t="s">
        <v>129</v>
      </c>
      <c r="Y162" s="5">
        <v>0</v>
      </c>
      <c r="Z162" s="48">
        <f t="shared" si="51"/>
        <v>0</v>
      </c>
      <c r="AA162" s="5">
        <v>0.12</v>
      </c>
      <c r="AB162" s="48">
        <f t="shared" si="52"/>
        <v>800</v>
      </c>
      <c r="AC162" s="5">
        <v>0</v>
      </c>
      <c r="AD162" s="48">
        <f t="shared" si="53"/>
        <v>0</v>
      </c>
      <c r="AE162" s="5">
        <v>0</v>
      </c>
      <c r="AF162" s="48">
        <f t="shared" si="54"/>
        <v>0</v>
      </c>
      <c r="AG162" s="5">
        <v>0</v>
      </c>
      <c r="AH162" s="48">
        <f t="shared" si="55"/>
        <v>0</v>
      </c>
      <c r="AI162" s="5">
        <v>0</v>
      </c>
      <c r="AJ162" s="48">
        <f t="shared" si="56"/>
        <v>0</v>
      </c>
      <c r="AK162" s="57">
        <f t="shared" si="25"/>
        <v>0.12</v>
      </c>
      <c r="AL162" s="58">
        <f t="shared" si="25"/>
        <v>800</v>
      </c>
      <c r="AM162" s="103" t="s">
        <v>129</v>
      </c>
      <c r="AO162" s="45"/>
      <c r="AP162" s="5">
        <v>500</v>
      </c>
      <c r="AQ162" s="5" t="s">
        <v>79</v>
      </c>
      <c r="AR162" s="5"/>
      <c r="AS162" s="5"/>
      <c r="AT162" s="5">
        <v>2</v>
      </c>
      <c r="AU162" s="69">
        <v>4000</v>
      </c>
      <c r="AV162" s="70">
        <f t="shared" si="57"/>
        <v>8000</v>
      </c>
    </row>
    <row r="163" spans="1:48" ht="15.75" thickBot="1">
      <c r="A163" s="17" t="s">
        <v>358</v>
      </c>
      <c r="B163" s="14" t="s">
        <v>357</v>
      </c>
      <c r="V163" s="45"/>
      <c r="W163" s="5">
        <v>825</v>
      </c>
      <c r="X163" s="5" t="s">
        <v>126</v>
      </c>
      <c r="Y163" s="5">
        <v>0</v>
      </c>
      <c r="Z163" s="48">
        <f t="shared" si="51"/>
        <v>0</v>
      </c>
      <c r="AA163" s="5">
        <v>0.17</v>
      </c>
      <c r="AB163" s="48">
        <f t="shared" si="52"/>
        <v>1133.3333333333335</v>
      </c>
      <c r="AC163" s="5">
        <v>0</v>
      </c>
      <c r="AD163" s="48">
        <f t="shared" si="53"/>
        <v>0</v>
      </c>
      <c r="AE163" s="5">
        <v>0</v>
      </c>
      <c r="AF163" s="48">
        <f t="shared" si="54"/>
        <v>0</v>
      </c>
      <c r="AG163" s="5">
        <v>0</v>
      </c>
      <c r="AH163" s="48">
        <f t="shared" si="55"/>
        <v>0</v>
      </c>
      <c r="AI163" s="5">
        <v>0</v>
      </c>
      <c r="AJ163" s="48">
        <f t="shared" si="56"/>
        <v>0</v>
      </c>
      <c r="AK163" s="57">
        <f t="shared" si="25"/>
        <v>0.17</v>
      </c>
      <c r="AL163" s="58">
        <f t="shared" si="25"/>
        <v>1133.3333333333335</v>
      </c>
      <c r="AM163" s="103" t="s">
        <v>126</v>
      </c>
      <c r="AO163" s="45"/>
      <c r="AP163" s="5">
        <v>500</v>
      </c>
      <c r="AQ163" s="5" t="s">
        <v>78</v>
      </c>
      <c r="AR163" s="5"/>
      <c r="AS163" s="5"/>
      <c r="AT163" s="5">
        <v>2</v>
      </c>
      <c r="AU163" s="69">
        <v>1250</v>
      </c>
      <c r="AV163" s="70">
        <f t="shared" si="57"/>
        <v>2500</v>
      </c>
    </row>
    <row r="164" spans="1:48">
      <c r="V164" s="45"/>
      <c r="W164" s="5">
        <v>825</v>
      </c>
      <c r="X164" s="5" t="s">
        <v>123</v>
      </c>
      <c r="Y164" s="5">
        <v>0</v>
      </c>
      <c r="Z164" s="48">
        <f t="shared" si="51"/>
        <v>0</v>
      </c>
      <c r="AA164" s="5">
        <v>0.17</v>
      </c>
      <c r="AB164" s="48">
        <f t="shared" si="52"/>
        <v>1133.3333333333335</v>
      </c>
      <c r="AC164" s="5">
        <v>0</v>
      </c>
      <c r="AD164" s="48">
        <f t="shared" si="53"/>
        <v>0</v>
      </c>
      <c r="AE164" s="5">
        <v>0</v>
      </c>
      <c r="AF164" s="48">
        <f t="shared" si="54"/>
        <v>0</v>
      </c>
      <c r="AG164" s="5">
        <v>0</v>
      </c>
      <c r="AH164" s="48">
        <f t="shared" si="55"/>
        <v>0</v>
      </c>
      <c r="AI164" s="5">
        <v>0</v>
      </c>
      <c r="AJ164" s="48">
        <f t="shared" si="56"/>
        <v>0</v>
      </c>
      <c r="AK164" s="57">
        <f t="shared" si="25"/>
        <v>0.17</v>
      </c>
      <c r="AL164" s="58">
        <f t="shared" si="25"/>
        <v>1133.3333333333335</v>
      </c>
      <c r="AM164" s="103" t="s">
        <v>123</v>
      </c>
      <c r="AO164" s="45"/>
      <c r="AP164" s="5">
        <v>500</v>
      </c>
      <c r="AQ164" s="5" t="s">
        <v>77</v>
      </c>
      <c r="AR164" s="5"/>
      <c r="AS164" s="5"/>
      <c r="AT164" s="5">
        <v>2</v>
      </c>
      <c r="AU164" s="69">
        <v>4200</v>
      </c>
      <c r="AV164" s="70">
        <f t="shared" si="57"/>
        <v>8400</v>
      </c>
    </row>
    <row r="165" spans="1:48">
      <c r="V165" s="45"/>
      <c r="W165" s="5"/>
      <c r="X165" s="55" t="s">
        <v>0</v>
      </c>
      <c r="Y165" s="55">
        <f t="shared" ref="Y165:AI165" si="58">SUM(Y144:Y164)</f>
        <v>0.71</v>
      </c>
      <c r="Z165" s="59">
        <f>SUM(Z144:Z164)</f>
        <v>4733.3333333333339</v>
      </c>
      <c r="AA165" s="55">
        <f t="shared" si="58"/>
        <v>10.799999999999999</v>
      </c>
      <c r="AB165" s="59">
        <f>SUM(AB144:AB164)</f>
        <v>72000</v>
      </c>
      <c r="AC165" s="55">
        <f t="shared" si="58"/>
        <v>0</v>
      </c>
      <c r="AD165" s="59">
        <f>SUM(AD144:AD164)</f>
        <v>0</v>
      </c>
      <c r="AE165" s="55">
        <f t="shared" si="58"/>
        <v>0</v>
      </c>
      <c r="AF165" s="59">
        <f>SUM(AF144:AF164)</f>
        <v>0</v>
      </c>
      <c r="AG165" s="55">
        <f t="shared" si="58"/>
        <v>0</v>
      </c>
      <c r="AH165" s="59">
        <f>SUM(AH144:AH164)</f>
        <v>0</v>
      </c>
      <c r="AI165" s="55">
        <f t="shared" si="58"/>
        <v>0</v>
      </c>
      <c r="AJ165" s="59">
        <f>SUM(AJ144:AJ164)</f>
        <v>0</v>
      </c>
      <c r="AK165" s="57">
        <f t="shared" ref="AK165:AL176" si="59">SUM(Y165,AA165,AC165,AE165,AG165,AI165)</f>
        <v>11.509999999999998</v>
      </c>
      <c r="AL165" s="60">
        <f t="shared" si="59"/>
        <v>76733.333333333328</v>
      </c>
      <c r="AM165" s="103"/>
      <c r="AO165" s="45"/>
      <c r="AP165" s="5">
        <v>500</v>
      </c>
      <c r="AQ165" s="5" t="s">
        <v>76</v>
      </c>
      <c r="AR165" s="5"/>
      <c r="AS165" s="5"/>
      <c r="AT165" s="5">
        <v>1</v>
      </c>
      <c r="AU165" s="69">
        <v>9911</v>
      </c>
      <c r="AV165" s="70">
        <f t="shared" si="57"/>
        <v>9911</v>
      </c>
    </row>
    <row r="166" spans="1:48">
      <c r="V166" s="45" t="s">
        <v>19</v>
      </c>
      <c r="W166" s="5">
        <v>900</v>
      </c>
      <c r="X166" s="5" t="s">
        <v>119</v>
      </c>
      <c r="Y166" s="5">
        <v>1</v>
      </c>
      <c r="Z166" s="48">
        <f>Y166*MCost</f>
        <v>16666.666666666668</v>
      </c>
      <c r="AA166" s="5">
        <v>1</v>
      </c>
      <c r="AB166" s="48">
        <f>AA166*MCost</f>
        <v>16666.666666666668</v>
      </c>
      <c r="AC166" s="5">
        <v>1</v>
      </c>
      <c r="AD166" s="48">
        <f>AC166*MCost</f>
        <v>16666.666666666668</v>
      </c>
      <c r="AE166" s="5">
        <v>1</v>
      </c>
      <c r="AF166" s="48">
        <f>AE166*MCost</f>
        <v>16666.666666666668</v>
      </c>
      <c r="AG166" s="5">
        <v>1</v>
      </c>
      <c r="AH166" s="48">
        <f>AG166*MCost</f>
        <v>16666.666666666668</v>
      </c>
      <c r="AI166" s="5">
        <v>1</v>
      </c>
      <c r="AJ166" s="48">
        <f>AI166*MCost</f>
        <v>16666.666666666668</v>
      </c>
      <c r="AK166" s="57">
        <f t="shared" si="59"/>
        <v>6</v>
      </c>
      <c r="AL166" s="58">
        <f t="shared" si="59"/>
        <v>100000.00000000001</v>
      </c>
      <c r="AM166" s="18" t="s">
        <v>119</v>
      </c>
      <c r="AO166" s="45"/>
      <c r="AP166" s="5">
        <v>500</v>
      </c>
      <c r="AQ166" s="5" t="s">
        <v>75</v>
      </c>
      <c r="AR166" s="5"/>
      <c r="AS166" s="5"/>
      <c r="AT166" s="5">
        <v>1</v>
      </c>
      <c r="AU166" s="69">
        <v>50900</v>
      </c>
      <c r="AV166" s="70">
        <f t="shared" si="57"/>
        <v>50900</v>
      </c>
    </row>
    <row r="167" spans="1:48">
      <c r="V167" s="45"/>
      <c r="W167" s="5">
        <v>900</v>
      </c>
      <c r="X167" s="5" t="s">
        <v>116</v>
      </c>
      <c r="Y167" s="5">
        <v>12</v>
      </c>
      <c r="Z167" s="48">
        <f>Y167*ECost</f>
        <v>150000</v>
      </c>
      <c r="AA167" s="5">
        <v>12</v>
      </c>
      <c r="AB167" s="48">
        <f>AA167*ECost</f>
        <v>150000</v>
      </c>
      <c r="AC167" s="5">
        <v>12</v>
      </c>
      <c r="AD167" s="48">
        <f>AC167*ECost</f>
        <v>150000</v>
      </c>
      <c r="AE167" s="5">
        <v>12</v>
      </c>
      <c r="AF167" s="48">
        <f>AE167*ECost</f>
        <v>150000</v>
      </c>
      <c r="AG167" s="5">
        <v>12</v>
      </c>
      <c r="AH167" s="48">
        <f>AG167*ECost</f>
        <v>150000</v>
      </c>
      <c r="AI167" s="5">
        <v>12</v>
      </c>
      <c r="AJ167" s="48">
        <f>AI167*ECost</f>
        <v>150000</v>
      </c>
      <c r="AK167" s="57">
        <f t="shared" si="59"/>
        <v>72</v>
      </c>
      <c r="AL167" s="58">
        <f t="shared" si="59"/>
        <v>900000</v>
      </c>
      <c r="AM167" s="18" t="s">
        <v>116</v>
      </c>
      <c r="AO167" s="45"/>
      <c r="AP167" s="5">
        <v>500</v>
      </c>
      <c r="AQ167" s="5" t="s">
        <v>74</v>
      </c>
      <c r="AR167" s="5"/>
      <c r="AS167" s="5"/>
      <c r="AT167" s="5">
        <v>1</v>
      </c>
      <c r="AU167" s="69">
        <v>5000</v>
      </c>
      <c r="AV167" s="70">
        <f t="shared" si="57"/>
        <v>5000</v>
      </c>
    </row>
    <row r="168" spans="1:48">
      <c r="V168" s="45"/>
      <c r="W168" s="5">
        <v>900</v>
      </c>
      <c r="X168" s="5" t="s">
        <v>112</v>
      </c>
      <c r="Y168" s="5">
        <v>12</v>
      </c>
      <c r="Z168" s="48">
        <f>Y168*MCost</f>
        <v>200000</v>
      </c>
      <c r="AA168" s="5">
        <v>12</v>
      </c>
      <c r="AB168" s="48">
        <f>AA168*MCost</f>
        <v>200000</v>
      </c>
      <c r="AC168" s="5">
        <v>12</v>
      </c>
      <c r="AD168" s="48">
        <f>AC168*MCost</f>
        <v>200000</v>
      </c>
      <c r="AE168" s="5">
        <v>12</v>
      </c>
      <c r="AF168" s="48">
        <f>AE168*MCost</f>
        <v>200000</v>
      </c>
      <c r="AG168" s="5">
        <v>12</v>
      </c>
      <c r="AH168" s="48">
        <f>AG168*MCost</f>
        <v>200000</v>
      </c>
      <c r="AI168" s="5">
        <v>12</v>
      </c>
      <c r="AJ168" s="48">
        <f>AI168*MCost</f>
        <v>200000</v>
      </c>
      <c r="AK168" s="57">
        <f t="shared" si="59"/>
        <v>72</v>
      </c>
      <c r="AL168" s="58">
        <f t="shared" si="59"/>
        <v>1200000</v>
      </c>
      <c r="AM168" s="18" t="s">
        <v>112</v>
      </c>
      <c r="AO168" s="45"/>
      <c r="AP168" s="5">
        <v>500</v>
      </c>
      <c r="AQ168" s="5" t="s">
        <v>73</v>
      </c>
      <c r="AR168" s="5"/>
      <c r="AS168" s="5"/>
      <c r="AT168" s="5">
        <v>1</v>
      </c>
      <c r="AU168" s="69">
        <v>5000</v>
      </c>
      <c r="AV168" s="70">
        <f t="shared" si="57"/>
        <v>5000</v>
      </c>
    </row>
    <row r="169" spans="1:48">
      <c r="V169" s="45"/>
      <c r="W169" s="5">
        <v>900</v>
      </c>
      <c r="X169" s="5" t="s">
        <v>110</v>
      </c>
      <c r="Y169" s="5">
        <v>6</v>
      </c>
      <c r="Z169" s="48">
        <f>Y169*ECost</f>
        <v>75000</v>
      </c>
      <c r="AA169" s="5">
        <v>6</v>
      </c>
      <c r="AB169" s="48">
        <f>AA169*ECost</f>
        <v>75000</v>
      </c>
      <c r="AC169" s="5">
        <v>6</v>
      </c>
      <c r="AD169" s="48">
        <f>AC169*ECost</f>
        <v>75000</v>
      </c>
      <c r="AE169" s="5">
        <v>6</v>
      </c>
      <c r="AF169" s="48">
        <f>AE169*ECost</f>
        <v>75000</v>
      </c>
      <c r="AG169" s="5">
        <v>6</v>
      </c>
      <c r="AH169" s="48">
        <f>AG169*ECost</f>
        <v>75000</v>
      </c>
      <c r="AI169" s="5">
        <v>6</v>
      </c>
      <c r="AJ169" s="48">
        <f>AI169*ECost</f>
        <v>75000</v>
      </c>
      <c r="AK169" s="57">
        <f t="shared" si="59"/>
        <v>36</v>
      </c>
      <c r="AL169" s="58">
        <f t="shared" si="59"/>
        <v>450000</v>
      </c>
      <c r="AM169" s="18" t="s">
        <v>110</v>
      </c>
      <c r="AO169" s="45"/>
      <c r="AP169" s="5">
        <v>500</v>
      </c>
      <c r="AQ169" s="5" t="s">
        <v>72</v>
      </c>
      <c r="AR169" s="5"/>
      <c r="AS169" s="5"/>
      <c r="AT169" s="5">
        <v>3</v>
      </c>
      <c r="AU169" s="69">
        <v>1000</v>
      </c>
      <c r="AV169" s="70">
        <f t="shared" si="57"/>
        <v>3000</v>
      </c>
    </row>
    <row r="170" spans="1:48">
      <c r="V170" s="45"/>
      <c r="W170" s="5">
        <v>900</v>
      </c>
      <c r="X170" s="5" t="s">
        <v>108</v>
      </c>
      <c r="Y170" s="5">
        <v>5</v>
      </c>
      <c r="Z170" s="48">
        <f>Y170*ECost</f>
        <v>62500</v>
      </c>
      <c r="AA170" s="5">
        <v>5</v>
      </c>
      <c r="AB170" s="48">
        <f>AA170*ECost</f>
        <v>62500</v>
      </c>
      <c r="AC170" s="5">
        <v>5</v>
      </c>
      <c r="AD170" s="48">
        <f>AC170*ECost</f>
        <v>62500</v>
      </c>
      <c r="AE170" s="5">
        <v>5</v>
      </c>
      <c r="AF170" s="48">
        <f>AE170*ECost</f>
        <v>62500</v>
      </c>
      <c r="AG170" s="5">
        <v>5</v>
      </c>
      <c r="AH170" s="48">
        <f>AG170*ECost</f>
        <v>62500</v>
      </c>
      <c r="AI170" s="5">
        <v>5</v>
      </c>
      <c r="AJ170" s="48">
        <f>AI170*ECost</f>
        <v>62500</v>
      </c>
      <c r="AK170" s="57">
        <f t="shared" si="59"/>
        <v>30</v>
      </c>
      <c r="AL170" s="58">
        <f t="shared" si="59"/>
        <v>375000</v>
      </c>
      <c r="AM170" s="18" t="s">
        <v>108</v>
      </c>
      <c r="AO170" s="45"/>
      <c r="AP170" s="5">
        <v>500</v>
      </c>
      <c r="AQ170" s="5" t="s">
        <v>71</v>
      </c>
      <c r="AR170" s="5"/>
      <c r="AS170" s="5"/>
      <c r="AT170" s="5">
        <v>1</v>
      </c>
      <c r="AU170" s="69">
        <v>5000</v>
      </c>
      <c r="AV170" s="70">
        <f t="shared" si="57"/>
        <v>5000</v>
      </c>
    </row>
    <row r="171" spans="1:48">
      <c r="V171" s="45"/>
      <c r="W171" s="5">
        <v>900</v>
      </c>
      <c r="X171" s="5" t="s">
        <v>105</v>
      </c>
      <c r="Y171" s="5">
        <v>24</v>
      </c>
      <c r="Z171" s="48">
        <f>Y171*ECost</f>
        <v>300000</v>
      </c>
      <c r="AA171" s="5">
        <v>24</v>
      </c>
      <c r="AB171" s="48">
        <f>AA171*ECost</f>
        <v>300000</v>
      </c>
      <c r="AC171" s="5">
        <v>24</v>
      </c>
      <c r="AD171" s="48">
        <f>AC171*ECost</f>
        <v>300000</v>
      </c>
      <c r="AE171" s="5">
        <v>24</v>
      </c>
      <c r="AF171" s="48">
        <f>AE171*ECost</f>
        <v>300000</v>
      </c>
      <c r="AG171" s="5">
        <v>24</v>
      </c>
      <c r="AH171" s="48">
        <f>AG171*ECost</f>
        <v>300000</v>
      </c>
      <c r="AI171" s="5">
        <v>24</v>
      </c>
      <c r="AJ171" s="48">
        <f>AI171*ECost</f>
        <v>300000</v>
      </c>
      <c r="AK171" s="57">
        <f t="shared" si="59"/>
        <v>144</v>
      </c>
      <c r="AL171" s="58">
        <f t="shared" si="59"/>
        <v>1800000</v>
      </c>
      <c r="AM171" s="18" t="s">
        <v>105</v>
      </c>
      <c r="AO171" s="45"/>
      <c r="AP171" s="5">
        <v>500</v>
      </c>
      <c r="AQ171" s="5" t="s">
        <v>70</v>
      </c>
      <c r="AR171" s="5"/>
      <c r="AS171" s="5"/>
      <c r="AT171" s="5">
        <v>1</v>
      </c>
      <c r="AU171" s="69">
        <v>3000</v>
      </c>
      <c r="AV171" s="70">
        <f t="shared" si="57"/>
        <v>3000</v>
      </c>
    </row>
    <row r="172" spans="1:48">
      <c r="V172" s="45"/>
      <c r="W172" s="5">
        <v>900</v>
      </c>
      <c r="X172" s="5" t="s">
        <v>104</v>
      </c>
      <c r="Y172" s="5">
        <v>48</v>
      </c>
      <c r="Z172" s="48">
        <f>Y172*ECost</f>
        <v>600000</v>
      </c>
      <c r="AA172" s="5">
        <v>48</v>
      </c>
      <c r="AB172" s="48">
        <f>AA172*ECost</f>
        <v>600000</v>
      </c>
      <c r="AC172" s="5">
        <v>48</v>
      </c>
      <c r="AD172" s="48">
        <f>AC172*ECost</f>
        <v>600000</v>
      </c>
      <c r="AE172" s="5">
        <v>48</v>
      </c>
      <c r="AF172" s="48">
        <f>AE172*ECost</f>
        <v>600000</v>
      </c>
      <c r="AG172" s="5">
        <v>48</v>
      </c>
      <c r="AH172" s="48">
        <f>AG172*ECost</f>
        <v>600000</v>
      </c>
      <c r="AI172" s="5">
        <v>48</v>
      </c>
      <c r="AJ172" s="48">
        <f>AI172*ECost</f>
        <v>600000</v>
      </c>
      <c r="AK172" s="57">
        <f t="shared" si="59"/>
        <v>288</v>
      </c>
      <c r="AL172" s="58">
        <f t="shared" si="59"/>
        <v>3600000</v>
      </c>
      <c r="AM172" s="18" t="s">
        <v>104</v>
      </c>
      <c r="AO172" s="45"/>
      <c r="AP172" s="5">
        <v>500</v>
      </c>
      <c r="AQ172" s="5" t="s">
        <v>62</v>
      </c>
      <c r="AR172" s="5"/>
      <c r="AS172" s="5"/>
      <c r="AT172" s="5">
        <v>1</v>
      </c>
      <c r="AU172" s="69">
        <v>9000</v>
      </c>
      <c r="AV172" s="70">
        <f t="shared" si="57"/>
        <v>9000</v>
      </c>
    </row>
    <row r="173" spans="1:48">
      <c r="V173" s="45"/>
      <c r="W173" s="5"/>
      <c r="X173" s="55" t="s">
        <v>0</v>
      </c>
      <c r="Y173" s="55">
        <f t="shared" ref="Y173:AI173" si="60">SUM(Y166:Y172)</f>
        <v>108</v>
      </c>
      <c r="Z173" s="59">
        <f>SUM(Z166:Z172)</f>
        <v>1404166.6666666665</v>
      </c>
      <c r="AA173" s="55">
        <f t="shared" si="60"/>
        <v>108</v>
      </c>
      <c r="AB173" s="59">
        <f>SUM(AB166:AB172)</f>
        <v>1404166.6666666665</v>
      </c>
      <c r="AC173" s="55">
        <f t="shared" si="60"/>
        <v>108</v>
      </c>
      <c r="AD173" s="59">
        <f>SUM(AD166:AD172)</f>
        <v>1404166.6666666665</v>
      </c>
      <c r="AE173" s="55">
        <f t="shared" si="60"/>
        <v>108</v>
      </c>
      <c r="AF173" s="59">
        <f>SUM(AF166:AF172)</f>
        <v>1404166.6666666665</v>
      </c>
      <c r="AG173" s="55">
        <f t="shared" si="60"/>
        <v>108</v>
      </c>
      <c r="AH173" s="59">
        <f>SUM(AH166:AH172)</f>
        <v>1404166.6666666665</v>
      </c>
      <c r="AI173" s="55">
        <f t="shared" si="60"/>
        <v>108</v>
      </c>
      <c r="AJ173" s="59">
        <f>SUM(AJ166:AJ172)</f>
        <v>1404166.6666666665</v>
      </c>
      <c r="AK173" s="57">
        <f t="shared" si="59"/>
        <v>648</v>
      </c>
      <c r="AL173" s="60">
        <f t="shared" si="59"/>
        <v>8424999.9999999981</v>
      </c>
      <c r="AM173" s="103"/>
      <c r="AO173" s="45"/>
      <c r="AP173" s="5">
        <v>500</v>
      </c>
      <c r="AQ173" s="5" t="s">
        <v>69</v>
      </c>
      <c r="AR173" s="5"/>
      <c r="AS173" s="5"/>
      <c r="AT173" s="5">
        <v>1</v>
      </c>
      <c r="AU173" s="69">
        <v>1185</v>
      </c>
      <c r="AV173" s="70">
        <f t="shared" si="57"/>
        <v>1185</v>
      </c>
    </row>
    <row r="174" spans="1:48">
      <c r="V174" s="45" t="s">
        <v>3</v>
      </c>
      <c r="W174" s="5">
        <v>920</v>
      </c>
      <c r="X174" s="5" t="s">
        <v>100</v>
      </c>
      <c r="Y174" s="5">
        <v>1.875</v>
      </c>
      <c r="Z174" s="48">
        <f>Y174*MCost</f>
        <v>31250.000000000004</v>
      </c>
      <c r="AA174" s="5">
        <v>5.88</v>
      </c>
      <c r="AB174" s="48">
        <f>AA174*MCost</f>
        <v>98000</v>
      </c>
      <c r="AC174" s="5">
        <v>6</v>
      </c>
      <c r="AD174" s="48">
        <f>AC174*MCost</f>
        <v>100000</v>
      </c>
      <c r="AE174" s="5">
        <v>4.82</v>
      </c>
      <c r="AF174" s="48">
        <f>AE174*MCost</f>
        <v>80333.333333333343</v>
      </c>
      <c r="AG174" s="5">
        <v>4.83</v>
      </c>
      <c r="AH174" s="48">
        <f>AG174*MCost</f>
        <v>80500</v>
      </c>
      <c r="AI174" s="5">
        <v>3.4</v>
      </c>
      <c r="AJ174" s="48">
        <f>AI174*MCost</f>
        <v>56666.666666666672</v>
      </c>
      <c r="AK174" s="57">
        <f t="shared" si="59"/>
        <v>26.805</v>
      </c>
      <c r="AL174" s="58">
        <f t="shared" si="59"/>
        <v>446750.00000000006</v>
      </c>
      <c r="AM174" s="18" t="s">
        <v>100</v>
      </c>
      <c r="AO174" s="45"/>
      <c r="AP174" s="5">
        <v>500</v>
      </c>
      <c r="AQ174" s="5" t="s">
        <v>68</v>
      </c>
      <c r="AR174" s="5"/>
      <c r="AS174" s="5"/>
      <c r="AT174" s="5">
        <v>1</v>
      </c>
      <c r="AU174" s="69">
        <v>100</v>
      </c>
      <c r="AV174" s="70">
        <f t="shared" si="57"/>
        <v>100</v>
      </c>
    </row>
    <row r="175" spans="1:48">
      <c r="V175" s="45"/>
      <c r="W175" s="5"/>
      <c r="X175" s="55" t="s">
        <v>0</v>
      </c>
      <c r="Y175" s="55">
        <v>1.875</v>
      </c>
      <c r="Z175" s="59">
        <f>SUM(Z174)</f>
        <v>31250.000000000004</v>
      </c>
      <c r="AA175" s="55">
        <v>5.88</v>
      </c>
      <c r="AB175" s="59">
        <f>SUM(AB174)</f>
        <v>98000</v>
      </c>
      <c r="AC175" s="55">
        <v>6</v>
      </c>
      <c r="AD175" s="59">
        <f>SUM(AD174)</f>
        <v>100000</v>
      </c>
      <c r="AE175" s="55">
        <v>4.82</v>
      </c>
      <c r="AF175" s="59">
        <f>SUM(AF174)</f>
        <v>80333.333333333343</v>
      </c>
      <c r="AG175" s="55">
        <v>4.83</v>
      </c>
      <c r="AH175" s="59">
        <f>SUM(AH174)</f>
        <v>80500</v>
      </c>
      <c r="AI175" s="55">
        <v>3.4</v>
      </c>
      <c r="AJ175" s="59">
        <f>SUM(AJ174)</f>
        <v>56666.666666666672</v>
      </c>
      <c r="AK175" s="57">
        <f t="shared" si="59"/>
        <v>26.805</v>
      </c>
      <c r="AL175" s="60">
        <f t="shared" si="59"/>
        <v>446750.00000000006</v>
      </c>
      <c r="AM175" s="103"/>
      <c r="AO175" s="45"/>
      <c r="AP175" s="5">
        <v>500</v>
      </c>
      <c r="AQ175" s="5" t="s">
        <v>67</v>
      </c>
      <c r="AR175" s="5"/>
      <c r="AS175" s="5"/>
      <c r="AT175" s="5">
        <v>1</v>
      </c>
      <c r="AU175" s="69">
        <v>5000</v>
      </c>
      <c r="AV175" s="70">
        <f t="shared" si="57"/>
        <v>5000</v>
      </c>
    </row>
    <row r="176" spans="1:48">
      <c r="V176" s="49"/>
      <c r="W176" s="51"/>
      <c r="X176" s="51"/>
      <c r="Y176" s="63">
        <f t="shared" ref="Y176:AJ176" si="61">SUM(Y175,Y173,Y165,Y143,Y125,Y121,Y112,Y110,Y99,Y77,Y53,Y49,Y46,Y42)</f>
        <v>296.13499999999993</v>
      </c>
      <c r="Z176" s="64">
        <f t="shared" si="61"/>
        <v>3446966.6666666665</v>
      </c>
      <c r="AA176" s="63">
        <f t="shared" si="61"/>
        <v>303.10000000000002</v>
      </c>
      <c r="AB176" s="64">
        <f t="shared" si="61"/>
        <v>3361858.3333333335</v>
      </c>
      <c r="AC176" s="63">
        <f t="shared" si="61"/>
        <v>151.28</v>
      </c>
      <c r="AD176" s="64">
        <f t="shared" si="61"/>
        <v>1912524.9999999998</v>
      </c>
      <c r="AE176" s="63">
        <f t="shared" si="61"/>
        <v>136.91</v>
      </c>
      <c r="AF176" s="64">
        <f t="shared" si="61"/>
        <v>1809308.333333333</v>
      </c>
      <c r="AG176" s="63">
        <f t="shared" si="61"/>
        <v>136.39000000000001</v>
      </c>
      <c r="AH176" s="64">
        <f t="shared" si="61"/>
        <v>1803766.6666666665</v>
      </c>
      <c r="AI176" s="63">
        <f t="shared" si="61"/>
        <v>123.15000000000002</v>
      </c>
      <c r="AJ176" s="64">
        <f t="shared" si="61"/>
        <v>1624408.3333333333</v>
      </c>
      <c r="AK176" s="65">
        <f t="shared" si="59"/>
        <v>1146.9649999999999</v>
      </c>
      <c r="AL176" s="66">
        <f t="shared" si="59"/>
        <v>13958833.333333332</v>
      </c>
      <c r="AM176" s="105"/>
      <c r="AO176" s="45"/>
      <c r="AP176" s="5">
        <v>500</v>
      </c>
      <c r="AQ176" s="5" t="s">
        <v>66</v>
      </c>
      <c r="AR176" s="5"/>
      <c r="AS176" s="5"/>
      <c r="AT176" s="5">
        <v>1</v>
      </c>
      <c r="AU176" s="69">
        <v>5000</v>
      </c>
      <c r="AV176" s="70">
        <f t="shared" si="57"/>
        <v>5000</v>
      </c>
    </row>
    <row r="177" spans="41:48">
      <c r="AO177" s="45"/>
      <c r="AP177" s="5">
        <v>500</v>
      </c>
      <c r="AQ177" s="5" t="s">
        <v>65</v>
      </c>
      <c r="AR177" s="5"/>
      <c r="AS177" s="5"/>
      <c r="AT177" s="5">
        <v>1</v>
      </c>
      <c r="AU177" s="69">
        <v>3500</v>
      </c>
      <c r="AV177" s="70">
        <f t="shared" si="57"/>
        <v>3500</v>
      </c>
    </row>
    <row r="178" spans="41:48">
      <c r="AO178" s="45"/>
      <c r="AP178" s="5">
        <v>500</v>
      </c>
      <c r="AQ178" s="5" t="s">
        <v>64</v>
      </c>
      <c r="AR178" s="5"/>
      <c r="AS178" s="5"/>
      <c r="AT178" s="5">
        <v>1</v>
      </c>
      <c r="AU178" s="69">
        <v>450</v>
      </c>
      <c r="AV178" s="70">
        <f t="shared" si="57"/>
        <v>450</v>
      </c>
    </row>
    <row r="179" spans="41:48">
      <c r="AO179" s="45"/>
      <c r="AP179" s="5">
        <v>500</v>
      </c>
      <c r="AQ179" s="5" t="s">
        <v>63</v>
      </c>
      <c r="AR179" s="5"/>
      <c r="AS179" s="5"/>
      <c r="AT179" s="5"/>
      <c r="AU179" s="69">
        <v>0</v>
      </c>
      <c r="AV179" s="70">
        <f t="shared" si="57"/>
        <v>0</v>
      </c>
    </row>
    <row r="180" spans="41:48">
      <c r="AO180" s="45"/>
      <c r="AP180" s="5">
        <v>500</v>
      </c>
      <c r="AQ180" s="5" t="s">
        <v>62</v>
      </c>
      <c r="AR180" s="5"/>
      <c r="AS180" s="5"/>
      <c r="AT180" s="5">
        <v>2</v>
      </c>
      <c r="AU180" s="69">
        <v>9000</v>
      </c>
      <c r="AV180" s="70">
        <f t="shared" si="57"/>
        <v>18000</v>
      </c>
    </row>
    <row r="181" spans="41:48">
      <c r="AO181" s="45"/>
      <c r="AP181" s="5">
        <v>500</v>
      </c>
      <c r="AQ181" s="5" t="s">
        <v>61</v>
      </c>
      <c r="AR181" s="5"/>
      <c r="AS181" s="5"/>
      <c r="AT181" s="5">
        <v>2</v>
      </c>
      <c r="AU181" s="69">
        <v>1185</v>
      </c>
      <c r="AV181" s="70">
        <f t="shared" si="57"/>
        <v>2370</v>
      </c>
    </row>
    <row r="182" spans="41:48">
      <c r="AO182" s="45"/>
      <c r="AP182" s="5">
        <v>500</v>
      </c>
      <c r="AQ182" s="5" t="s">
        <v>57</v>
      </c>
      <c r="AR182" s="5"/>
      <c r="AS182" s="5"/>
      <c r="AT182" s="5">
        <v>2</v>
      </c>
      <c r="AU182" s="69">
        <v>100</v>
      </c>
      <c r="AV182" s="70">
        <f t="shared" si="57"/>
        <v>200</v>
      </c>
    </row>
    <row r="183" spans="41:48">
      <c r="AO183" s="45"/>
      <c r="AP183" s="5">
        <v>500</v>
      </c>
      <c r="AQ183" s="5" t="s">
        <v>56</v>
      </c>
      <c r="AR183" s="5"/>
      <c r="AS183" s="5"/>
      <c r="AT183" s="5">
        <v>2</v>
      </c>
      <c r="AU183" s="69">
        <v>900</v>
      </c>
      <c r="AV183" s="70">
        <f t="shared" ref="AV183:AV202" si="62">AT183*AU183</f>
        <v>1800</v>
      </c>
    </row>
    <row r="184" spans="41:48">
      <c r="AO184" s="45"/>
      <c r="AP184" s="5">
        <v>500</v>
      </c>
      <c r="AQ184" s="5" t="s">
        <v>55</v>
      </c>
      <c r="AR184" s="5"/>
      <c r="AS184" s="5"/>
      <c r="AT184" s="5">
        <v>2</v>
      </c>
      <c r="AU184" s="69">
        <v>5000</v>
      </c>
      <c r="AV184" s="70">
        <f t="shared" si="62"/>
        <v>10000</v>
      </c>
    </row>
    <row r="185" spans="41:48">
      <c r="AO185" s="45"/>
      <c r="AP185" s="5">
        <v>500</v>
      </c>
      <c r="AQ185" s="5" t="s">
        <v>54</v>
      </c>
      <c r="AR185" s="5"/>
      <c r="AS185" s="5"/>
      <c r="AT185" s="5">
        <v>2</v>
      </c>
      <c r="AU185" s="69">
        <v>5000</v>
      </c>
      <c r="AV185" s="70">
        <f t="shared" si="62"/>
        <v>10000</v>
      </c>
    </row>
    <row r="186" spans="41:48">
      <c r="AO186" s="45"/>
      <c r="AP186" s="5">
        <v>500</v>
      </c>
      <c r="AQ186" s="5" t="s">
        <v>53</v>
      </c>
      <c r="AR186" s="5"/>
      <c r="AS186" s="5"/>
      <c r="AT186" s="5">
        <v>2</v>
      </c>
      <c r="AU186" s="69">
        <v>3500</v>
      </c>
      <c r="AV186" s="70">
        <f t="shared" si="62"/>
        <v>7000</v>
      </c>
    </row>
    <row r="187" spans="41:48">
      <c r="AO187" s="45"/>
      <c r="AP187" s="5">
        <v>500</v>
      </c>
      <c r="AQ187" s="5" t="s">
        <v>52</v>
      </c>
      <c r="AR187" s="5"/>
      <c r="AS187" s="5"/>
      <c r="AT187" s="5">
        <v>2</v>
      </c>
      <c r="AU187" s="69">
        <v>450</v>
      </c>
      <c r="AV187" s="70">
        <f t="shared" si="62"/>
        <v>900</v>
      </c>
    </row>
    <row r="188" spans="41:48">
      <c r="AO188" s="45"/>
      <c r="AP188" s="5">
        <v>500</v>
      </c>
      <c r="AQ188" s="5" t="s">
        <v>51</v>
      </c>
      <c r="AR188" s="5"/>
      <c r="AS188" s="5"/>
      <c r="AT188" s="5">
        <v>2</v>
      </c>
      <c r="AU188" s="69">
        <v>3000</v>
      </c>
      <c r="AV188" s="70">
        <f t="shared" si="62"/>
        <v>6000</v>
      </c>
    </row>
    <row r="189" spans="41:48">
      <c r="AO189" s="45"/>
      <c r="AP189" s="5">
        <v>500</v>
      </c>
      <c r="AQ189" s="5" t="s">
        <v>50</v>
      </c>
      <c r="AR189" s="5"/>
      <c r="AS189" s="5"/>
      <c r="AT189" s="5">
        <v>2</v>
      </c>
      <c r="AU189" s="69">
        <v>5000</v>
      </c>
      <c r="AV189" s="70">
        <f t="shared" si="62"/>
        <v>10000</v>
      </c>
    </row>
    <row r="190" spans="41:48">
      <c r="AO190" s="45"/>
      <c r="AP190" s="5">
        <v>500</v>
      </c>
      <c r="AQ190" s="5" t="s">
        <v>49</v>
      </c>
      <c r="AR190" s="5"/>
      <c r="AS190" s="5"/>
      <c r="AT190" s="5">
        <v>2</v>
      </c>
      <c r="AU190" s="69">
        <v>35000</v>
      </c>
      <c r="AV190" s="70">
        <f t="shared" si="62"/>
        <v>70000</v>
      </c>
    </row>
    <row r="191" spans="41:48">
      <c r="AO191" s="45"/>
      <c r="AP191" s="5">
        <v>500</v>
      </c>
      <c r="AQ191" s="5" t="s">
        <v>60</v>
      </c>
      <c r="AR191" s="5"/>
      <c r="AS191" s="5"/>
      <c r="AT191" s="5"/>
      <c r="AU191" s="69">
        <v>0</v>
      </c>
      <c r="AV191" s="70">
        <f t="shared" si="62"/>
        <v>0</v>
      </c>
    </row>
    <row r="192" spans="41:48">
      <c r="AO192" s="45"/>
      <c r="AP192" s="5">
        <v>500</v>
      </c>
      <c r="AQ192" s="5" t="s">
        <v>59</v>
      </c>
      <c r="AR192" s="5"/>
      <c r="AS192" s="5"/>
      <c r="AT192" s="5">
        <v>2</v>
      </c>
      <c r="AU192" s="69">
        <v>9000</v>
      </c>
      <c r="AV192" s="70">
        <f t="shared" si="62"/>
        <v>18000</v>
      </c>
    </row>
    <row r="193" spans="41:51">
      <c r="AO193" s="45"/>
      <c r="AP193" s="5">
        <v>500</v>
      </c>
      <c r="AQ193" s="5" t="s">
        <v>58</v>
      </c>
      <c r="AR193" s="5"/>
      <c r="AS193" s="5"/>
      <c r="AT193" s="5">
        <v>2</v>
      </c>
      <c r="AU193" s="69">
        <v>1185</v>
      </c>
      <c r="AV193" s="70">
        <f t="shared" si="62"/>
        <v>2370</v>
      </c>
    </row>
    <row r="194" spans="41:51">
      <c r="AO194" s="45"/>
      <c r="AP194" s="5">
        <v>500</v>
      </c>
      <c r="AQ194" s="5" t="s">
        <v>57</v>
      </c>
      <c r="AR194" s="5"/>
      <c r="AS194" s="5"/>
      <c r="AT194" s="5">
        <v>2</v>
      </c>
      <c r="AU194" s="69">
        <v>100</v>
      </c>
      <c r="AV194" s="70">
        <f t="shared" si="62"/>
        <v>200</v>
      </c>
    </row>
    <row r="195" spans="41:51">
      <c r="AO195" s="45"/>
      <c r="AP195" s="5">
        <v>500</v>
      </c>
      <c r="AQ195" s="5" t="s">
        <v>56</v>
      </c>
      <c r="AR195" s="5"/>
      <c r="AS195" s="5"/>
      <c r="AT195" s="5">
        <v>2</v>
      </c>
      <c r="AU195" s="69">
        <v>900</v>
      </c>
      <c r="AV195" s="70">
        <f t="shared" si="62"/>
        <v>1800</v>
      </c>
    </row>
    <row r="196" spans="41:51">
      <c r="AO196" s="45"/>
      <c r="AP196" s="5">
        <v>500</v>
      </c>
      <c r="AQ196" s="5" t="s">
        <v>55</v>
      </c>
      <c r="AR196" s="5"/>
      <c r="AS196" s="5"/>
      <c r="AT196" s="5">
        <v>2</v>
      </c>
      <c r="AU196" s="69">
        <v>5000</v>
      </c>
      <c r="AV196" s="70">
        <f t="shared" si="62"/>
        <v>10000</v>
      </c>
    </row>
    <row r="197" spans="41:51">
      <c r="AO197" s="45"/>
      <c r="AP197" s="5">
        <v>500</v>
      </c>
      <c r="AQ197" s="5" t="s">
        <v>54</v>
      </c>
      <c r="AR197" s="5"/>
      <c r="AS197" s="5"/>
      <c r="AT197" s="5">
        <v>2</v>
      </c>
      <c r="AU197" s="69">
        <v>5000</v>
      </c>
      <c r="AV197" s="70">
        <f t="shared" si="62"/>
        <v>10000</v>
      </c>
    </row>
    <row r="198" spans="41:51">
      <c r="AO198" s="45"/>
      <c r="AP198" s="5">
        <v>500</v>
      </c>
      <c r="AQ198" s="5" t="s">
        <v>53</v>
      </c>
      <c r="AR198" s="5"/>
      <c r="AS198" s="5"/>
      <c r="AT198" s="5">
        <v>2</v>
      </c>
      <c r="AU198" s="69">
        <v>3500</v>
      </c>
      <c r="AV198" s="70">
        <f t="shared" si="62"/>
        <v>7000</v>
      </c>
    </row>
    <row r="199" spans="41:51">
      <c r="AO199" s="45"/>
      <c r="AP199" s="5">
        <v>500</v>
      </c>
      <c r="AQ199" s="5" t="s">
        <v>52</v>
      </c>
      <c r="AR199" s="5"/>
      <c r="AS199" s="5"/>
      <c r="AT199" s="5">
        <v>2</v>
      </c>
      <c r="AU199" s="69">
        <v>450</v>
      </c>
      <c r="AV199" s="70">
        <f t="shared" si="62"/>
        <v>900</v>
      </c>
    </row>
    <row r="200" spans="41:51">
      <c r="AO200" s="45"/>
      <c r="AP200" s="5">
        <v>500</v>
      </c>
      <c r="AQ200" s="5" t="s">
        <v>51</v>
      </c>
      <c r="AR200" s="5"/>
      <c r="AS200" s="5"/>
      <c r="AT200" s="5">
        <v>2</v>
      </c>
      <c r="AU200" s="69">
        <v>3000</v>
      </c>
      <c r="AV200" s="70">
        <f t="shared" si="62"/>
        <v>6000</v>
      </c>
    </row>
    <row r="201" spans="41:51">
      <c r="AO201" s="45"/>
      <c r="AP201" s="5">
        <v>500</v>
      </c>
      <c r="AQ201" s="5" t="s">
        <v>50</v>
      </c>
      <c r="AR201" s="5"/>
      <c r="AS201" s="5"/>
      <c r="AT201" s="5">
        <v>2</v>
      </c>
      <c r="AU201" s="69">
        <v>5000</v>
      </c>
      <c r="AV201" s="70">
        <f t="shared" si="62"/>
        <v>10000</v>
      </c>
    </row>
    <row r="202" spans="41:51">
      <c r="AO202" s="45"/>
      <c r="AP202" s="5">
        <v>500</v>
      </c>
      <c r="AQ202" s="5" t="s">
        <v>49</v>
      </c>
      <c r="AR202" s="5"/>
      <c r="AS202" s="5"/>
      <c r="AT202" s="5">
        <v>2</v>
      </c>
      <c r="AU202" s="69">
        <v>35000</v>
      </c>
      <c r="AV202" s="70">
        <f t="shared" si="62"/>
        <v>70000</v>
      </c>
    </row>
    <row r="203" spans="41:51">
      <c r="AO203" s="45"/>
      <c r="AP203" s="55" t="s">
        <v>38</v>
      </c>
      <c r="AQ203" s="55"/>
      <c r="AR203" s="55"/>
      <c r="AS203" s="55"/>
      <c r="AT203" s="55"/>
      <c r="AU203" s="72"/>
      <c r="AV203" s="73">
        <f>SUM(AV119:AV202)</f>
        <v>2723535</v>
      </c>
      <c r="AY203" s="1">
        <f>SUM(AV203,AV118)</f>
        <v>3025295</v>
      </c>
    </row>
    <row r="204" spans="41:51">
      <c r="AO204" s="45"/>
      <c r="AP204" s="61"/>
      <c r="AQ204" s="77" t="s">
        <v>9</v>
      </c>
      <c r="AR204" s="77" t="s">
        <v>8</v>
      </c>
      <c r="AS204" s="77"/>
      <c r="AT204" s="77" t="s">
        <v>28</v>
      </c>
      <c r="AU204" s="78" t="s">
        <v>27</v>
      </c>
      <c r="AV204" s="79" t="s">
        <v>0</v>
      </c>
    </row>
    <row r="205" spans="41:51">
      <c r="AO205" s="45" t="s">
        <v>3</v>
      </c>
      <c r="AP205" s="5">
        <v>612</v>
      </c>
      <c r="AQ205" s="5" t="s">
        <v>48</v>
      </c>
      <c r="AR205" s="5" t="s">
        <v>47</v>
      </c>
      <c r="AS205" s="5"/>
      <c r="AT205" s="5">
        <v>1</v>
      </c>
      <c r="AU205" s="5">
        <v>2</v>
      </c>
      <c r="AV205" s="70">
        <v>464</v>
      </c>
    </row>
    <row r="206" spans="41:51">
      <c r="AO206" s="45"/>
      <c r="AP206" s="5">
        <v>612</v>
      </c>
      <c r="AQ206" s="5" t="s">
        <v>48</v>
      </c>
      <c r="AR206" s="5" t="s">
        <v>47</v>
      </c>
      <c r="AS206" s="5"/>
      <c r="AT206" s="5">
        <v>1</v>
      </c>
      <c r="AU206" s="5">
        <v>2</v>
      </c>
      <c r="AV206" s="70">
        <v>464</v>
      </c>
    </row>
    <row r="207" spans="41:51">
      <c r="AO207" s="45"/>
      <c r="AP207" s="5">
        <v>612</v>
      </c>
      <c r="AQ207" s="5" t="s">
        <v>46</v>
      </c>
      <c r="AR207" s="5" t="s">
        <v>45</v>
      </c>
      <c r="AS207" s="5"/>
      <c r="AT207" s="5">
        <v>2</v>
      </c>
      <c r="AU207" s="5">
        <v>3</v>
      </c>
      <c r="AV207" s="70">
        <v>5924</v>
      </c>
    </row>
    <row r="208" spans="41:51">
      <c r="AO208" s="45"/>
      <c r="AP208" s="5">
        <v>612</v>
      </c>
      <c r="AQ208" s="5" t="s">
        <v>46</v>
      </c>
      <c r="AR208" s="5" t="s">
        <v>45</v>
      </c>
      <c r="AS208" s="5"/>
      <c r="AT208" s="5">
        <v>2</v>
      </c>
      <c r="AU208" s="5">
        <v>3</v>
      </c>
      <c r="AV208" s="70">
        <v>5924</v>
      </c>
    </row>
    <row r="209" spans="41:48">
      <c r="AO209" s="45"/>
      <c r="AP209" s="5">
        <v>613</v>
      </c>
      <c r="AQ209" s="5" t="s">
        <v>44</v>
      </c>
      <c r="AR209" s="5" t="s">
        <v>43</v>
      </c>
      <c r="AS209" s="5"/>
      <c r="AT209" s="5">
        <v>2</v>
      </c>
      <c r="AU209" s="5">
        <v>3</v>
      </c>
      <c r="AV209" s="70">
        <v>1545</v>
      </c>
    </row>
    <row r="210" spans="41:48">
      <c r="AO210" s="45"/>
      <c r="AP210" s="5">
        <v>613</v>
      </c>
      <c r="AQ210" s="5" t="s">
        <v>44</v>
      </c>
      <c r="AR210" s="5" t="s">
        <v>43</v>
      </c>
      <c r="AS210" s="5"/>
      <c r="AT210" s="5">
        <v>2</v>
      </c>
      <c r="AU210" s="5">
        <v>3</v>
      </c>
      <c r="AV210" s="70">
        <v>1545</v>
      </c>
    </row>
    <row r="211" spans="41:48">
      <c r="AO211" s="45"/>
      <c r="AP211" s="5">
        <v>613</v>
      </c>
      <c r="AQ211" s="5" t="s">
        <v>44</v>
      </c>
      <c r="AR211" s="5" t="s">
        <v>43</v>
      </c>
      <c r="AS211" s="5"/>
      <c r="AT211" s="5">
        <v>2</v>
      </c>
      <c r="AU211" s="5">
        <v>3</v>
      </c>
      <c r="AV211" s="70">
        <v>1545</v>
      </c>
    </row>
    <row r="212" spans="41:48">
      <c r="AO212" s="45"/>
      <c r="AP212" s="5">
        <v>650</v>
      </c>
      <c r="AQ212" s="5" t="s">
        <v>33</v>
      </c>
      <c r="AR212" s="5" t="s">
        <v>42</v>
      </c>
      <c r="AS212" s="5"/>
      <c r="AT212" s="5">
        <v>1</v>
      </c>
      <c r="AU212" s="5">
        <v>14</v>
      </c>
      <c r="AV212" s="70">
        <v>4944</v>
      </c>
    </row>
    <row r="213" spans="41:48">
      <c r="AO213" s="45"/>
      <c r="AP213" s="5">
        <v>650</v>
      </c>
      <c r="AQ213" s="5" t="s">
        <v>33</v>
      </c>
      <c r="AR213" s="5" t="s">
        <v>42</v>
      </c>
      <c r="AS213" s="5"/>
      <c r="AT213" s="5">
        <v>1</v>
      </c>
      <c r="AU213" s="5">
        <v>14</v>
      </c>
      <c r="AV213" s="70">
        <v>4944</v>
      </c>
    </row>
    <row r="214" spans="41:48">
      <c r="AO214" s="45"/>
      <c r="AP214" s="5">
        <v>650</v>
      </c>
      <c r="AQ214" s="5" t="s">
        <v>33</v>
      </c>
      <c r="AR214" s="5" t="s">
        <v>41</v>
      </c>
      <c r="AS214" s="5"/>
      <c r="AT214" s="5">
        <v>5</v>
      </c>
      <c r="AU214" s="5" t="s">
        <v>40</v>
      </c>
      <c r="AV214" s="70">
        <v>8240</v>
      </c>
    </row>
    <row r="215" spans="41:48">
      <c r="AO215" s="45"/>
      <c r="AP215" s="5">
        <v>650</v>
      </c>
      <c r="AQ215" s="5" t="s">
        <v>33</v>
      </c>
      <c r="AR215" s="5" t="s">
        <v>41</v>
      </c>
      <c r="AS215" s="5"/>
      <c r="AT215" s="5">
        <v>5</v>
      </c>
      <c r="AU215" s="5" t="s">
        <v>40</v>
      </c>
      <c r="AV215" s="70">
        <v>8240</v>
      </c>
    </row>
    <row r="216" spans="41:48">
      <c r="AO216" s="45"/>
      <c r="AP216" s="5">
        <v>650</v>
      </c>
      <c r="AQ216" s="5" t="s">
        <v>33</v>
      </c>
      <c r="AR216" s="5" t="s">
        <v>41</v>
      </c>
      <c r="AS216" s="5"/>
      <c r="AT216" s="5">
        <v>5</v>
      </c>
      <c r="AU216" s="5" t="s">
        <v>40</v>
      </c>
      <c r="AV216" s="70">
        <v>8240</v>
      </c>
    </row>
    <row r="217" spans="41:48">
      <c r="AO217" s="45"/>
      <c r="AP217" s="5">
        <v>650</v>
      </c>
      <c r="AQ217" s="5" t="s">
        <v>33</v>
      </c>
      <c r="AR217" s="5" t="s">
        <v>39</v>
      </c>
      <c r="AS217" s="5"/>
      <c r="AT217" s="5">
        <v>5</v>
      </c>
      <c r="AU217" s="5">
        <f>6*30</f>
        <v>180</v>
      </c>
      <c r="AV217" s="70">
        <v>66000</v>
      </c>
    </row>
    <row r="218" spans="41:48">
      <c r="AO218" s="45"/>
      <c r="AP218" s="5">
        <v>650</v>
      </c>
      <c r="AQ218" s="5" t="s">
        <v>33</v>
      </c>
      <c r="AR218" s="5" t="s">
        <v>39</v>
      </c>
      <c r="AS218" s="5"/>
      <c r="AT218" s="5">
        <v>5</v>
      </c>
      <c r="AU218" s="5">
        <f>6*30</f>
        <v>180</v>
      </c>
      <c r="AV218" s="70">
        <v>66000</v>
      </c>
    </row>
    <row r="219" spans="41:48">
      <c r="AO219" s="45"/>
      <c r="AP219" s="5">
        <v>650</v>
      </c>
      <c r="AQ219" s="5" t="s">
        <v>33</v>
      </c>
      <c r="AR219" s="5" t="s">
        <v>39</v>
      </c>
      <c r="AS219" s="5"/>
      <c r="AT219" s="5">
        <v>5</v>
      </c>
      <c r="AU219" s="5">
        <f>6*30</f>
        <v>180</v>
      </c>
      <c r="AV219" s="70">
        <v>66000</v>
      </c>
    </row>
    <row r="220" spans="41:48">
      <c r="AO220" s="45"/>
      <c r="AP220" s="55" t="s">
        <v>38</v>
      </c>
      <c r="AQ220" s="55"/>
      <c r="AR220" s="55"/>
      <c r="AS220" s="55"/>
      <c r="AT220" s="55"/>
      <c r="AU220" s="55"/>
      <c r="AV220" s="73">
        <f>SUM(AV205:AV219)</f>
        <v>250019</v>
      </c>
    </row>
    <row r="221" spans="41:48">
      <c r="AO221" s="45"/>
      <c r="AP221" s="5">
        <v>630</v>
      </c>
      <c r="AQ221" s="5" t="s">
        <v>37</v>
      </c>
      <c r="AR221" s="5"/>
      <c r="AS221" s="5"/>
      <c r="AT221" s="5">
        <v>2</v>
      </c>
      <c r="AU221" s="69">
        <v>5000</v>
      </c>
      <c r="AV221" s="80">
        <v>10000</v>
      </c>
    </row>
    <row r="222" spans="41:48">
      <c r="AO222" s="45"/>
      <c r="AP222" s="5">
        <v>630</v>
      </c>
      <c r="AQ222" s="5" t="s">
        <v>36</v>
      </c>
      <c r="AR222" s="5"/>
      <c r="AS222" s="5"/>
      <c r="AT222" s="5">
        <v>4</v>
      </c>
      <c r="AU222" s="74">
        <v>1500</v>
      </c>
      <c r="AV222" s="80">
        <v>6000</v>
      </c>
    </row>
    <row r="223" spans="41:48">
      <c r="AO223" s="45"/>
      <c r="AP223" s="5">
        <v>650</v>
      </c>
      <c r="AQ223" s="5" t="s">
        <v>35</v>
      </c>
      <c r="AR223" s="5"/>
      <c r="AS223" s="5"/>
      <c r="AT223" s="5">
        <v>2</v>
      </c>
      <c r="AU223" s="74">
        <v>1500</v>
      </c>
      <c r="AV223" s="80">
        <v>3000</v>
      </c>
    </row>
    <row r="224" spans="41:48">
      <c r="AO224" s="45"/>
      <c r="AP224" s="55" t="s">
        <v>0</v>
      </c>
      <c r="AQ224" s="71"/>
      <c r="AR224" s="55"/>
      <c r="AS224" s="55"/>
      <c r="AT224" s="55"/>
      <c r="AU224" s="55"/>
      <c r="AV224" s="73">
        <f>SUM(AV221:AV223)</f>
        <v>19000</v>
      </c>
    </row>
    <row r="225" spans="41:48">
      <c r="AO225" s="45"/>
      <c r="AP225" s="5"/>
      <c r="AQ225" s="77" t="s">
        <v>9</v>
      </c>
      <c r="AR225" s="77" t="s">
        <v>8</v>
      </c>
      <c r="AS225" s="77" t="s">
        <v>28</v>
      </c>
      <c r="AT225" s="78" t="s">
        <v>27</v>
      </c>
      <c r="AU225" s="69" t="s">
        <v>26</v>
      </c>
      <c r="AV225" s="79" t="s">
        <v>0</v>
      </c>
    </row>
    <row r="226" spans="41:48">
      <c r="AO226" s="45"/>
      <c r="AP226" s="5">
        <v>630</v>
      </c>
      <c r="AQ226" s="5" t="s">
        <v>34</v>
      </c>
      <c r="AR226" s="5" t="s">
        <v>32</v>
      </c>
      <c r="AS226" s="5">
        <v>3</v>
      </c>
      <c r="AT226" s="69">
        <v>1</v>
      </c>
      <c r="AU226" s="5">
        <v>0</v>
      </c>
      <c r="AV226" s="80">
        <v>9627</v>
      </c>
    </row>
    <row r="227" spans="41:48">
      <c r="AO227" s="45"/>
      <c r="AP227" s="5">
        <v>630</v>
      </c>
      <c r="AQ227" s="5" t="s">
        <v>33</v>
      </c>
      <c r="AR227" s="5" t="s">
        <v>32</v>
      </c>
      <c r="AS227" s="5">
        <v>3</v>
      </c>
      <c r="AT227" s="69">
        <v>30</v>
      </c>
      <c r="AU227" s="5">
        <v>2</v>
      </c>
      <c r="AV227" s="80">
        <v>52178</v>
      </c>
    </row>
    <row r="228" spans="41:48">
      <c r="AO228" s="45"/>
      <c r="AP228" s="5">
        <v>650</v>
      </c>
      <c r="AQ228" s="5" t="s">
        <v>34</v>
      </c>
      <c r="AR228" s="5" t="s">
        <v>32</v>
      </c>
      <c r="AS228" s="69">
        <v>3</v>
      </c>
      <c r="AT228" s="69">
        <v>1</v>
      </c>
      <c r="AU228" s="5">
        <v>0</v>
      </c>
      <c r="AV228" s="80">
        <v>9627</v>
      </c>
    </row>
    <row r="229" spans="41:48">
      <c r="AO229" s="45"/>
      <c r="AP229" s="5">
        <v>650</v>
      </c>
      <c r="AQ229" s="5" t="s">
        <v>33</v>
      </c>
      <c r="AR229" s="5" t="s">
        <v>32</v>
      </c>
      <c r="AS229" s="69">
        <v>3</v>
      </c>
      <c r="AT229" s="69">
        <v>30</v>
      </c>
      <c r="AU229" s="5">
        <v>2</v>
      </c>
      <c r="AV229" s="80">
        <v>52178</v>
      </c>
    </row>
    <row r="230" spans="41:48">
      <c r="AO230" s="45"/>
      <c r="AP230" s="55" t="s">
        <v>0</v>
      </c>
      <c r="AQ230" s="71"/>
      <c r="AR230" s="55"/>
      <c r="AS230" s="55"/>
      <c r="AT230" s="55"/>
      <c r="AU230" s="72"/>
      <c r="AV230" s="73">
        <f>SUM(AV226:AV229)</f>
        <v>123610</v>
      </c>
    </row>
    <row r="231" spans="41:48">
      <c r="AO231" s="45"/>
      <c r="AP231" s="5">
        <v>720</v>
      </c>
      <c r="AQ231" s="5" t="s">
        <v>31</v>
      </c>
      <c r="AR231" s="5"/>
      <c r="AS231" s="5"/>
      <c r="AT231" s="5">
        <v>1</v>
      </c>
      <c r="AU231" s="74">
        <v>4242</v>
      </c>
      <c r="AV231" s="70">
        <v>4242</v>
      </c>
    </row>
    <row r="232" spans="41:48">
      <c r="AO232" s="45"/>
      <c r="AP232" s="55" t="s">
        <v>0</v>
      </c>
      <c r="AQ232" s="55"/>
      <c r="AR232" s="55"/>
      <c r="AS232" s="55"/>
      <c r="AT232" s="55"/>
      <c r="AU232" s="72"/>
      <c r="AV232" s="81">
        <v>4242</v>
      </c>
    </row>
    <row r="233" spans="41:48">
      <c r="AO233" s="45"/>
      <c r="AP233" s="5">
        <v>812</v>
      </c>
      <c r="AQ233" s="5" t="s">
        <v>30</v>
      </c>
      <c r="AR233" s="5" t="s">
        <v>29</v>
      </c>
      <c r="AS233" s="5"/>
      <c r="AT233" s="5">
        <v>8</v>
      </c>
      <c r="AU233" s="69">
        <v>1500</v>
      </c>
      <c r="AV233" s="70">
        <f>AT233*AU233</f>
        <v>12000</v>
      </c>
    </row>
    <row r="234" spans="41:48">
      <c r="AO234" s="45"/>
      <c r="AP234" s="55" t="s">
        <v>0</v>
      </c>
      <c r="AQ234" s="55"/>
      <c r="AR234" s="55"/>
      <c r="AS234" s="55"/>
      <c r="AT234" s="55"/>
      <c r="AU234" s="72"/>
      <c r="AV234" s="73">
        <f>AV233</f>
        <v>12000</v>
      </c>
    </row>
    <row r="235" spans="41:48">
      <c r="AO235" s="45"/>
      <c r="AP235" s="5"/>
      <c r="AQ235" s="77" t="s">
        <v>9</v>
      </c>
      <c r="AR235" s="77" t="s">
        <v>8</v>
      </c>
      <c r="AS235" s="77" t="s">
        <v>28</v>
      </c>
      <c r="AT235" s="78" t="s">
        <v>27</v>
      </c>
      <c r="AU235" s="69" t="s">
        <v>26</v>
      </c>
      <c r="AV235" s="79" t="s">
        <v>0</v>
      </c>
    </row>
    <row r="236" spans="41:48">
      <c r="AO236" s="45"/>
      <c r="AP236" s="5">
        <v>812</v>
      </c>
      <c r="AQ236" s="5" t="s">
        <v>25</v>
      </c>
      <c r="AR236" s="5" t="s">
        <v>24</v>
      </c>
      <c r="AS236" s="69">
        <v>3</v>
      </c>
      <c r="AT236" s="69">
        <v>1</v>
      </c>
      <c r="AU236" s="5">
        <v>1</v>
      </c>
      <c r="AV236" s="80">
        <v>9542</v>
      </c>
    </row>
    <row r="237" spans="41:48">
      <c r="AO237" s="45"/>
      <c r="AP237" s="5">
        <v>812</v>
      </c>
      <c r="AQ237" s="5" t="s">
        <v>23</v>
      </c>
      <c r="AR237" s="5" t="s">
        <v>22</v>
      </c>
      <c r="AS237" s="5">
        <v>3</v>
      </c>
      <c r="AT237" s="5">
        <v>1</v>
      </c>
      <c r="AU237" s="5">
        <v>0</v>
      </c>
      <c r="AV237" s="47">
        <v>178</v>
      </c>
    </row>
    <row r="238" spans="41:48">
      <c r="AO238" s="45"/>
      <c r="AP238" s="5">
        <v>812</v>
      </c>
      <c r="AQ238" s="5" t="s">
        <v>21</v>
      </c>
      <c r="AR238" s="5" t="s">
        <v>20</v>
      </c>
      <c r="AS238" s="5">
        <v>2</v>
      </c>
      <c r="AT238" s="5">
        <v>5</v>
      </c>
      <c r="AU238" s="5">
        <v>1</v>
      </c>
      <c r="AV238" s="80">
        <v>2848</v>
      </c>
    </row>
    <row r="239" spans="41:48">
      <c r="AO239" s="45"/>
      <c r="AP239" s="55" t="s">
        <v>0</v>
      </c>
      <c r="AQ239" s="71"/>
      <c r="AR239" s="55"/>
      <c r="AS239" s="55"/>
      <c r="AT239" s="55"/>
      <c r="AU239" s="72"/>
      <c r="AV239" s="73">
        <f>SUM(AV236:AV238)</f>
        <v>12568</v>
      </c>
    </row>
    <row r="240" spans="41:48">
      <c r="AO240" s="45" t="s">
        <v>19</v>
      </c>
      <c r="AP240" s="5">
        <v>900</v>
      </c>
      <c r="AQ240" s="5" t="s">
        <v>18</v>
      </c>
      <c r="AR240" s="5"/>
      <c r="AS240" s="5"/>
      <c r="AT240" s="5">
        <v>5</v>
      </c>
      <c r="AU240" s="5" t="s">
        <v>17</v>
      </c>
      <c r="AV240" s="80">
        <v>15480</v>
      </c>
    </row>
    <row r="241" spans="41:48">
      <c r="AO241" s="45"/>
      <c r="AP241" s="5">
        <v>900</v>
      </c>
      <c r="AQ241" s="5" t="s">
        <v>16</v>
      </c>
      <c r="AR241" s="5"/>
      <c r="AS241" s="5"/>
      <c r="AT241" s="5">
        <v>5</v>
      </c>
      <c r="AU241" s="5" t="s">
        <v>15</v>
      </c>
      <c r="AV241" s="80">
        <v>10320</v>
      </c>
    </row>
    <row r="242" spans="41:48">
      <c r="AO242" s="45"/>
      <c r="AP242" s="5">
        <v>900</v>
      </c>
      <c r="AQ242" s="5" t="s">
        <v>14</v>
      </c>
      <c r="AR242" s="5"/>
      <c r="AS242" s="5"/>
      <c r="AT242" s="5">
        <v>5</v>
      </c>
      <c r="AU242" s="5" t="s">
        <v>12</v>
      </c>
      <c r="AV242" s="80">
        <v>7740</v>
      </c>
    </row>
    <row r="243" spans="41:48">
      <c r="AO243" s="45"/>
      <c r="AP243" s="5">
        <v>900</v>
      </c>
      <c r="AQ243" s="5" t="s">
        <v>13</v>
      </c>
      <c r="AR243" s="5"/>
      <c r="AS243" s="5"/>
      <c r="AT243" s="5">
        <v>8</v>
      </c>
      <c r="AU243" s="5" t="s">
        <v>12</v>
      </c>
      <c r="AV243" s="80">
        <v>12000</v>
      </c>
    </row>
    <row r="244" spans="41:48">
      <c r="AO244" s="45"/>
      <c r="AP244" s="5">
        <v>900</v>
      </c>
      <c r="AQ244" s="5" t="s">
        <v>11</v>
      </c>
      <c r="AR244" s="5"/>
      <c r="AS244" s="5"/>
      <c r="AT244" s="5">
        <v>5</v>
      </c>
      <c r="AU244" s="69" t="s">
        <v>10</v>
      </c>
      <c r="AV244" s="70">
        <v>5160</v>
      </c>
    </row>
    <row r="245" spans="41:48">
      <c r="AO245" s="45"/>
      <c r="AP245" s="55" t="s">
        <v>0</v>
      </c>
      <c r="AQ245" s="55"/>
      <c r="AR245" s="71"/>
      <c r="AS245" s="55"/>
      <c r="AT245" s="55"/>
      <c r="AU245" s="72"/>
      <c r="AV245" s="73">
        <f>SUM(AV240:AV244)</f>
        <v>50700</v>
      </c>
    </row>
    <row r="246" spans="41:48">
      <c r="AO246" s="45"/>
      <c r="AP246" s="55"/>
      <c r="AQ246" s="55" t="s">
        <v>9</v>
      </c>
      <c r="AR246" s="71" t="s">
        <v>8</v>
      </c>
      <c r="AS246" s="55" t="s">
        <v>7</v>
      </c>
      <c r="AT246" s="55" t="s">
        <v>6</v>
      </c>
      <c r="AU246" s="72" t="s">
        <v>5</v>
      </c>
      <c r="AV246" s="73" t="s">
        <v>0</v>
      </c>
    </row>
    <row r="247" spans="41:48">
      <c r="AO247" s="45"/>
      <c r="AP247" s="5">
        <v>900</v>
      </c>
      <c r="AQ247" s="5" t="s">
        <v>4</v>
      </c>
      <c r="AR247" s="5" t="s">
        <v>3</v>
      </c>
      <c r="AS247" s="5">
        <v>1</v>
      </c>
      <c r="AT247" s="5">
        <v>2</v>
      </c>
      <c r="AU247" s="5">
        <v>30</v>
      </c>
      <c r="AV247" s="80">
        <v>27492</v>
      </c>
    </row>
    <row r="248" spans="41:48">
      <c r="AO248" s="45"/>
      <c r="AP248" s="5">
        <v>900</v>
      </c>
      <c r="AQ248" s="5" t="s">
        <v>2</v>
      </c>
      <c r="AR248" s="5" t="s">
        <v>1</v>
      </c>
      <c r="AS248" s="5">
        <v>1</v>
      </c>
      <c r="AT248" s="5">
        <v>2</v>
      </c>
      <c r="AU248" s="5">
        <v>30</v>
      </c>
      <c r="AV248" s="80">
        <v>25325</v>
      </c>
    </row>
    <row r="249" spans="41:48">
      <c r="AO249" s="45"/>
      <c r="AP249" s="55" t="s">
        <v>0</v>
      </c>
      <c r="AQ249" s="55"/>
      <c r="AR249" s="71"/>
      <c r="AS249" s="55"/>
      <c r="AT249" s="55"/>
      <c r="AU249" s="72"/>
      <c r="AV249" s="73">
        <f>SUM(AV247:AV248)</f>
        <v>52817</v>
      </c>
    </row>
    <row r="250" spans="41:48">
      <c r="AO250" s="45"/>
      <c r="AP250" s="5"/>
      <c r="AQ250" s="5"/>
      <c r="AR250" s="5"/>
      <c r="AS250" s="5"/>
      <c r="AT250" s="5"/>
      <c r="AU250" s="69"/>
      <c r="AV250" s="70"/>
    </row>
    <row r="251" spans="41:48">
      <c r="AO251" s="49"/>
      <c r="AP251" s="51"/>
      <c r="AQ251" s="51"/>
      <c r="AR251" s="51"/>
      <c r="AS251" s="51"/>
      <c r="AT251" s="51"/>
      <c r="AU251" s="82"/>
      <c r="AV251" s="83">
        <f>SUM(AV249,AV245,AV239,AV234,AV232,AV230,AV224,AV220,AV203,AV118,AV85,AV17,AV13)</f>
        <v>4740768</v>
      </c>
    </row>
  </sheetData>
  <mergeCells count="33">
    <mergeCell ref="V26:W26"/>
    <mergeCell ref="V7:AD7"/>
    <mergeCell ref="V8:AD8"/>
    <mergeCell ref="V9:W9"/>
    <mergeCell ref="V21:W21"/>
    <mergeCell ref="AD9:AD10"/>
    <mergeCell ref="AC9:AC10"/>
    <mergeCell ref="AB9:AB10"/>
    <mergeCell ref="AA9:AA10"/>
    <mergeCell ref="Z9:Z10"/>
    <mergeCell ref="Y9:Y10"/>
    <mergeCell ref="X9:X10"/>
    <mergeCell ref="W2:Y2"/>
    <mergeCell ref="W6:AV6"/>
    <mergeCell ref="AB5:AC5"/>
    <mergeCell ref="AB4:AC4"/>
    <mergeCell ref="AB3:AC3"/>
    <mergeCell ref="A147:B147"/>
    <mergeCell ref="W35:AK35"/>
    <mergeCell ref="A1:F1"/>
    <mergeCell ref="A121:I121"/>
    <mergeCell ref="A122:B122"/>
    <mergeCell ref="A136:B136"/>
    <mergeCell ref="A137:B137"/>
    <mergeCell ref="A98:B98"/>
    <mergeCell ref="A112:B112"/>
    <mergeCell ref="A113:B113"/>
    <mergeCell ref="J2:K2"/>
    <mergeCell ref="A94:I94"/>
    <mergeCell ref="A97:I97"/>
    <mergeCell ref="A2:B2"/>
    <mergeCell ref="C2:E2"/>
    <mergeCell ref="W1:Y1"/>
  </mergeCells>
  <hyperlinks>
    <hyperlink ref="E50" r:id="rId1"/>
    <hyperlink ref="L15"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dimension ref="A1:V88"/>
  <sheetViews>
    <sheetView topLeftCell="A36" zoomScale="70" zoomScaleNormal="70" workbookViewId="0">
      <selection activeCell="A74" sqref="A74:B74"/>
    </sheetView>
  </sheetViews>
  <sheetFormatPr defaultRowHeight="15"/>
  <cols>
    <col min="1" max="1" width="25.7109375" bestFit="1" customWidth="1"/>
    <col min="2" max="2" width="15.140625" bestFit="1" customWidth="1"/>
    <col min="3" max="3" width="15" bestFit="1" customWidth="1"/>
    <col min="4" max="4" width="14.7109375" bestFit="1" customWidth="1"/>
    <col min="5" max="5" width="13.7109375" bestFit="1" customWidth="1"/>
    <col min="6" max="6" width="11.28515625" bestFit="1" customWidth="1"/>
    <col min="7" max="7" width="11.42578125" bestFit="1" customWidth="1"/>
    <col min="8" max="8" width="25.7109375" customWidth="1"/>
    <col min="9" max="9" width="26.28515625" customWidth="1"/>
    <col min="10" max="10" width="18.7109375" customWidth="1"/>
    <col min="11" max="11" width="10.7109375" customWidth="1"/>
    <col min="12" max="16" width="10.140625" bestFit="1" customWidth="1"/>
    <col min="17" max="17" width="11.140625" bestFit="1" customWidth="1"/>
    <col min="19" max="19" width="5.7109375" bestFit="1" customWidth="1"/>
    <col min="20" max="20" width="28.85546875" bestFit="1" customWidth="1"/>
    <col min="21" max="22" width="13.28515625" bestFit="1" customWidth="1"/>
  </cols>
  <sheetData>
    <row r="1" spans="1:22">
      <c r="A1" s="259" t="s">
        <v>540</v>
      </c>
      <c r="B1" s="259"/>
      <c r="C1" s="259"/>
      <c r="D1" s="259"/>
      <c r="E1" s="259"/>
      <c r="F1" s="259"/>
      <c r="G1" s="259"/>
      <c r="H1" s="259"/>
    </row>
    <row r="2" spans="1:22">
      <c r="A2" t="s">
        <v>582</v>
      </c>
      <c r="B2" s="35"/>
      <c r="C2" s="35"/>
      <c r="D2" s="35"/>
      <c r="E2" s="35"/>
      <c r="F2" s="35"/>
      <c r="G2" s="35"/>
      <c r="H2" s="35"/>
    </row>
    <row r="3" spans="1:22">
      <c r="A3" t="s">
        <v>583</v>
      </c>
      <c r="B3" s="35"/>
      <c r="C3" s="35"/>
      <c r="D3" s="35"/>
      <c r="E3" s="35"/>
      <c r="F3" s="35"/>
      <c r="G3" s="35"/>
      <c r="H3" s="35"/>
    </row>
    <row r="4" spans="1:22">
      <c r="B4" s="35"/>
      <c r="C4" s="35"/>
      <c r="D4" s="35"/>
      <c r="E4" s="35"/>
      <c r="F4" s="35"/>
      <c r="G4" s="35"/>
      <c r="H4" s="35"/>
    </row>
    <row r="5" spans="1:22" ht="15.75" thickBot="1">
      <c r="B5" s="35"/>
      <c r="C5" s="35"/>
      <c r="D5" s="35"/>
      <c r="E5" s="35"/>
      <c r="F5" s="35"/>
      <c r="G5" s="35"/>
      <c r="H5" s="35"/>
    </row>
    <row r="6" spans="1:22" ht="15.75" thickBot="1">
      <c r="A6" s="35" t="s">
        <v>596</v>
      </c>
      <c r="B6" s="35" t="s">
        <v>463</v>
      </c>
      <c r="C6" s="35" t="s">
        <v>147</v>
      </c>
      <c r="D6" s="35" t="s">
        <v>274</v>
      </c>
      <c r="E6" s="35"/>
      <c r="F6" s="35"/>
      <c r="G6" s="35"/>
      <c r="H6" s="35"/>
      <c r="J6" s="141" t="s">
        <v>717</v>
      </c>
      <c r="K6" s="142"/>
      <c r="L6" s="142"/>
      <c r="M6" s="142"/>
      <c r="N6" s="142"/>
      <c r="O6" s="142"/>
      <c r="P6" s="142"/>
      <c r="Q6" s="142"/>
      <c r="R6" s="142"/>
      <c r="S6" s="142"/>
      <c r="T6" s="142"/>
      <c r="U6" s="142"/>
      <c r="V6" s="143"/>
    </row>
    <row r="7" spans="1:22">
      <c r="A7" s="35" t="s">
        <v>595</v>
      </c>
      <c r="B7" s="35"/>
      <c r="C7" s="35"/>
      <c r="D7" s="35" t="s">
        <v>601</v>
      </c>
      <c r="E7" s="35"/>
      <c r="F7" s="35"/>
      <c r="G7" s="35"/>
      <c r="H7" s="35"/>
      <c r="J7" s="144" t="s">
        <v>718</v>
      </c>
      <c r="K7" s="5">
        <v>2009</v>
      </c>
      <c r="L7" s="5">
        <v>2010</v>
      </c>
      <c r="M7" s="5">
        <v>2011</v>
      </c>
      <c r="N7" s="5">
        <v>2012</v>
      </c>
      <c r="O7" s="5">
        <v>2013</v>
      </c>
      <c r="P7" s="5">
        <v>2014</v>
      </c>
      <c r="Q7" s="5"/>
      <c r="R7" s="5"/>
      <c r="S7" s="151" t="s">
        <v>748</v>
      </c>
      <c r="T7" s="152" t="s">
        <v>749</v>
      </c>
      <c r="U7" s="152" t="s">
        <v>546</v>
      </c>
      <c r="V7" s="153" t="s">
        <v>750</v>
      </c>
    </row>
    <row r="8" spans="1:22">
      <c r="A8" s="35"/>
      <c r="B8" s="35" t="s">
        <v>521</v>
      </c>
      <c r="C8" s="35"/>
      <c r="D8" s="35" t="s">
        <v>602</v>
      </c>
      <c r="E8" s="35"/>
      <c r="F8" s="35"/>
      <c r="G8" s="35"/>
      <c r="H8" s="35"/>
      <c r="J8" s="6" t="s">
        <v>659</v>
      </c>
      <c r="K8" s="123" t="s">
        <v>735</v>
      </c>
      <c r="L8" s="123" t="s">
        <v>740</v>
      </c>
      <c r="M8" s="123" t="s">
        <v>743</v>
      </c>
      <c r="N8" s="123" t="s">
        <v>740</v>
      </c>
      <c r="O8" s="123" t="s">
        <v>740</v>
      </c>
      <c r="P8" s="123" t="s">
        <v>740</v>
      </c>
      <c r="Q8" s="5"/>
      <c r="R8" s="5"/>
      <c r="S8" s="122" t="s">
        <v>751</v>
      </c>
      <c r="T8" s="5" t="s">
        <v>545</v>
      </c>
      <c r="U8" s="5" t="s">
        <v>478</v>
      </c>
      <c r="V8" s="13" t="s">
        <v>752</v>
      </c>
    </row>
    <row r="9" spans="1:22">
      <c r="A9" s="35"/>
      <c r="B9" s="35"/>
      <c r="C9" s="35" t="s">
        <v>545</v>
      </c>
      <c r="D9" s="35" t="s">
        <v>603</v>
      </c>
      <c r="E9" s="35"/>
      <c r="F9" s="35"/>
      <c r="G9" s="35"/>
      <c r="H9" s="35"/>
      <c r="J9" s="6" t="s">
        <v>719</v>
      </c>
      <c r="K9" s="123" t="s">
        <v>736</v>
      </c>
      <c r="L9" s="123" t="s">
        <v>740</v>
      </c>
      <c r="M9" s="123" t="s">
        <v>740</v>
      </c>
      <c r="N9" s="123" t="s">
        <v>740</v>
      </c>
      <c r="O9" s="123" t="s">
        <v>740</v>
      </c>
      <c r="P9" s="123" t="s">
        <v>740</v>
      </c>
      <c r="Q9" s="5"/>
      <c r="R9" s="5"/>
      <c r="S9" s="122" t="s">
        <v>753</v>
      </c>
      <c r="T9" s="5" t="s">
        <v>585</v>
      </c>
      <c r="U9" s="5" t="s">
        <v>478</v>
      </c>
      <c r="V9" s="13" t="s">
        <v>754</v>
      </c>
    </row>
    <row r="10" spans="1:22">
      <c r="A10" s="35"/>
      <c r="B10" s="35"/>
      <c r="C10" s="35" t="s">
        <v>597</v>
      </c>
      <c r="D10" s="35"/>
      <c r="E10" s="35"/>
      <c r="F10" s="35"/>
      <c r="G10" s="35"/>
      <c r="H10" s="35"/>
      <c r="J10" s="6" t="s">
        <v>720</v>
      </c>
      <c r="K10" s="123" t="s">
        <v>737</v>
      </c>
      <c r="L10" s="123" t="s">
        <v>741</v>
      </c>
      <c r="M10" s="123" t="s">
        <v>745</v>
      </c>
      <c r="N10" s="123" t="s">
        <v>744</v>
      </c>
      <c r="O10" s="123" t="s">
        <v>744</v>
      </c>
      <c r="P10" s="123" t="s">
        <v>744</v>
      </c>
      <c r="Q10" s="5"/>
      <c r="R10" s="5"/>
      <c r="S10" s="122" t="s">
        <v>755</v>
      </c>
      <c r="T10" s="5" t="s">
        <v>756</v>
      </c>
      <c r="U10" s="5" t="s">
        <v>478</v>
      </c>
      <c r="V10" s="13" t="s">
        <v>757</v>
      </c>
    </row>
    <row r="11" spans="1:22">
      <c r="A11" s="35"/>
      <c r="B11" s="35"/>
      <c r="C11" s="35" t="s">
        <v>425</v>
      </c>
      <c r="D11" s="35"/>
      <c r="E11" s="35"/>
      <c r="F11" s="35"/>
      <c r="G11" s="35"/>
      <c r="H11" s="35"/>
      <c r="J11" s="6" t="s">
        <v>721</v>
      </c>
      <c r="K11" s="123" t="s">
        <v>738</v>
      </c>
      <c r="L11" s="123" t="s">
        <v>741</v>
      </c>
      <c r="M11" s="123" t="s">
        <v>745</v>
      </c>
      <c r="N11" s="123" t="s">
        <v>744</v>
      </c>
      <c r="O11" s="123" t="s">
        <v>744</v>
      </c>
      <c r="P11" s="123" t="s">
        <v>744</v>
      </c>
      <c r="Q11" s="5"/>
      <c r="R11" s="5"/>
      <c r="S11" s="122" t="s">
        <v>758</v>
      </c>
      <c r="T11" s="5" t="s">
        <v>780</v>
      </c>
      <c r="U11" s="5" t="s">
        <v>478</v>
      </c>
      <c r="V11" s="13" t="s">
        <v>759</v>
      </c>
    </row>
    <row r="12" spans="1:22">
      <c r="A12" s="35"/>
      <c r="B12" s="35"/>
      <c r="C12" s="35" t="s">
        <v>598</v>
      </c>
      <c r="D12" s="35"/>
      <c r="E12" s="35"/>
      <c r="F12" s="35"/>
      <c r="G12" s="35"/>
      <c r="H12" s="35"/>
      <c r="J12" s="6" t="s">
        <v>722</v>
      </c>
      <c r="K12" s="123" t="s">
        <v>739</v>
      </c>
      <c r="L12" s="123" t="s">
        <v>742</v>
      </c>
      <c r="M12" s="123" t="s">
        <v>742</v>
      </c>
      <c r="N12" s="123" t="s">
        <v>742</v>
      </c>
      <c r="O12" s="123" t="s">
        <v>742</v>
      </c>
      <c r="P12" s="123" t="s">
        <v>742</v>
      </c>
      <c r="Q12" s="5"/>
      <c r="R12" s="5"/>
      <c r="S12" s="122" t="s">
        <v>760</v>
      </c>
      <c r="T12" s="5" t="s">
        <v>761</v>
      </c>
      <c r="U12" s="5" t="s">
        <v>478</v>
      </c>
      <c r="V12" s="13" t="s">
        <v>762</v>
      </c>
    </row>
    <row r="13" spans="1:22">
      <c r="A13" s="35"/>
      <c r="B13" s="35" t="s">
        <v>599</v>
      </c>
      <c r="C13" s="35"/>
      <c r="D13" s="35"/>
      <c r="E13" s="35"/>
      <c r="F13" s="35"/>
      <c r="G13" s="35"/>
      <c r="H13" s="35"/>
      <c r="J13" s="6"/>
      <c r="K13" s="5"/>
      <c r="L13" s="5"/>
      <c r="M13" s="5"/>
      <c r="N13" s="5"/>
      <c r="O13" s="5"/>
      <c r="P13" s="5"/>
      <c r="Q13" s="145" t="s">
        <v>734</v>
      </c>
      <c r="R13" s="5"/>
      <c r="S13" s="122" t="s">
        <v>763</v>
      </c>
      <c r="T13" s="5" t="s">
        <v>764</v>
      </c>
      <c r="U13" s="5" t="s">
        <v>478</v>
      </c>
      <c r="V13" s="13" t="s">
        <v>765</v>
      </c>
    </row>
    <row r="14" spans="1:22">
      <c r="A14" s="35"/>
      <c r="B14" s="35"/>
      <c r="C14" s="35" t="s">
        <v>600</v>
      </c>
      <c r="D14" s="35"/>
      <c r="E14" s="35"/>
      <c r="F14" s="35"/>
      <c r="G14" s="35"/>
      <c r="H14" s="35"/>
      <c r="J14" s="144" t="s">
        <v>723</v>
      </c>
      <c r="K14" s="5" t="s">
        <v>714</v>
      </c>
      <c r="L14" s="5" t="s">
        <v>714</v>
      </c>
      <c r="M14" s="5" t="s">
        <v>714</v>
      </c>
      <c r="N14" s="5" t="s">
        <v>714</v>
      </c>
      <c r="O14" s="5" t="s">
        <v>714</v>
      </c>
      <c r="P14" s="5" t="s">
        <v>714</v>
      </c>
      <c r="Q14" s="145" t="s">
        <v>714</v>
      </c>
      <c r="R14" s="5"/>
      <c r="S14" s="122" t="s">
        <v>766</v>
      </c>
      <c r="T14" s="5" t="s">
        <v>781</v>
      </c>
      <c r="U14" s="5" t="s">
        <v>478</v>
      </c>
      <c r="V14" s="13" t="s">
        <v>767</v>
      </c>
    </row>
    <row r="15" spans="1:22">
      <c r="A15" s="35" t="s">
        <v>592</v>
      </c>
      <c r="B15" s="35"/>
      <c r="C15" s="35"/>
      <c r="D15" s="35" t="s">
        <v>613</v>
      </c>
      <c r="E15" s="35"/>
      <c r="F15" s="35"/>
      <c r="G15" s="35"/>
      <c r="H15" s="35"/>
      <c r="J15" s="6" t="s">
        <v>659</v>
      </c>
      <c r="K15" s="146">
        <v>4495</v>
      </c>
      <c r="L15" s="146">
        <v>3259</v>
      </c>
      <c r="M15" s="146">
        <v>5047</v>
      </c>
      <c r="N15" s="146">
        <v>3492</v>
      </c>
      <c r="O15" s="146">
        <v>3636</v>
      </c>
      <c r="P15" s="146">
        <v>3744</v>
      </c>
      <c r="Q15" s="147">
        <v>23673</v>
      </c>
      <c r="R15" s="5"/>
      <c r="S15" s="122" t="s">
        <v>768</v>
      </c>
      <c r="T15" s="5" t="s">
        <v>782</v>
      </c>
      <c r="U15" s="5" t="s">
        <v>783</v>
      </c>
      <c r="V15" s="13" t="s">
        <v>769</v>
      </c>
    </row>
    <row r="16" spans="1:22">
      <c r="A16" s="35"/>
      <c r="B16" s="35" t="s">
        <v>401</v>
      </c>
      <c r="C16" s="35"/>
      <c r="D16" s="35" t="s">
        <v>614</v>
      </c>
      <c r="E16" s="35"/>
      <c r="F16" s="35"/>
      <c r="G16" s="35"/>
      <c r="H16" s="35"/>
      <c r="J16" s="6" t="s">
        <v>724</v>
      </c>
      <c r="K16" s="146">
        <v>580</v>
      </c>
      <c r="L16" s="146">
        <v>596</v>
      </c>
      <c r="M16" s="146">
        <v>602</v>
      </c>
      <c r="N16" s="146">
        <v>620</v>
      </c>
      <c r="O16" s="146">
        <v>640</v>
      </c>
      <c r="P16" s="146">
        <v>658</v>
      </c>
      <c r="Q16" s="147">
        <v>3696</v>
      </c>
      <c r="R16" s="5"/>
      <c r="S16" s="122" t="s">
        <v>770</v>
      </c>
      <c r="T16" s="5" t="s">
        <v>681</v>
      </c>
      <c r="U16" s="5" t="s">
        <v>783</v>
      </c>
      <c r="V16" s="13" t="s">
        <v>771</v>
      </c>
    </row>
    <row r="17" spans="1:22">
      <c r="A17" s="35"/>
      <c r="B17" s="35"/>
      <c r="C17" s="35" t="s">
        <v>545</v>
      </c>
      <c r="D17" s="35"/>
      <c r="E17" s="35"/>
      <c r="F17" s="35"/>
      <c r="G17" s="35"/>
      <c r="H17" s="35"/>
      <c r="J17" s="6" t="s">
        <v>660</v>
      </c>
      <c r="K17" s="146">
        <v>6549</v>
      </c>
      <c r="L17" s="146">
        <v>7505</v>
      </c>
      <c r="M17" s="146">
        <v>6487</v>
      </c>
      <c r="N17" s="146">
        <v>5268</v>
      </c>
      <c r="O17" s="146">
        <v>5426</v>
      </c>
      <c r="P17" s="146">
        <v>5588</v>
      </c>
      <c r="Q17" s="147">
        <v>36823</v>
      </c>
      <c r="R17" s="5"/>
      <c r="S17" s="122" t="s">
        <v>772</v>
      </c>
      <c r="T17" s="5" t="s">
        <v>784</v>
      </c>
      <c r="U17" s="5" t="s">
        <v>783</v>
      </c>
      <c r="V17" s="13" t="s">
        <v>773</v>
      </c>
    </row>
    <row r="18" spans="1:22">
      <c r="A18" s="35"/>
      <c r="B18" s="35"/>
      <c r="C18" s="35" t="s">
        <v>585</v>
      </c>
      <c r="D18" s="35"/>
      <c r="E18" s="35"/>
      <c r="F18" s="35"/>
      <c r="G18" s="35"/>
      <c r="H18" s="35"/>
      <c r="J18" s="6" t="s">
        <v>722</v>
      </c>
      <c r="K18" s="146">
        <v>2066</v>
      </c>
      <c r="L18" s="146">
        <v>796</v>
      </c>
      <c r="M18" s="146">
        <v>820</v>
      </c>
      <c r="N18" s="146">
        <v>844</v>
      </c>
      <c r="O18" s="146">
        <v>870</v>
      </c>
      <c r="P18" s="146">
        <v>896</v>
      </c>
      <c r="Q18" s="147">
        <v>6292</v>
      </c>
      <c r="R18" s="5"/>
      <c r="S18" s="122" t="s">
        <v>774</v>
      </c>
      <c r="T18" s="5" t="s">
        <v>785</v>
      </c>
      <c r="U18" s="5" t="s">
        <v>783</v>
      </c>
      <c r="V18" s="13" t="s">
        <v>765</v>
      </c>
    </row>
    <row r="19" spans="1:22">
      <c r="A19" s="35"/>
      <c r="B19" s="35"/>
      <c r="C19" s="35" t="s">
        <v>607</v>
      </c>
      <c r="D19" s="35"/>
      <c r="E19" s="35"/>
      <c r="F19" s="35"/>
      <c r="G19" s="35"/>
      <c r="H19" s="35"/>
      <c r="J19" s="6"/>
      <c r="K19" s="148">
        <f>SUM(K21:K26)</f>
        <v>5750</v>
      </c>
      <c r="L19" s="148">
        <f t="shared" ref="L19:P19" si="0">SUM(L21:L26)</f>
        <v>10875</v>
      </c>
      <c r="M19" s="148">
        <f t="shared" si="0"/>
        <v>5250</v>
      </c>
      <c r="N19" s="148">
        <f t="shared" si="0"/>
        <v>2500</v>
      </c>
      <c r="O19" s="148">
        <f t="shared" si="0"/>
        <v>2500</v>
      </c>
      <c r="P19" s="148">
        <f t="shared" si="0"/>
        <v>2500</v>
      </c>
      <c r="Q19" s="148">
        <f>SUM(Q21:Q26)</f>
        <v>29375</v>
      </c>
      <c r="R19" s="4"/>
      <c r="S19" s="122" t="s">
        <v>746</v>
      </c>
      <c r="T19" s="5" t="s">
        <v>786</v>
      </c>
      <c r="U19" s="5" t="s">
        <v>775</v>
      </c>
      <c r="V19" s="13" t="s">
        <v>776</v>
      </c>
    </row>
    <row r="20" spans="1:22">
      <c r="A20" s="35"/>
      <c r="B20" s="35"/>
      <c r="C20" s="35" t="s">
        <v>608</v>
      </c>
      <c r="D20" s="35"/>
      <c r="E20" s="35"/>
      <c r="F20" s="35"/>
      <c r="G20" s="35"/>
      <c r="H20" s="35"/>
      <c r="J20" s="144" t="s">
        <v>725</v>
      </c>
      <c r="K20" s="148" t="s">
        <v>714</v>
      </c>
      <c r="L20" s="148" t="s">
        <v>714</v>
      </c>
      <c r="M20" s="148" t="s">
        <v>714</v>
      </c>
      <c r="N20" s="148" t="s">
        <v>714</v>
      </c>
      <c r="O20" s="148" t="s">
        <v>714</v>
      </c>
      <c r="P20" s="148" t="s">
        <v>714</v>
      </c>
      <c r="Q20" s="149" t="s">
        <v>714</v>
      </c>
      <c r="R20" s="5"/>
      <c r="S20" s="122" t="s">
        <v>747</v>
      </c>
      <c r="T20" s="5" t="s">
        <v>787</v>
      </c>
      <c r="U20" s="5" t="s">
        <v>775</v>
      </c>
      <c r="V20" s="13" t="s">
        <v>776</v>
      </c>
    </row>
    <row r="21" spans="1:22">
      <c r="A21" s="35"/>
      <c r="B21" s="35"/>
      <c r="C21" s="35" t="s">
        <v>425</v>
      </c>
      <c r="D21" s="35"/>
      <c r="E21" s="35"/>
      <c r="F21" s="35"/>
      <c r="G21" s="35"/>
      <c r="H21" s="35"/>
      <c r="J21" s="6" t="s">
        <v>726</v>
      </c>
      <c r="K21" s="146">
        <v>3000</v>
      </c>
      <c r="L21" s="146">
        <v>2000</v>
      </c>
      <c r="M21" s="146">
        <v>1000</v>
      </c>
      <c r="N21" s="146">
        <v>0</v>
      </c>
      <c r="O21" s="146">
        <v>0</v>
      </c>
      <c r="P21" s="146">
        <v>0</v>
      </c>
      <c r="Q21" s="147">
        <v>6000</v>
      </c>
      <c r="R21" s="5"/>
      <c r="S21" s="122" t="s">
        <v>224</v>
      </c>
      <c r="T21" s="5" t="s">
        <v>788</v>
      </c>
      <c r="U21" s="5" t="s">
        <v>775</v>
      </c>
      <c r="V21" s="13" t="s">
        <v>776</v>
      </c>
    </row>
    <row r="22" spans="1:22">
      <c r="A22" s="35"/>
      <c r="B22" s="35"/>
      <c r="C22" s="35"/>
      <c r="D22" s="35"/>
      <c r="E22" s="35"/>
      <c r="F22" s="35"/>
      <c r="G22" s="35"/>
      <c r="H22" s="35"/>
      <c r="J22" s="6" t="s">
        <v>727</v>
      </c>
      <c r="K22" s="146">
        <v>0</v>
      </c>
      <c r="L22" s="146">
        <v>3000</v>
      </c>
      <c r="M22" s="146">
        <v>1000</v>
      </c>
      <c r="N22" s="146">
        <v>0</v>
      </c>
      <c r="O22" s="146">
        <v>0</v>
      </c>
      <c r="P22" s="146">
        <v>0</v>
      </c>
      <c r="Q22" s="147">
        <v>4000</v>
      </c>
      <c r="R22" s="5"/>
      <c r="S22" s="122" t="s">
        <v>777</v>
      </c>
      <c r="T22" s="5" t="s">
        <v>789</v>
      </c>
      <c r="U22" s="5" t="s">
        <v>775</v>
      </c>
      <c r="V22" s="13" t="s">
        <v>776</v>
      </c>
    </row>
    <row r="23" spans="1:22">
      <c r="A23" s="35" t="s">
        <v>593</v>
      </c>
      <c r="B23" s="35"/>
      <c r="C23" s="35"/>
      <c r="D23" s="35"/>
      <c r="E23" s="35"/>
      <c r="F23" s="35"/>
      <c r="G23" s="35"/>
      <c r="H23" s="35"/>
      <c r="J23" s="6" t="s">
        <v>728</v>
      </c>
      <c r="K23" s="146">
        <v>0</v>
      </c>
      <c r="L23" s="146">
        <v>3000</v>
      </c>
      <c r="M23" s="146">
        <v>0</v>
      </c>
      <c r="N23" s="146">
        <v>0</v>
      </c>
      <c r="O23" s="146">
        <v>0</v>
      </c>
      <c r="P23" s="146">
        <v>0</v>
      </c>
      <c r="Q23" s="147">
        <v>3000</v>
      </c>
      <c r="R23" s="5"/>
      <c r="S23" s="154" t="s">
        <v>748</v>
      </c>
      <c r="T23" s="145" t="s">
        <v>520</v>
      </c>
      <c r="U23" s="5"/>
      <c r="V23" s="13"/>
    </row>
    <row r="24" spans="1:22">
      <c r="A24" s="35"/>
      <c r="B24" s="35" t="s">
        <v>401</v>
      </c>
      <c r="C24" s="35"/>
      <c r="D24" s="35"/>
      <c r="E24" s="35"/>
      <c r="F24" s="35"/>
      <c r="G24" s="35"/>
      <c r="H24" s="35"/>
      <c r="J24" s="6" t="s">
        <v>729</v>
      </c>
      <c r="K24" s="146">
        <v>1000</v>
      </c>
      <c r="L24" s="146">
        <v>0</v>
      </c>
      <c r="M24" s="146">
        <v>0</v>
      </c>
      <c r="N24" s="146">
        <v>0</v>
      </c>
      <c r="O24" s="146">
        <v>0</v>
      </c>
      <c r="P24" s="146">
        <v>0</v>
      </c>
      <c r="Q24" s="147">
        <v>1000</v>
      </c>
      <c r="R24" s="5"/>
      <c r="S24" s="122">
        <v>1</v>
      </c>
      <c r="T24" s="5" t="s">
        <v>716</v>
      </c>
      <c r="U24" s="5"/>
      <c r="V24" s="13"/>
    </row>
    <row r="25" spans="1:22">
      <c r="A25" s="35"/>
      <c r="B25" s="35"/>
      <c r="C25" s="35" t="s">
        <v>545</v>
      </c>
      <c r="D25" s="120" t="s">
        <v>811</v>
      </c>
      <c r="E25" s="35"/>
      <c r="F25" s="35"/>
      <c r="G25" s="35"/>
      <c r="H25" s="35"/>
      <c r="J25" s="6" t="s">
        <v>730</v>
      </c>
      <c r="K25" s="146">
        <v>625</v>
      </c>
      <c r="L25" s="146">
        <v>1000</v>
      </c>
      <c r="M25" s="146">
        <v>1125</v>
      </c>
      <c r="N25" s="146">
        <v>875</v>
      </c>
      <c r="O25" s="146">
        <v>875</v>
      </c>
      <c r="P25" s="146">
        <v>875</v>
      </c>
      <c r="Q25" s="147">
        <v>5375</v>
      </c>
      <c r="R25" s="5"/>
      <c r="S25" s="122">
        <v>2</v>
      </c>
      <c r="T25" s="5" t="s">
        <v>401</v>
      </c>
      <c r="U25" s="5"/>
      <c r="V25" s="13"/>
    </row>
    <row r="26" spans="1:22">
      <c r="A26" s="35"/>
      <c r="B26" s="35"/>
      <c r="C26" s="35" t="s">
        <v>585</v>
      </c>
      <c r="D26" s="120" t="s">
        <v>815</v>
      </c>
      <c r="E26" s="35"/>
      <c r="F26" s="35"/>
      <c r="G26" s="35"/>
      <c r="H26" s="35"/>
      <c r="J26" s="6" t="s">
        <v>731</v>
      </c>
      <c r="K26" s="146">
        <v>1125</v>
      </c>
      <c r="L26" s="146">
        <v>1875</v>
      </c>
      <c r="M26" s="146">
        <v>2125</v>
      </c>
      <c r="N26" s="146">
        <v>1625</v>
      </c>
      <c r="O26" s="146">
        <v>1625</v>
      </c>
      <c r="P26" s="146">
        <v>1625</v>
      </c>
      <c r="Q26" s="147">
        <v>10000</v>
      </c>
      <c r="R26" s="5"/>
      <c r="S26" s="122">
        <v>3</v>
      </c>
      <c r="T26" s="5" t="s">
        <v>800</v>
      </c>
      <c r="U26" s="5"/>
      <c r="V26" s="13"/>
    </row>
    <row r="27" spans="1:22">
      <c r="A27" s="35"/>
      <c r="B27" s="35"/>
      <c r="C27" s="35" t="s">
        <v>607</v>
      </c>
      <c r="D27" s="120"/>
      <c r="E27" s="35"/>
      <c r="F27" s="35"/>
      <c r="G27" s="35"/>
      <c r="H27" s="35"/>
      <c r="J27" s="6" t="s">
        <v>732</v>
      </c>
      <c r="K27" s="146">
        <v>2916</v>
      </c>
      <c r="L27" s="146">
        <v>3455</v>
      </c>
      <c r="M27" s="146">
        <v>2731</v>
      </c>
      <c r="N27" s="146">
        <v>1909</v>
      </c>
      <c r="O27" s="146">
        <v>1961</v>
      </c>
      <c r="P27" s="146">
        <v>2008</v>
      </c>
      <c r="Q27" s="147">
        <v>14979</v>
      </c>
      <c r="R27" s="5"/>
      <c r="S27" s="122">
        <v>4</v>
      </c>
      <c r="T27" s="5" t="s">
        <v>778</v>
      </c>
      <c r="U27" s="5"/>
      <c r="V27" s="13"/>
    </row>
    <row r="28" spans="1:22">
      <c r="A28" s="35"/>
      <c r="B28" s="35"/>
      <c r="C28" s="35" t="s">
        <v>608</v>
      </c>
      <c r="D28" s="120"/>
      <c r="E28" s="35"/>
      <c r="F28" s="35"/>
      <c r="G28" s="35"/>
      <c r="H28" s="35"/>
      <c r="J28" s="144" t="s">
        <v>733</v>
      </c>
      <c r="K28" s="150">
        <v>22356</v>
      </c>
      <c r="L28" s="150">
        <v>26486</v>
      </c>
      <c r="M28" s="150">
        <v>20937</v>
      </c>
      <c r="N28" s="150">
        <v>14633</v>
      </c>
      <c r="O28" s="150">
        <v>15033</v>
      </c>
      <c r="P28" s="150">
        <v>15394</v>
      </c>
      <c r="Q28" s="150">
        <v>114838</v>
      </c>
      <c r="R28" s="5"/>
      <c r="S28" s="122">
        <v>5</v>
      </c>
      <c r="T28" s="5" t="s">
        <v>791</v>
      </c>
      <c r="U28" s="5"/>
      <c r="V28" s="13"/>
    </row>
    <row r="29" spans="1:22">
      <c r="A29" s="35"/>
      <c r="B29" s="35"/>
      <c r="C29" s="35" t="s">
        <v>425</v>
      </c>
      <c r="D29" s="120"/>
      <c r="E29" s="35"/>
      <c r="F29" s="35"/>
      <c r="G29" s="35"/>
      <c r="H29" s="35"/>
      <c r="J29" s="6"/>
      <c r="K29" s="4"/>
      <c r="L29" s="4"/>
      <c r="M29" s="4"/>
      <c r="N29" s="4"/>
      <c r="O29" s="4"/>
      <c r="P29" s="4"/>
      <c r="Q29" s="4"/>
      <c r="R29" s="5"/>
      <c r="S29" s="122">
        <v>6</v>
      </c>
      <c r="T29" s="5" t="s">
        <v>801</v>
      </c>
      <c r="U29" s="5"/>
      <c r="V29" s="13"/>
    </row>
    <row r="30" spans="1:22">
      <c r="A30" s="35"/>
      <c r="B30" s="35" t="s">
        <v>521</v>
      </c>
      <c r="C30" s="35"/>
      <c r="D30" s="35"/>
      <c r="E30" s="35"/>
      <c r="F30" s="35"/>
      <c r="G30" s="35"/>
      <c r="H30" s="35"/>
      <c r="J30" s="122" t="s">
        <v>589</v>
      </c>
      <c r="K30" s="5" t="s">
        <v>715</v>
      </c>
      <c r="L30" s="5"/>
      <c r="M30" s="5"/>
      <c r="N30" s="5"/>
      <c r="O30" s="5"/>
      <c r="P30" s="5"/>
      <c r="Q30" s="5"/>
      <c r="R30" s="5"/>
      <c r="S30" s="122">
        <v>7</v>
      </c>
      <c r="T30" s="5" t="s">
        <v>792</v>
      </c>
      <c r="U30" s="5"/>
      <c r="V30" s="13"/>
    </row>
    <row r="31" spans="1:22">
      <c r="A31" s="35"/>
      <c r="B31" s="35"/>
      <c r="C31" s="35" t="s">
        <v>545</v>
      </c>
      <c r="D31" s="120" t="s">
        <v>814</v>
      </c>
      <c r="E31" s="120" t="s">
        <v>805</v>
      </c>
      <c r="F31" s="35">
        <v>350</v>
      </c>
      <c r="G31" s="35"/>
      <c r="H31" s="35"/>
      <c r="J31" s="273" t="s">
        <v>708</v>
      </c>
      <c r="K31" s="263"/>
      <c r="L31" s="263"/>
      <c r="M31" s="263"/>
      <c r="N31" s="263"/>
      <c r="O31" s="263"/>
      <c r="P31" s="263"/>
      <c r="Q31" s="263"/>
      <c r="R31" s="5"/>
      <c r="S31" s="122">
        <v>8</v>
      </c>
      <c r="T31" s="5" t="s">
        <v>793</v>
      </c>
      <c r="U31" s="5"/>
      <c r="V31" s="13"/>
    </row>
    <row r="32" spans="1:22">
      <c r="A32" s="35"/>
      <c r="B32" s="35"/>
      <c r="C32" s="35" t="s">
        <v>588</v>
      </c>
      <c r="D32" s="35"/>
      <c r="E32" t="s">
        <v>816</v>
      </c>
      <c r="F32" s="35">
        <v>144</v>
      </c>
      <c r="G32" s="35">
        <f>SUM(F31:F32)</f>
        <v>494</v>
      </c>
      <c r="H32" s="35"/>
      <c r="J32" s="273" t="s">
        <v>709</v>
      </c>
      <c r="K32" s="263"/>
      <c r="L32" s="263"/>
      <c r="M32" s="263"/>
      <c r="N32" s="263"/>
      <c r="O32" s="263"/>
      <c r="P32" s="263"/>
      <c r="Q32" s="263"/>
      <c r="R32" s="5"/>
      <c r="S32" s="122">
        <v>9</v>
      </c>
      <c r="T32" s="5" t="s">
        <v>779</v>
      </c>
      <c r="U32" s="5"/>
      <c r="V32" s="13"/>
    </row>
    <row r="33" spans="1:22" ht="15.75" thickBot="1">
      <c r="C33" s="120" t="s">
        <v>447</v>
      </c>
      <c r="E33" t="s">
        <v>807</v>
      </c>
      <c r="F33">
        <v>600</v>
      </c>
      <c r="J33" s="273" t="s">
        <v>710</v>
      </c>
      <c r="K33" s="263"/>
      <c r="L33" s="263"/>
      <c r="M33" s="263"/>
      <c r="N33" s="263"/>
      <c r="O33" s="263"/>
      <c r="P33" s="263"/>
      <c r="Q33" s="263"/>
      <c r="R33" s="5"/>
      <c r="S33" s="155">
        <v>10</v>
      </c>
      <c r="T33" s="15" t="s">
        <v>790</v>
      </c>
      <c r="U33" s="15"/>
      <c r="V33" s="14"/>
    </row>
    <row r="34" spans="1:22">
      <c r="C34" s="120" t="s">
        <v>810</v>
      </c>
      <c r="E34" t="s">
        <v>808</v>
      </c>
      <c r="F34" s="140">
        <v>1158</v>
      </c>
      <c r="J34" s="273" t="s">
        <v>711</v>
      </c>
      <c r="K34" s="263"/>
      <c r="L34" s="263"/>
      <c r="M34" s="263"/>
      <c r="N34" s="263"/>
      <c r="O34" s="263"/>
      <c r="P34" s="263"/>
      <c r="Q34" s="263"/>
      <c r="R34" s="5"/>
      <c r="S34" s="5"/>
      <c r="T34" s="5"/>
      <c r="U34" s="5"/>
      <c r="V34" s="13"/>
    </row>
    <row r="35" spans="1:22">
      <c r="C35" s="120"/>
      <c r="E35" t="s">
        <v>809</v>
      </c>
      <c r="F35">
        <v>1663</v>
      </c>
      <c r="G35">
        <f>SUM(F31:F34)</f>
        <v>2252</v>
      </c>
      <c r="J35" s="273" t="s">
        <v>712</v>
      </c>
      <c r="K35" s="263"/>
      <c r="L35" s="263"/>
      <c r="M35" s="263"/>
      <c r="N35" s="263"/>
      <c r="O35" s="263"/>
      <c r="P35" s="263"/>
      <c r="Q35" s="263"/>
      <c r="R35" s="5"/>
      <c r="S35" s="5"/>
      <c r="T35" s="5"/>
      <c r="U35" s="5"/>
      <c r="V35" s="13"/>
    </row>
    <row r="36" spans="1:22" ht="15.75" thickBot="1">
      <c r="C36" s="120"/>
      <c r="J36" s="274" t="s">
        <v>713</v>
      </c>
      <c r="K36" s="275"/>
      <c r="L36" s="275"/>
      <c r="M36" s="275"/>
      <c r="N36" s="275"/>
      <c r="O36" s="275"/>
      <c r="P36" s="275"/>
      <c r="Q36" s="275"/>
      <c r="R36" s="15"/>
      <c r="S36" s="15"/>
      <c r="T36" s="15"/>
      <c r="U36" s="15"/>
      <c r="V36" s="14"/>
    </row>
    <row r="37" spans="1:22">
      <c r="A37" s="35" t="s">
        <v>594</v>
      </c>
      <c r="D37" t="s">
        <v>803</v>
      </c>
      <c r="E37" t="s">
        <v>804</v>
      </c>
    </row>
    <row r="38" spans="1:22">
      <c r="A38" s="35"/>
      <c r="B38" t="s">
        <v>401</v>
      </c>
      <c r="D38" t="s">
        <v>805</v>
      </c>
      <c r="E38">
        <v>145</v>
      </c>
      <c r="F38">
        <v>870</v>
      </c>
    </row>
    <row r="39" spans="1:22">
      <c r="A39" s="35"/>
      <c r="C39" t="s">
        <v>585</v>
      </c>
      <c r="D39" t="s">
        <v>806</v>
      </c>
      <c r="F39">
        <v>1801</v>
      </c>
      <c r="G39">
        <f>SUM(F38:F39)</f>
        <v>2671</v>
      </c>
    </row>
    <row r="40" spans="1:22">
      <c r="A40" s="35"/>
      <c r="C40" t="s">
        <v>545</v>
      </c>
      <c r="D40" t="s">
        <v>807</v>
      </c>
      <c r="F40">
        <v>2775</v>
      </c>
    </row>
    <row r="41" spans="1:22">
      <c r="A41" s="35"/>
      <c r="C41" t="s">
        <v>588</v>
      </c>
      <c r="D41" t="s">
        <v>808</v>
      </c>
      <c r="F41">
        <v>1175</v>
      </c>
    </row>
    <row r="42" spans="1:22">
      <c r="A42" s="35"/>
      <c r="D42" t="s">
        <v>809</v>
      </c>
      <c r="F42">
        <v>6549</v>
      </c>
      <c r="G42">
        <f>SUM(F38:F41)</f>
        <v>6621</v>
      </c>
    </row>
    <row r="43" spans="1:22">
      <c r="A43" s="120"/>
    </row>
    <row r="44" spans="1:22">
      <c r="A44" s="118" t="s">
        <v>520</v>
      </c>
      <c r="B44" s="119" t="s">
        <v>523</v>
      </c>
      <c r="C44" s="119" t="s">
        <v>524</v>
      </c>
      <c r="D44" s="119" t="s">
        <v>525</v>
      </c>
      <c r="E44" s="119" t="s">
        <v>534</v>
      </c>
      <c r="F44" s="119" t="s">
        <v>526</v>
      </c>
      <c r="G44" s="119" t="s">
        <v>530</v>
      </c>
      <c r="H44" s="119" t="s">
        <v>794</v>
      </c>
      <c r="I44" s="119" t="s">
        <v>538</v>
      </c>
      <c r="J44" s="42"/>
    </row>
    <row r="45" spans="1:22" ht="120">
      <c r="A45" s="133" t="s">
        <v>401</v>
      </c>
      <c r="B45" s="123" t="s">
        <v>533</v>
      </c>
      <c r="C45" s="134">
        <v>5400</v>
      </c>
      <c r="D45" s="123"/>
      <c r="E45" s="135" t="s">
        <v>536</v>
      </c>
      <c r="F45" s="123" t="s">
        <v>537</v>
      </c>
      <c r="G45" s="123" t="s">
        <v>532</v>
      </c>
      <c r="H45" s="88">
        <f>1000*AVERAGE((780/130),803/130,870/145,870/145)</f>
        <v>6044.2307692307695</v>
      </c>
      <c r="I45" s="117" t="s">
        <v>539</v>
      </c>
      <c r="J45" s="136" t="s">
        <v>611</v>
      </c>
    </row>
    <row r="46" spans="1:22" ht="75">
      <c r="A46" s="133" t="s">
        <v>521</v>
      </c>
      <c r="B46" s="123" t="s">
        <v>522</v>
      </c>
      <c r="C46" s="123" t="s">
        <v>527</v>
      </c>
      <c r="D46" s="123" t="s">
        <v>528</v>
      </c>
      <c r="E46" s="137" t="s">
        <v>535</v>
      </c>
      <c r="F46" s="123" t="s">
        <v>529</v>
      </c>
      <c r="G46" s="123" t="s">
        <v>531</v>
      </c>
      <c r="H46" s="88">
        <f>1000*AVERAGE(350/100,140/39)</f>
        <v>3544.8717948717949</v>
      </c>
      <c r="I46" s="117" t="s">
        <v>541</v>
      </c>
      <c r="J46" s="136" t="s">
        <v>612</v>
      </c>
    </row>
    <row r="47" spans="1:22">
      <c r="A47" s="133" t="s">
        <v>599</v>
      </c>
      <c r="B47" s="123" t="s">
        <v>662</v>
      </c>
      <c r="C47" s="123" t="s">
        <v>663</v>
      </c>
      <c r="D47" s="123">
        <v>270</v>
      </c>
      <c r="E47" s="123" t="s">
        <v>802</v>
      </c>
      <c r="F47" s="123" t="s">
        <v>664</v>
      </c>
      <c r="G47" s="123" t="s">
        <v>665</v>
      </c>
      <c r="H47" s="123"/>
      <c r="I47" s="75"/>
      <c r="J47" s="136" t="s">
        <v>666</v>
      </c>
    </row>
    <row r="48" spans="1:22" ht="30">
      <c r="A48" s="133" t="s">
        <v>795</v>
      </c>
      <c r="B48" s="123" t="s">
        <v>799</v>
      </c>
      <c r="C48" s="134">
        <v>11000</v>
      </c>
      <c r="D48" s="123">
        <v>335</v>
      </c>
      <c r="E48" s="123">
        <v>31</v>
      </c>
      <c r="F48" s="123" t="s">
        <v>798</v>
      </c>
      <c r="G48" s="123" t="s">
        <v>797</v>
      </c>
      <c r="H48" s="88">
        <f>1000*AVERAGE(403/115,403/115,490/140,490/140)</f>
        <v>3502.173913043478</v>
      </c>
      <c r="I48" s="75" t="s">
        <v>796</v>
      </c>
      <c r="J48" s="136" t="s">
        <v>666</v>
      </c>
    </row>
    <row r="49" spans="1:10">
      <c r="A49" s="138"/>
      <c r="B49" s="96"/>
      <c r="C49" s="96"/>
      <c r="D49" s="96"/>
      <c r="E49" s="51"/>
      <c r="F49" s="96"/>
      <c r="G49" s="96"/>
      <c r="H49" s="96"/>
      <c r="I49" s="139"/>
      <c r="J49" s="52"/>
    </row>
    <row r="51" spans="1:10">
      <c r="A51" s="31" t="s">
        <v>542</v>
      </c>
      <c r="B51" s="31" t="s">
        <v>543</v>
      </c>
      <c r="C51" t="s">
        <v>546</v>
      </c>
      <c r="D51" t="s">
        <v>580</v>
      </c>
      <c r="E51" t="s">
        <v>581</v>
      </c>
      <c r="F51" t="s">
        <v>463</v>
      </c>
      <c r="G51" t="s">
        <v>579</v>
      </c>
      <c r="H51" t="s">
        <v>589</v>
      </c>
    </row>
    <row r="52" spans="1:10">
      <c r="A52" s="121" t="s">
        <v>544</v>
      </c>
      <c r="B52" s="31" t="s">
        <v>545</v>
      </c>
      <c r="C52" t="s">
        <v>547</v>
      </c>
      <c r="F52" t="s">
        <v>401</v>
      </c>
      <c r="G52" t="s">
        <v>594</v>
      </c>
      <c r="H52" t="s">
        <v>813</v>
      </c>
    </row>
    <row r="53" spans="1:10">
      <c r="A53" s="34"/>
      <c r="B53" s="34"/>
      <c r="C53" t="s">
        <v>689</v>
      </c>
      <c r="F53" t="s">
        <v>401</v>
      </c>
      <c r="G53" t="s">
        <v>606</v>
      </c>
    </row>
    <row r="54" spans="1:10">
      <c r="A54" s="34"/>
      <c r="B54" s="34"/>
      <c r="F54" t="s">
        <v>401</v>
      </c>
      <c r="G54" t="s">
        <v>592</v>
      </c>
    </row>
    <row r="55" spans="1:10">
      <c r="A55" s="34"/>
      <c r="B55" s="34"/>
      <c r="F55" t="s">
        <v>521</v>
      </c>
      <c r="G55" t="s">
        <v>595</v>
      </c>
    </row>
    <row r="56" spans="1:10">
      <c r="A56" s="121" t="s">
        <v>584</v>
      </c>
      <c r="B56" s="34" t="s">
        <v>585</v>
      </c>
      <c r="C56" t="s">
        <v>586</v>
      </c>
      <c r="F56" t="s">
        <v>599</v>
      </c>
      <c r="G56" t="s">
        <v>595</v>
      </c>
      <c r="H56" t="s">
        <v>610</v>
      </c>
    </row>
    <row r="57" spans="1:10">
      <c r="A57" s="34"/>
      <c r="B57" s="34"/>
      <c r="C57" t="s">
        <v>695</v>
      </c>
      <c r="F57" t="s">
        <v>401</v>
      </c>
      <c r="G57" t="s">
        <v>594</v>
      </c>
      <c r="H57" t="s">
        <v>812</v>
      </c>
    </row>
    <row r="58" spans="1:10">
      <c r="A58" s="34"/>
      <c r="B58" s="34"/>
      <c r="F58" t="s">
        <v>401</v>
      </c>
      <c r="G58" t="s">
        <v>592</v>
      </c>
    </row>
    <row r="59" spans="1:10">
      <c r="A59" s="34"/>
      <c r="B59" s="34"/>
    </row>
    <row r="60" spans="1:10">
      <c r="A60" s="272" t="s">
        <v>587</v>
      </c>
      <c r="B60" s="34" t="s">
        <v>588</v>
      </c>
      <c r="C60" t="s">
        <v>182</v>
      </c>
      <c r="F60" t="s">
        <v>401</v>
      </c>
      <c r="G60" t="s">
        <v>606</v>
      </c>
      <c r="H60" t="s">
        <v>690</v>
      </c>
    </row>
    <row r="61" spans="1:10">
      <c r="A61" s="272"/>
      <c r="B61" s="34"/>
      <c r="C61" t="s">
        <v>691</v>
      </c>
      <c r="F61" t="s">
        <v>401</v>
      </c>
      <c r="G61" t="s">
        <v>592</v>
      </c>
      <c r="H61" t="s">
        <v>696</v>
      </c>
    </row>
    <row r="62" spans="1:10">
      <c r="A62" s="34"/>
      <c r="B62" s="34"/>
      <c r="F62" t="s">
        <v>521</v>
      </c>
      <c r="G62" t="s">
        <v>595</v>
      </c>
    </row>
    <row r="63" spans="1:10">
      <c r="A63" s="34"/>
      <c r="B63" s="34"/>
    </row>
    <row r="64" spans="1:10">
      <c r="A64" s="34" t="s">
        <v>447</v>
      </c>
      <c r="B64" s="34" t="s">
        <v>447</v>
      </c>
      <c r="C64" t="s">
        <v>182</v>
      </c>
      <c r="F64" t="s">
        <v>401</v>
      </c>
      <c r="G64" t="s">
        <v>606</v>
      </c>
      <c r="H64" t="s">
        <v>697</v>
      </c>
    </row>
    <row r="65" spans="1:8">
      <c r="A65" s="34"/>
      <c r="B65" s="34"/>
      <c r="C65" t="s">
        <v>691</v>
      </c>
      <c r="F65" t="s">
        <v>401</v>
      </c>
      <c r="G65" t="s">
        <v>592</v>
      </c>
      <c r="H65" t="s">
        <v>618</v>
      </c>
    </row>
    <row r="66" spans="1:8">
      <c r="A66" s="34"/>
      <c r="B66" s="34"/>
      <c r="F66" t="s">
        <v>521</v>
      </c>
      <c r="G66" t="s">
        <v>595</v>
      </c>
    </row>
    <row r="67" spans="1:8">
      <c r="A67" s="34"/>
      <c r="B67" s="34"/>
    </row>
    <row r="68" spans="1:8">
      <c r="A68" s="34" t="s">
        <v>590</v>
      </c>
      <c r="B68" t="s">
        <v>692</v>
      </c>
      <c r="C68" t="s">
        <v>591</v>
      </c>
      <c r="F68" t="s">
        <v>401</v>
      </c>
      <c r="G68" t="s">
        <v>606</v>
      </c>
      <c r="H68" t="s">
        <v>617</v>
      </c>
    </row>
    <row r="69" spans="1:8">
      <c r="A69" s="34"/>
      <c r="C69" t="s">
        <v>691</v>
      </c>
      <c r="F69" t="s">
        <v>401</v>
      </c>
      <c r="G69" t="s">
        <v>592</v>
      </c>
      <c r="H69" t="s">
        <v>698</v>
      </c>
    </row>
    <row r="70" spans="1:8">
      <c r="A70" s="34"/>
      <c r="F70" t="s">
        <v>521</v>
      </c>
      <c r="G70" t="s">
        <v>595</v>
      </c>
    </row>
    <row r="71" spans="1:8">
      <c r="A71" s="34" t="s">
        <v>425</v>
      </c>
      <c r="C71" t="s">
        <v>425</v>
      </c>
      <c r="F71" t="s">
        <v>401</v>
      </c>
      <c r="G71" t="s">
        <v>606</v>
      </c>
      <c r="H71" t="s">
        <v>609</v>
      </c>
    </row>
    <row r="72" spans="1:8">
      <c r="A72" s="34"/>
      <c r="C72" t="s">
        <v>693</v>
      </c>
      <c r="F72" t="s">
        <v>401</v>
      </c>
      <c r="G72" t="s">
        <v>592</v>
      </c>
    </row>
    <row r="73" spans="1:8">
      <c r="A73" s="34"/>
      <c r="F73" t="s">
        <v>521</v>
      </c>
      <c r="G73" t="s">
        <v>595</v>
      </c>
    </row>
    <row r="74" spans="1:8">
      <c r="A74" s="121" t="s">
        <v>604</v>
      </c>
      <c r="B74" t="s">
        <v>608</v>
      </c>
      <c r="C74" t="s">
        <v>605</v>
      </c>
      <c r="F74" t="s">
        <v>401</v>
      </c>
      <c r="G74" t="s">
        <v>606</v>
      </c>
      <c r="H74" t="s">
        <v>616</v>
      </c>
    </row>
    <row r="75" spans="1:8">
      <c r="C75" t="s">
        <v>694</v>
      </c>
      <c r="F75" t="s">
        <v>401</v>
      </c>
      <c r="G75" t="s">
        <v>592</v>
      </c>
      <c r="H75" t="s">
        <v>615</v>
      </c>
    </row>
    <row r="76" spans="1:8">
      <c r="F76" t="s">
        <v>521</v>
      </c>
      <c r="G76" t="s">
        <v>595</v>
      </c>
    </row>
    <row r="80" spans="1:8">
      <c r="B80" t="s">
        <v>706</v>
      </c>
    </row>
    <row r="88" spans="2:2">
      <c r="B88" t="s">
        <v>707</v>
      </c>
    </row>
  </sheetData>
  <mergeCells count="8">
    <mergeCell ref="A1:H1"/>
    <mergeCell ref="A60:A61"/>
    <mergeCell ref="J31:Q31"/>
    <mergeCell ref="J36:Q36"/>
    <mergeCell ref="J35:Q35"/>
    <mergeCell ref="J34:Q34"/>
    <mergeCell ref="J33:Q33"/>
    <mergeCell ref="J32:Q3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39"/>
  <sheetViews>
    <sheetView workbookViewId="0">
      <selection activeCell="F39" sqref="F39"/>
    </sheetView>
  </sheetViews>
  <sheetFormatPr defaultRowHeight="15"/>
  <cols>
    <col min="1" max="1" width="21.7109375" customWidth="1"/>
    <col min="2" max="2" width="12.5703125" bestFit="1" customWidth="1"/>
    <col min="3" max="3" width="21.140625" bestFit="1" customWidth="1"/>
    <col min="4" max="4" width="11.140625" bestFit="1" customWidth="1"/>
    <col min="5" max="5" width="6" bestFit="1" customWidth="1"/>
    <col min="6" max="6" width="4" bestFit="1" customWidth="1"/>
    <col min="7" max="7" width="14.7109375" bestFit="1" customWidth="1"/>
    <col min="8" max="8" width="6.7109375" bestFit="1" customWidth="1"/>
    <col min="9" max="9" width="12.5703125" bestFit="1" customWidth="1"/>
  </cols>
  <sheetData>
    <row r="1" spans="1:10">
      <c r="A1" s="259" t="s">
        <v>619</v>
      </c>
      <c r="B1" s="259"/>
      <c r="C1" s="259"/>
      <c r="D1" s="259"/>
      <c r="E1" s="259"/>
      <c r="F1" s="259"/>
      <c r="G1" s="259"/>
      <c r="H1" s="259"/>
      <c r="I1" s="259"/>
    </row>
    <row r="3" spans="1:10" ht="185.25">
      <c r="A3" t="s">
        <v>274</v>
      </c>
      <c r="B3" t="s">
        <v>520</v>
      </c>
      <c r="C3" t="s">
        <v>396</v>
      </c>
      <c r="D3" s="124" t="s">
        <v>620</v>
      </c>
      <c r="E3" s="124" t="s">
        <v>628</v>
      </c>
      <c r="F3" s="124" t="s">
        <v>621</v>
      </c>
      <c r="G3" s="124" t="s">
        <v>626</v>
      </c>
      <c r="H3" s="124" t="s">
        <v>622</v>
      </c>
      <c r="I3" s="124" t="s">
        <v>627</v>
      </c>
    </row>
    <row r="4" spans="1:10">
      <c r="A4" t="s">
        <v>623</v>
      </c>
      <c r="B4" t="s">
        <v>624</v>
      </c>
      <c r="C4" t="s">
        <v>625</v>
      </c>
      <c r="D4">
        <f>(24*60)/90</f>
        <v>16</v>
      </c>
      <c r="E4">
        <f>2*PI()*6356.1</f>
        <v>39936.55413096417</v>
      </c>
      <c r="F4">
        <f>0.8*365</f>
        <v>292</v>
      </c>
      <c r="G4" s="126">
        <f>D4*E4*F4</f>
        <v>186583580.89986461</v>
      </c>
      <c r="H4" s="125">
        <v>0.01</v>
      </c>
      <c r="I4" s="127">
        <f>G4*H4</f>
        <v>1865835.8089986462</v>
      </c>
    </row>
    <row r="5" spans="1:10">
      <c r="A5" t="s">
        <v>629</v>
      </c>
      <c r="B5" t="s">
        <v>401</v>
      </c>
      <c r="C5" t="s">
        <v>635</v>
      </c>
      <c r="D5">
        <v>1</v>
      </c>
      <c r="E5">
        <v>5000</v>
      </c>
      <c r="F5">
        <v>10</v>
      </c>
      <c r="G5" s="126">
        <f>D5*E5*F5</f>
        <v>50000</v>
      </c>
      <c r="H5" s="125">
        <v>0.5</v>
      </c>
      <c r="I5" s="127">
        <f>G5*H5</f>
        <v>25000</v>
      </c>
      <c r="J5" t="s">
        <v>655</v>
      </c>
    </row>
    <row r="6" spans="1:10">
      <c r="A6" t="s">
        <v>630</v>
      </c>
      <c r="B6" t="s">
        <v>401</v>
      </c>
      <c r="C6" t="s">
        <v>635</v>
      </c>
      <c r="D6">
        <v>1</v>
      </c>
      <c r="E6">
        <v>5000</v>
      </c>
      <c r="F6">
        <v>20</v>
      </c>
      <c r="G6" s="126">
        <f>D6*E6*F6</f>
        <v>100000</v>
      </c>
      <c r="H6" s="125">
        <v>0.8</v>
      </c>
      <c r="I6" s="127">
        <f>G6*H6</f>
        <v>80000</v>
      </c>
    </row>
    <row r="7" spans="1:10">
      <c r="A7" t="s">
        <v>631</v>
      </c>
      <c r="B7" t="s">
        <v>521</v>
      </c>
      <c r="C7" t="s">
        <v>636</v>
      </c>
      <c r="D7">
        <v>1</v>
      </c>
      <c r="E7">
        <v>3000</v>
      </c>
      <c r="F7">
        <v>20</v>
      </c>
      <c r="G7" s="126">
        <f t="shared" ref="G7:G8" si="0">D7*E7*F7</f>
        <v>60000</v>
      </c>
      <c r="H7" s="125">
        <v>0.8</v>
      </c>
      <c r="I7" s="127">
        <f t="shared" ref="I7:I8" si="1">G7*H7</f>
        <v>48000</v>
      </c>
    </row>
    <row r="8" spans="1:10">
      <c r="A8" t="s">
        <v>632</v>
      </c>
      <c r="B8" t="s">
        <v>637</v>
      </c>
      <c r="C8" t="s">
        <v>636</v>
      </c>
      <c r="D8">
        <v>1</v>
      </c>
      <c r="E8">
        <v>3000</v>
      </c>
      <c r="F8">
        <v>20</v>
      </c>
      <c r="G8" s="126">
        <f t="shared" si="0"/>
        <v>60000</v>
      </c>
      <c r="H8" s="125">
        <v>0.8</v>
      </c>
      <c r="I8" s="127">
        <f t="shared" si="1"/>
        <v>48000</v>
      </c>
    </row>
    <row r="9" spans="1:10">
      <c r="A9" t="s">
        <v>633</v>
      </c>
      <c r="B9" t="s">
        <v>624</v>
      </c>
      <c r="C9" t="s">
        <v>625</v>
      </c>
      <c r="D9">
        <v>16</v>
      </c>
      <c r="E9">
        <f>E4</f>
        <v>39936.55413096417</v>
      </c>
      <c r="F9">
        <f>0.8*365</f>
        <v>292</v>
      </c>
      <c r="G9" s="126">
        <f>D9*E9*F9</f>
        <v>186583580.89986461</v>
      </c>
      <c r="H9" s="125">
        <v>0.01</v>
      </c>
      <c r="I9" s="127">
        <f>G9*H9</f>
        <v>1865835.8089986462</v>
      </c>
    </row>
    <row r="10" spans="1:10">
      <c r="A10" t="s">
        <v>634</v>
      </c>
      <c r="B10" t="s">
        <v>638</v>
      </c>
      <c r="C10" t="s">
        <v>639</v>
      </c>
      <c r="D10">
        <v>2</v>
      </c>
      <c r="E10">
        <v>3000</v>
      </c>
      <c r="F10">
        <f>6000/20</f>
        <v>300</v>
      </c>
      <c r="G10" s="126">
        <f>D10*E10*F10</f>
        <v>1800000</v>
      </c>
      <c r="H10" s="125">
        <v>0.8</v>
      </c>
      <c r="I10" s="127">
        <f>G10*H10</f>
        <v>1440000</v>
      </c>
    </row>
    <row r="15" spans="1:10">
      <c r="A15" t="s">
        <v>640</v>
      </c>
    </row>
    <row r="16" spans="1:10">
      <c r="A16" t="s">
        <v>396</v>
      </c>
      <c r="B16" t="s">
        <v>645</v>
      </c>
      <c r="C16" t="s">
        <v>388</v>
      </c>
      <c r="D16" t="s">
        <v>646</v>
      </c>
    </row>
    <row r="17" spans="1:7">
      <c r="A17" t="s">
        <v>641</v>
      </c>
      <c r="B17" t="s">
        <v>654</v>
      </c>
      <c r="C17" t="s">
        <v>644</v>
      </c>
      <c r="D17" t="s">
        <v>651</v>
      </c>
    </row>
    <row r="18" spans="1:7">
      <c r="A18" t="s">
        <v>642</v>
      </c>
      <c r="B18" t="s">
        <v>653</v>
      </c>
      <c r="C18" t="s">
        <v>647</v>
      </c>
      <c r="D18" s="128" t="s">
        <v>649</v>
      </c>
    </row>
    <row r="19" spans="1:7">
      <c r="A19" t="s">
        <v>643</v>
      </c>
      <c r="B19" t="s">
        <v>652</v>
      </c>
      <c r="C19" t="s">
        <v>648</v>
      </c>
      <c r="D19" t="s">
        <v>650</v>
      </c>
    </row>
    <row r="22" spans="1:7">
      <c r="A22" t="s">
        <v>656</v>
      </c>
      <c r="B22" t="s">
        <v>657</v>
      </c>
      <c r="C22" t="s">
        <v>661</v>
      </c>
    </row>
    <row r="23" spans="1:7">
      <c r="A23" t="s">
        <v>658</v>
      </c>
      <c r="B23" s="129">
        <v>148940000</v>
      </c>
    </row>
    <row r="24" spans="1:7">
      <c r="A24" t="s">
        <v>659</v>
      </c>
      <c r="B24" s="129">
        <v>2166086</v>
      </c>
      <c r="C24" s="130">
        <f>B24/$B$23</f>
        <v>1.4543346313951927E-2</v>
      </c>
    </row>
    <row r="25" spans="1:7">
      <c r="A25" t="s">
        <v>660</v>
      </c>
      <c r="B25" s="129">
        <v>14000000</v>
      </c>
      <c r="C25" s="130">
        <f>B25/$B$23</f>
        <v>9.3997582919296357E-2</v>
      </c>
    </row>
    <row r="26" spans="1:7">
      <c r="B26" s="131">
        <f>SUM(B24:B25)</f>
        <v>16166086</v>
      </c>
      <c r="C26" s="130">
        <f>B26/$B$23</f>
        <v>0.10854092923324829</v>
      </c>
    </row>
    <row r="29" spans="1:7">
      <c r="A29" t="s">
        <v>667</v>
      </c>
      <c r="B29" t="s">
        <v>543</v>
      </c>
      <c r="C29" t="s">
        <v>546</v>
      </c>
      <c r="D29" t="s">
        <v>274</v>
      </c>
      <c r="E29" t="s">
        <v>520</v>
      </c>
      <c r="G29" t="s">
        <v>671</v>
      </c>
    </row>
    <row r="30" spans="1:7">
      <c r="A30" s="120" t="s">
        <v>669</v>
      </c>
      <c r="B30" t="s">
        <v>668</v>
      </c>
      <c r="C30" t="s">
        <v>586</v>
      </c>
      <c r="D30" t="s">
        <v>623</v>
      </c>
      <c r="E30" t="s">
        <v>670</v>
      </c>
      <c r="F30" t="s">
        <v>672</v>
      </c>
    </row>
    <row r="31" spans="1:7">
      <c r="A31" s="120" t="s">
        <v>676</v>
      </c>
      <c r="B31" t="s">
        <v>675</v>
      </c>
      <c r="C31" t="s">
        <v>586</v>
      </c>
      <c r="D31" t="s">
        <v>673</v>
      </c>
      <c r="E31" t="s">
        <v>670</v>
      </c>
      <c r="F31" t="s">
        <v>674</v>
      </c>
      <c r="G31" t="s">
        <v>677</v>
      </c>
    </row>
    <row r="32" spans="1:7">
      <c r="A32" s="120" t="s">
        <v>544</v>
      </c>
      <c r="B32" s="121" t="s">
        <v>545</v>
      </c>
      <c r="C32" t="s">
        <v>547</v>
      </c>
      <c r="D32" t="s">
        <v>680</v>
      </c>
      <c r="E32" t="s">
        <v>679</v>
      </c>
      <c r="G32" t="s">
        <v>688</v>
      </c>
    </row>
    <row r="33" spans="1:7">
      <c r="A33" s="120" t="s">
        <v>584</v>
      </c>
      <c r="B33" s="121" t="s">
        <v>585</v>
      </c>
      <c r="C33" t="s">
        <v>586</v>
      </c>
      <c r="D33" t="s">
        <v>680</v>
      </c>
      <c r="E33" t="s">
        <v>678</v>
      </c>
      <c r="F33" t="s">
        <v>686</v>
      </c>
      <c r="G33" t="s">
        <v>687</v>
      </c>
    </row>
    <row r="34" spans="1:7" ht="14.45" customHeight="1">
      <c r="A34" s="132" t="s">
        <v>587</v>
      </c>
      <c r="B34" s="121" t="s">
        <v>588</v>
      </c>
      <c r="C34" t="s">
        <v>182</v>
      </c>
      <c r="D34" t="s">
        <v>680</v>
      </c>
      <c r="E34" t="s">
        <v>679</v>
      </c>
      <c r="F34" t="s">
        <v>699</v>
      </c>
    </row>
    <row r="35" spans="1:7">
      <c r="A35" s="120" t="s">
        <v>447</v>
      </c>
      <c r="B35" s="121" t="s">
        <v>447</v>
      </c>
      <c r="C35" t="s">
        <v>182</v>
      </c>
      <c r="D35" t="s">
        <v>680</v>
      </c>
      <c r="E35" t="s">
        <v>679</v>
      </c>
      <c r="F35" t="s">
        <v>700</v>
      </c>
      <c r="G35" t="s">
        <v>702</v>
      </c>
    </row>
    <row r="36" spans="1:7">
      <c r="A36" s="120" t="s">
        <v>590</v>
      </c>
      <c r="C36" t="s">
        <v>591</v>
      </c>
      <c r="D36" t="s">
        <v>680</v>
      </c>
      <c r="E36" t="s">
        <v>679</v>
      </c>
      <c r="F36" t="s">
        <v>701</v>
      </c>
      <c r="G36" t="s">
        <v>703</v>
      </c>
    </row>
    <row r="37" spans="1:7">
      <c r="A37" s="120" t="s">
        <v>425</v>
      </c>
      <c r="C37" t="s">
        <v>425</v>
      </c>
      <c r="D37" t="s">
        <v>680</v>
      </c>
      <c r="E37" t="s">
        <v>679</v>
      </c>
    </row>
    <row r="38" spans="1:7">
      <c r="A38" s="120" t="s">
        <v>604</v>
      </c>
      <c r="B38" t="s">
        <v>608</v>
      </c>
      <c r="C38" t="s">
        <v>605</v>
      </c>
      <c r="D38" t="s">
        <v>680</v>
      </c>
      <c r="E38" t="s">
        <v>679</v>
      </c>
      <c r="F38" t="s">
        <v>705</v>
      </c>
      <c r="G38" t="s">
        <v>704</v>
      </c>
    </row>
    <row r="39" spans="1:7">
      <c r="A39" s="120"/>
      <c r="B39" t="s">
        <v>681</v>
      </c>
      <c r="C39" t="s">
        <v>682</v>
      </c>
      <c r="D39" t="s">
        <v>634</v>
      </c>
      <c r="E39" t="s">
        <v>685</v>
      </c>
      <c r="F39" t="s">
        <v>683</v>
      </c>
      <c r="G39" t="s">
        <v>684</v>
      </c>
    </row>
  </sheetData>
  <mergeCells count="1">
    <mergeCell ref="A1:I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AO112"/>
  <sheetViews>
    <sheetView zoomScale="70" zoomScaleNormal="70" workbookViewId="0">
      <selection activeCell="G7" sqref="G7"/>
    </sheetView>
  </sheetViews>
  <sheetFormatPr defaultRowHeight="15"/>
  <cols>
    <col min="1" max="1" width="39.140625" bestFit="1" customWidth="1"/>
    <col min="2" max="2" width="47.7109375" bestFit="1" customWidth="1"/>
    <col min="4" max="4" width="16.7109375" customWidth="1"/>
    <col min="5" max="5" width="12.5703125" bestFit="1" customWidth="1"/>
  </cols>
  <sheetData>
    <row r="1" spans="1:17">
      <c r="A1" s="253" t="s">
        <v>519</v>
      </c>
      <c r="B1" s="253"/>
      <c r="C1" s="253"/>
      <c r="D1" s="253"/>
      <c r="E1" s="253"/>
      <c r="F1" s="253"/>
      <c r="G1" s="253"/>
      <c r="H1" s="253"/>
      <c r="I1" s="253"/>
      <c r="J1" s="253"/>
    </row>
    <row r="3" spans="1:17">
      <c r="A3" t="s">
        <v>518</v>
      </c>
      <c r="F3" t="s">
        <v>818</v>
      </c>
      <c r="Q3" t="s">
        <v>837</v>
      </c>
    </row>
    <row r="4" spans="1:17">
      <c r="A4" t="s">
        <v>517</v>
      </c>
      <c r="B4" s="27" t="s">
        <v>516</v>
      </c>
      <c r="F4" t="s">
        <v>820</v>
      </c>
      <c r="G4" t="s">
        <v>821</v>
      </c>
      <c r="H4" t="s">
        <v>827</v>
      </c>
      <c r="Q4">
        <f>10*5.44*3.625</f>
        <v>197.20000000000002</v>
      </c>
    </row>
    <row r="5" spans="1:17" ht="30">
      <c r="A5" s="26" t="s">
        <v>515</v>
      </c>
      <c r="B5" s="27" t="s">
        <v>514</v>
      </c>
      <c r="F5" t="s">
        <v>822</v>
      </c>
      <c r="G5" t="s">
        <v>823</v>
      </c>
      <c r="H5" t="s">
        <v>828</v>
      </c>
    </row>
    <row r="6" spans="1:17" ht="30">
      <c r="A6" s="26" t="s">
        <v>513</v>
      </c>
      <c r="B6" s="27" t="s">
        <v>512</v>
      </c>
      <c r="F6" t="s">
        <v>819</v>
      </c>
      <c r="G6" t="s">
        <v>824</v>
      </c>
      <c r="H6" t="s">
        <v>829</v>
      </c>
    </row>
    <row r="7" spans="1:17" ht="30">
      <c r="A7" s="26" t="s">
        <v>511</v>
      </c>
      <c r="B7" s="27" t="s">
        <v>510</v>
      </c>
      <c r="F7" t="s">
        <v>826</v>
      </c>
      <c r="G7" t="s">
        <v>825</v>
      </c>
      <c r="H7" t="s">
        <v>830</v>
      </c>
    </row>
    <row r="8" spans="1:17">
      <c r="A8" s="26" t="s">
        <v>509</v>
      </c>
      <c r="B8" s="27" t="s">
        <v>508</v>
      </c>
    </row>
    <row r="9" spans="1:17">
      <c r="A9" s="26" t="s">
        <v>507</v>
      </c>
      <c r="B9" s="27" t="s">
        <v>506</v>
      </c>
    </row>
    <row r="10" spans="1:17">
      <c r="A10" s="26" t="s">
        <v>505</v>
      </c>
      <c r="B10" s="27" t="s">
        <v>504</v>
      </c>
    </row>
    <row r="11" spans="1:17">
      <c r="B11" t="s">
        <v>817</v>
      </c>
    </row>
    <row r="14" spans="1:17">
      <c r="A14" t="s">
        <v>503</v>
      </c>
    </row>
    <row r="15" spans="1:17">
      <c r="A15" t="s">
        <v>502</v>
      </c>
      <c r="C15" t="s">
        <v>501</v>
      </c>
    </row>
    <row r="16" spans="1:17">
      <c r="A16" t="s">
        <v>500</v>
      </c>
      <c r="B16" t="s">
        <v>498</v>
      </c>
    </row>
    <row r="17" spans="1:20">
      <c r="A17" t="s">
        <v>499</v>
      </c>
      <c r="B17" t="s">
        <v>498</v>
      </c>
      <c r="C17" t="s">
        <v>497</v>
      </c>
    </row>
    <row r="18" spans="1:20">
      <c r="A18" t="s">
        <v>496</v>
      </c>
      <c r="B18" t="s">
        <v>495</v>
      </c>
      <c r="F18" t="s">
        <v>494</v>
      </c>
    </row>
    <row r="19" spans="1:20">
      <c r="B19" t="s">
        <v>493</v>
      </c>
    </row>
    <row r="20" spans="1:20">
      <c r="B20" t="s">
        <v>492</v>
      </c>
    </row>
    <row r="21" spans="1:20">
      <c r="T21" s="140"/>
    </row>
    <row r="25" spans="1:20">
      <c r="Q25" s="140"/>
    </row>
    <row r="26" spans="1:20">
      <c r="A26" t="s">
        <v>831</v>
      </c>
    </row>
    <row r="29" spans="1:20">
      <c r="D29" t="s">
        <v>832</v>
      </c>
      <c r="E29" s="126">
        <f>(125-66.0167)*60*60*(50-24.0167)</f>
        <v>5517290.8040040005</v>
      </c>
      <c r="F29" t="s">
        <v>833</v>
      </c>
      <c r="G29" t="s">
        <v>836</v>
      </c>
    </row>
    <row r="30" spans="1:20">
      <c r="D30" t="s">
        <v>834</v>
      </c>
      <c r="E30" s="126">
        <v>2234447.88</v>
      </c>
      <c r="F30" t="s">
        <v>833</v>
      </c>
      <c r="S30" s="159"/>
    </row>
    <row r="31" spans="1:20">
      <c r="D31" t="s">
        <v>835</v>
      </c>
      <c r="E31" s="126">
        <v>3623602</v>
      </c>
      <c r="F31" t="s">
        <v>833</v>
      </c>
    </row>
    <row r="57" spans="19:41">
      <c r="AO57" s="140"/>
    </row>
    <row r="63" spans="19:41">
      <c r="S63" s="159"/>
    </row>
    <row r="68" spans="19:19">
      <c r="S68" s="159"/>
    </row>
    <row r="81" spans="19:19">
      <c r="S81" s="160"/>
    </row>
    <row r="112" spans="18:18">
      <c r="R112" s="161"/>
    </row>
  </sheetData>
  <mergeCells count="1">
    <mergeCell ref="A1:J1"/>
  </mergeCells>
  <hyperlinks>
    <hyperlink ref="B7" r:id="rId1"/>
    <hyperlink ref="B4" r:id="rId2"/>
    <hyperlink ref="B5" r:id="rId3"/>
    <hyperlink ref="B6" r:id="rId4"/>
    <hyperlink ref="B8" r:id="rId5"/>
    <hyperlink ref="B9" r:id="rId6"/>
    <hyperlink ref="B10" r:id="rId7"/>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pageSetUpPr fitToPage="1"/>
  </sheetPr>
  <dimension ref="A1:J76"/>
  <sheetViews>
    <sheetView topLeftCell="F15" zoomScale="55" zoomScaleNormal="55" workbookViewId="0">
      <selection activeCell="F36" sqref="F36"/>
    </sheetView>
  </sheetViews>
  <sheetFormatPr defaultColWidth="8.85546875" defaultRowHeight="15"/>
  <cols>
    <col min="1" max="1" width="25.7109375" style="2" bestFit="1" customWidth="1"/>
    <col min="2" max="2" width="24.5703125" style="2" bestFit="1" customWidth="1"/>
    <col min="3" max="3" width="15.85546875" style="2" bestFit="1" customWidth="1"/>
    <col min="4" max="4" width="74" style="2" customWidth="1"/>
    <col min="5" max="5" width="8.85546875" style="2"/>
    <col min="6" max="6" width="50.7109375" style="2" bestFit="1" customWidth="1"/>
    <col min="7" max="7" width="13.85546875" style="2" bestFit="1" customWidth="1"/>
    <col min="8" max="8" width="31.28515625" style="2" bestFit="1" customWidth="1"/>
    <col min="9" max="9" width="163" style="2" customWidth="1"/>
    <col min="10" max="10" width="105.5703125" style="2" customWidth="1"/>
    <col min="11" max="16384" width="8.85546875" style="2"/>
  </cols>
  <sheetData>
    <row r="1" spans="2:10" ht="15.75" thickBot="1">
      <c r="B1" s="2" t="s">
        <v>841</v>
      </c>
    </row>
    <row r="2" spans="2:10">
      <c r="F2" s="192" t="s">
        <v>843</v>
      </c>
      <c r="G2" s="193"/>
      <c r="H2" s="193"/>
      <c r="I2" s="193"/>
      <c r="J2" s="194"/>
    </row>
    <row r="3" spans="2:10">
      <c r="B3" s="2" t="s">
        <v>842</v>
      </c>
      <c r="C3" s="2">
        <v>6</v>
      </c>
      <c r="F3" s="195" t="s">
        <v>889</v>
      </c>
      <c r="G3" s="166" t="s">
        <v>890</v>
      </c>
      <c r="H3" s="166" t="s">
        <v>891</v>
      </c>
      <c r="I3" s="166" t="s">
        <v>546</v>
      </c>
      <c r="J3" s="196" t="s">
        <v>892</v>
      </c>
    </row>
    <row r="4" spans="2:10">
      <c r="B4" s="2" t="s">
        <v>843</v>
      </c>
      <c r="F4" s="6" t="s">
        <v>893</v>
      </c>
      <c r="G4" s="185" t="s">
        <v>863</v>
      </c>
      <c r="H4" s="168" t="s">
        <v>961</v>
      </c>
      <c r="I4" s="168" t="s">
        <v>894</v>
      </c>
      <c r="J4" s="197" t="s">
        <v>895</v>
      </c>
    </row>
    <row r="5" spans="2:10" ht="60">
      <c r="B5" s="163" t="s">
        <v>863</v>
      </c>
      <c r="F5" s="198" t="s">
        <v>933</v>
      </c>
      <c r="G5" s="185"/>
      <c r="H5" s="168"/>
      <c r="I5" s="168" t="s">
        <v>932</v>
      </c>
      <c r="J5" s="199" t="s">
        <v>960</v>
      </c>
    </row>
    <row r="6" spans="2:10" ht="30">
      <c r="B6" s="2" t="s">
        <v>844</v>
      </c>
      <c r="D6" s="164" t="s">
        <v>886</v>
      </c>
      <c r="F6" s="6" t="s">
        <v>896</v>
      </c>
      <c r="G6" s="168" t="s">
        <v>897</v>
      </c>
      <c r="H6" s="168" t="s">
        <v>962</v>
      </c>
      <c r="I6" s="168" t="s">
        <v>899</v>
      </c>
      <c r="J6" s="197" t="s">
        <v>900</v>
      </c>
    </row>
    <row r="7" spans="2:10" ht="30">
      <c r="D7" s="2" t="s">
        <v>887</v>
      </c>
      <c r="F7" s="198" t="s">
        <v>935</v>
      </c>
      <c r="G7" s="168"/>
      <c r="H7" s="168"/>
      <c r="I7" s="168" t="s">
        <v>934</v>
      </c>
      <c r="J7" s="213" t="s">
        <v>1210</v>
      </c>
    </row>
    <row r="8" spans="2:10" ht="30">
      <c r="D8" s="164" t="s">
        <v>888</v>
      </c>
      <c r="F8" s="6" t="s">
        <v>901</v>
      </c>
      <c r="G8" s="186" t="s">
        <v>902</v>
      </c>
      <c r="H8" s="168"/>
      <c r="I8" s="189" t="s">
        <v>936</v>
      </c>
      <c r="J8" s="197" t="s">
        <v>903</v>
      </c>
    </row>
    <row r="9" spans="2:10">
      <c r="B9" s="2" t="s">
        <v>845</v>
      </c>
      <c r="F9" s="6" t="s">
        <v>904</v>
      </c>
      <c r="G9" s="168" t="s">
        <v>905</v>
      </c>
      <c r="H9" s="168" t="s">
        <v>898</v>
      </c>
      <c r="I9" s="168" t="s">
        <v>937</v>
      </c>
      <c r="J9" s="197" t="s">
        <v>906</v>
      </c>
    </row>
    <row r="10" spans="2:10" ht="45">
      <c r="B10" s="2" t="s">
        <v>846</v>
      </c>
      <c r="D10" s="164" t="s">
        <v>885</v>
      </c>
      <c r="F10" s="198"/>
      <c r="G10" s="168"/>
      <c r="H10" s="168"/>
      <c r="I10" s="168"/>
      <c r="J10" s="199" t="s">
        <v>963</v>
      </c>
    </row>
    <row r="11" spans="2:10">
      <c r="B11" s="2" t="s">
        <v>847</v>
      </c>
      <c r="F11" s="6" t="s">
        <v>907</v>
      </c>
      <c r="G11" s="168" t="s">
        <v>845</v>
      </c>
      <c r="H11" s="168" t="s">
        <v>964</v>
      </c>
      <c r="I11" s="168" t="s">
        <v>908</v>
      </c>
      <c r="J11" s="197" t="s">
        <v>909</v>
      </c>
    </row>
    <row r="12" spans="2:10" ht="105">
      <c r="B12" s="2" t="s">
        <v>848</v>
      </c>
      <c r="F12" s="198" t="s">
        <v>1221</v>
      </c>
      <c r="G12" s="168"/>
      <c r="H12" s="168"/>
      <c r="I12" s="168" t="s">
        <v>938</v>
      </c>
      <c r="J12" s="199" t="s">
        <v>965</v>
      </c>
    </row>
    <row r="13" spans="2:10" ht="45">
      <c r="B13" s="2" t="s">
        <v>849</v>
      </c>
      <c r="F13" s="6" t="s">
        <v>910</v>
      </c>
      <c r="G13" s="168" t="s">
        <v>911</v>
      </c>
      <c r="H13" s="168" t="s">
        <v>967</v>
      </c>
      <c r="I13" s="168" t="s">
        <v>939</v>
      </c>
      <c r="J13" s="199" t="s">
        <v>966</v>
      </c>
    </row>
    <row r="14" spans="2:10">
      <c r="F14" s="214" t="s">
        <v>1216</v>
      </c>
      <c r="G14" s="168"/>
      <c r="H14" s="168"/>
      <c r="I14" s="168"/>
      <c r="J14" s="199"/>
    </row>
    <row r="15" spans="2:10" ht="45">
      <c r="B15" s="2" t="s">
        <v>850</v>
      </c>
      <c r="F15" s="6" t="s">
        <v>912</v>
      </c>
      <c r="G15" s="168" t="s">
        <v>847</v>
      </c>
      <c r="H15" s="168" t="s">
        <v>969</v>
      </c>
      <c r="I15" s="190" t="s">
        <v>913</v>
      </c>
      <c r="J15" s="197" t="s">
        <v>968</v>
      </c>
    </row>
    <row r="16" spans="2:10" ht="60">
      <c r="B16" s="2" t="s">
        <v>851</v>
      </c>
      <c r="F16" s="198" t="s">
        <v>1220</v>
      </c>
      <c r="G16" s="168"/>
      <c r="H16" s="168"/>
      <c r="I16" s="191" t="s">
        <v>940</v>
      </c>
      <c r="J16" s="199" t="s">
        <v>970</v>
      </c>
    </row>
    <row r="17" spans="2:10" ht="30">
      <c r="B17" s="2" t="s">
        <v>852</v>
      </c>
      <c r="F17" s="6" t="s">
        <v>914</v>
      </c>
      <c r="G17" s="168" t="s">
        <v>848</v>
      </c>
      <c r="H17" s="191" t="s">
        <v>971</v>
      </c>
      <c r="I17" s="75" t="s">
        <v>941</v>
      </c>
      <c r="J17" s="197" t="s">
        <v>915</v>
      </c>
    </row>
    <row r="18" spans="2:10" ht="75">
      <c r="B18" s="2" t="s">
        <v>853</v>
      </c>
      <c r="F18" s="198" t="s">
        <v>1218</v>
      </c>
      <c r="G18" s="168"/>
      <c r="H18" s="167" t="s">
        <v>1219</v>
      </c>
      <c r="I18" s="168" t="s">
        <v>942</v>
      </c>
      <c r="J18" s="199" t="s">
        <v>972</v>
      </c>
    </row>
    <row r="19" spans="2:10" ht="30">
      <c r="B19" s="2" t="s">
        <v>854</v>
      </c>
      <c r="F19" s="6" t="s">
        <v>916</v>
      </c>
      <c r="G19" s="168" t="s">
        <v>849</v>
      </c>
      <c r="H19" s="168" t="s">
        <v>973</v>
      </c>
      <c r="I19" s="168" t="s">
        <v>917</v>
      </c>
      <c r="J19" s="200" t="s">
        <v>974</v>
      </c>
    </row>
    <row r="20" spans="2:10" ht="255">
      <c r="F20" s="208"/>
      <c r="G20" s="207"/>
      <c r="H20" s="207"/>
      <c r="I20" s="207" t="s">
        <v>943</v>
      </c>
      <c r="J20" s="209" t="s">
        <v>975</v>
      </c>
    </row>
    <row r="21" spans="2:10">
      <c r="B21" s="2" t="s">
        <v>855</v>
      </c>
      <c r="F21" s="201"/>
      <c r="G21" s="61"/>
      <c r="H21" s="61"/>
      <c r="I21" s="61"/>
      <c r="J21" s="202"/>
    </row>
    <row r="22" spans="2:10">
      <c r="B22" s="2" t="s">
        <v>856</v>
      </c>
      <c r="F22" s="210" t="s">
        <v>850</v>
      </c>
      <c r="G22" s="206"/>
      <c r="H22" s="206"/>
      <c r="I22" s="206"/>
      <c r="J22" s="211"/>
    </row>
    <row r="23" spans="2:10">
      <c r="B23" s="2" t="s">
        <v>857</v>
      </c>
      <c r="F23" s="195" t="s">
        <v>889</v>
      </c>
      <c r="G23" s="166" t="s">
        <v>890</v>
      </c>
      <c r="H23" s="166" t="s">
        <v>891</v>
      </c>
      <c r="I23" s="166" t="s">
        <v>546</v>
      </c>
      <c r="J23" s="196" t="s">
        <v>892</v>
      </c>
    </row>
    <row r="24" spans="2:10" ht="45">
      <c r="F24" s="6" t="s">
        <v>918</v>
      </c>
      <c r="G24" s="168" t="s">
        <v>919</v>
      </c>
      <c r="H24" s="165" t="s">
        <v>957</v>
      </c>
      <c r="I24" s="168" t="s">
        <v>944</v>
      </c>
      <c r="J24" s="197" t="s">
        <v>958</v>
      </c>
    </row>
    <row r="25" spans="2:10" ht="45">
      <c r="B25" s="2" t="s">
        <v>858</v>
      </c>
      <c r="C25" s="2">
        <v>44</v>
      </c>
      <c r="F25" s="198" t="s">
        <v>1217</v>
      </c>
      <c r="G25" s="168"/>
      <c r="H25" s="168"/>
      <c r="I25" s="168"/>
      <c r="J25" s="197" t="s">
        <v>959</v>
      </c>
    </row>
    <row r="26" spans="2:10" ht="60">
      <c r="B26" s="2" t="s">
        <v>859</v>
      </c>
      <c r="C26" s="2">
        <v>31</v>
      </c>
      <c r="F26" s="6" t="s">
        <v>920</v>
      </c>
      <c r="G26" s="168" t="s">
        <v>852</v>
      </c>
      <c r="H26" s="168" t="s">
        <v>956</v>
      </c>
      <c r="I26" s="168" t="s">
        <v>945</v>
      </c>
      <c r="J26" s="197" t="s">
        <v>922</v>
      </c>
    </row>
    <row r="27" spans="2:10" ht="30">
      <c r="B27" s="2" t="s">
        <v>860</v>
      </c>
      <c r="C27" s="2">
        <v>3</v>
      </c>
      <c r="F27" s="198" t="s">
        <v>946</v>
      </c>
      <c r="G27" s="168"/>
      <c r="H27" s="168"/>
      <c r="I27" s="168"/>
      <c r="J27" s="197" t="s">
        <v>923</v>
      </c>
    </row>
    <row r="28" spans="2:10" ht="120">
      <c r="B28" s="2" t="s">
        <v>861</v>
      </c>
      <c r="C28" s="2">
        <v>10</v>
      </c>
      <c r="F28" s="6" t="s">
        <v>924</v>
      </c>
      <c r="G28" s="168" t="s">
        <v>925</v>
      </c>
      <c r="H28" s="165" t="s">
        <v>952</v>
      </c>
      <c r="I28" s="168" t="s">
        <v>955</v>
      </c>
      <c r="J28" s="199" t="s">
        <v>953</v>
      </c>
    </row>
    <row r="29" spans="2:10" ht="45">
      <c r="B29" s="2" t="s">
        <v>862</v>
      </c>
      <c r="C29" s="2">
        <v>57</v>
      </c>
      <c r="F29" s="198" t="s">
        <v>1213</v>
      </c>
      <c r="G29" s="168"/>
      <c r="H29" s="167" t="s">
        <v>1215</v>
      </c>
      <c r="I29" s="167" t="s">
        <v>1214</v>
      </c>
      <c r="J29" s="197" t="s">
        <v>954</v>
      </c>
    </row>
    <row r="30" spans="2:10">
      <c r="C30" s="2">
        <f>SUM(C25:C29,C3)</f>
        <v>151</v>
      </c>
      <c r="F30" s="6" t="s">
        <v>926</v>
      </c>
      <c r="G30" s="168" t="s">
        <v>854</v>
      </c>
      <c r="H30" s="165" t="s">
        <v>951</v>
      </c>
      <c r="I30" s="168" t="s">
        <v>927</v>
      </c>
      <c r="J30" s="197" t="s">
        <v>928</v>
      </c>
    </row>
    <row r="31" spans="2:10" ht="30">
      <c r="F31" s="208"/>
      <c r="G31" s="207"/>
      <c r="H31" s="207"/>
      <c r="I31" s="207" t="s">
        <v>947</v>
      </c>
      <c r="J31" s="212" t="s">
        <v>929</v>
      </c>
    </row>
    <row r="32" spans="2:10">
      <c r="F32" s="201"/>
      <c r="G32" s="61"/>
      <c r="H32" s="61"/>
      <c r="I32" s="61"/>
      <c r="J32" s="202"/>
    </row>
    <row r="33" spans="1:10">
      <c r="F33" s="210" t="s">
        <v>855</v>
      </c>
      <c r="G33" s="206"/>
      <c r="H33" s="206"/>
      <c r="I33" s="206"/>
      <c r="J33" s="211"/>
    </row>
    <row r="34" spans="1:10">
      <c r="F34" s="195" t="s">
        <v>889</v>
      </c>
      <c r="G34" s="166" t="s">
        <v>890</v>
      </c>
      <c r="H34" s="166" t="s">
        <v>891</v>
      </c>
      <c r="I34" s="166" t="s">
        <v>546</v>
      </c>
      <c r="J34" s="196" t="s">
        <v>892</v>
      </c>
    </row>
    <row r="35" spans="1:10" ht="30">
      <c r="F35" s="6" t="s">
        <v>930</v>
      </c>
      <c r="G35" s="168" t="s">
        <v>857</v>
      </c>
      <c r="H35" s="165" t="s">
        <v>949</v>
      </c>
      <c r="I35" s="168" t="s">
        <v>948</v>
      </c>
      <c r="J35" s="197" t="s">
        <v>931</v>
      </c>
    </row>
    <row r="36" spans="1:10" ht="60.75" thickBot="1">
      <c r="F36" s="203" t="s">
        <v>1212</v>
      </c>
      <c r="G36" s="204"/>
      <c r="H36" s="204"/>
      <c r="I36" s="204" t="s">
        <v>1211</v>
      </c>
      <c r="J36" s="205" t="s">
        <v>950</v>
      </c>
    </row>
    <row r="38" spans="1:10" ht="15.75" thickBot="1"/>
    <row r="39" spans="1:10">
      <c r="A39" s="276" t="s">
        <v>1270</v>
      </c>
      <c r="B39" s="277"/>
      <c r="C39" s="278"/>
    </row>
    <row r="40" spans="1:10">
      <c r="A40" s="201"/>
      <c r="B40" s="61" t="s">
        <v>1222</v>
      </c>
      <c r="C40" s="202" t="s">
        <v>1223</v>
      </c>
    </row>
    <row r="41" spans="1:10">
      <c r="A41" s="201" t="s">
        <v>1224</v>
      </c>
      <c r="B41" s="61" t="s">
        <v>1225</v>
      </c>
      <c r="C41" s="202" t="s">
        <v>1226</v>
      </c>
    </row>
    <row r="42" spans="1:10">
      <c r="A42" s="201" t="s">
        <v>1227</v>
      </c>
      <c r="B42" s="61" t="s">
        <v>1228</v>
      </c>
      <c r="C42" s="202" t="s">
        <v>1228</v>
      </c>
    </row>
    <row r="43" spans="1:10">
      <c r="A43" s="201" t="s">
        <v>1229</v>
      </c>
      <c r="B43" s="61" t="s">
        <v>1230</v>
      </c>
      <c r="C43" s="202" t="s">
        <v>1231</v>
      </c>
    </row>
    <row r="44" spans="1:10">
      <c r="A44" s="201" t="s">
        <v>1232</v>
      </c>
      <c r="B44" s="61" t="s">
        <v>1233</v>
      </c>
      <c r="C44" s="202" t="s">
        <v>1234</v>
      </c>
    </row>
    <row r="45" spans="1:10">
      <c r="A45" s="201" t="s">
        <v>1235</v>
      </c>
      <c r="B45" s="61" t="s">
        <v>1236</v>
      </c>
      <c r="C45" s="202" t="s">
        <v>1236</v>
      </c>
    </row>
    <row r="46" spans="1:10">
      <c r="A46" s="201" t="s">
        <v>1237</v>
      </c>
      <c r="B46" s="61" t="s">
        <v>1238</v>
      </c>
      <c r="C46" s="202" t="s">
        <v>1239</v>
      </c>
    </row>
    <row r="47" spans="1:10">
      <c r="A47" s="201" t="s">
        <v>1240</v>
      </c>
      <c r="B47" s="61" t="s">
        <v>1241</v>
      </c>
      <c r="C47" s="202" t="s">
        <v>1241</v>
      </c>
    </row>
    <row r="48" spans="1:10">
      <c r="A48" s="201" t="s">
        <v>1242</v>
      </c>
      <c r="B48" s="61" t="s">
        <v>1243</v>
      </c>
      <c r="C48" s="202" t="s">
        <v>1243</v>
      </c>
    </row>
    <row r="49" spans="1:3">
      <c r="A49" s="201" t="s">
        <v>1244</v>
      </c>
      <c r="B49" s="61" t="s">
        <v>1245</v>
      </c>
      <c r="C49" s="202" t="s">
        <v>1245</v>
      </c>
    </row>
    <row r="50" spans="1:3">
      <c r="A50" s="201" t="s">
        <v>1246</v>
      </c>
      <c r="B50" s="61" t="s">
        <v>1247</v>
      </c>
      <c r="C50" s="202" t="s">
        <v>1247</v>
      </c>
    </row>
    <row r="51" spans="1:3">
      <c r="A51" s="201" t="s">
        <v>1248</v>
      </c>
      <c r="B51" s="61" t="s">
        <v>1000</v>
      </c>
      <c r="C51" s="202" t="s">
        <v>1000</v>
      </c>
    </row>
    <row r="52" spans="1:3">
      <c r="A52" s="201" t="s">
        <v>1249</v>
      </c>
      <c r="B52" s="61" t="s">
        <v>1250</v>
      </c>
      <c r="C52" s="202" t="s">
        <v>1250</v>
      </c>
    </row>
    <row r="53" spans="1:3">
      <c r="A53" s="201" t="s">
        <v>1251</v>
      </c>
      <c r="B53" s="61"/>
      <c r="C53" s="202"/>
    </row>
    <row r="54" spans="1:3">
      <c r="A54" s="201"/>
      <c r="B54" s="61"/>
      <c r="C54" s="202"/>
    </row>
    <row r="55" spans="1:3">
      <c r="A55" s="201" t="s">
        <v>1252</v>
      </c>
      <c r="B55" s="61"/>
      <c r="C55" s="202"/>
    </row>
    <row r="56" spans="1:3">
      <c r="A56" s="201"/>
      <c r="B56" s="61"/>
      <c r="C56" s="202"/>
    </row>
    <row r="57" spans="1:3">
      <c r="A57" s="201"/>
      <c r="B57" s="61" t="s">
        <v>1253</v>
      </c>
      <c r="C57" s="202" t="s">
        <v>1254</v>
      </c>
    </row>
    <row r="58" spans="1:3">
      <c r="A58" s="201"/>
      <c r="B58" s="61"/>
      <c r="C58" s="202"/>
    </row>
    <row r="59" spans="1:3">
      <c r="A59" s="201" t="s">
        <v>1255</v>
      </c>
      <c r="B59" s="61"/>
      <c r="C59" s="202"/>
    </row>
    <row r="60" spans="1:3">
      <c r="A60" s="201"/>
      <c r="B60" s="61"/>
      <c r="C60" s="202"/>
    </row>
    <row r="61" spans="1:3">
      <c r="A61" s="201"/>
      <c r="B61" s="61" t="s">
        <v>1256</v>
      </c>
      <c r="C61" s="202" t="s">
        <v>1257</v>
      </c>
    </row>
    <row r="62" spans="1:3">
      <c r="A62" s="201" t="s">
        <v>1258</v>
      </c>
      <c r="B62" s="61"/>
      <c r="C62" s="202"/>
    </row>
    <row r="63" spans="1:3">
      <c r="A63" s="201"/>
      <c r="B63" s="61"/>
      <c r="C63" s="202"/>
    </row>
    <row r="64" spans="1:3">
      <c r="A64" s="201" t="s">
        <v>1252</v>
      </c>
      <c r="B64" s="61"/>
      <c r="C64" s="202"/>
    </row>
    <row r="65" spans="1:3">
      <c r="A65" s="201"/>
      <c r="B65" s="61"/>
      <c r="C65" s="202"/>
    </row>
    <row r="66" spans="1:3">
      <c r="A66" s="201"/>
      <c r="B66" s="61" t="s">
        <v>1259</v>
      </c>
      <c r="C66" s="202" t="s">
        <v>1260</v>
      </c>
    </row>
    <row r="67" spans="1:3">
      <c r="A67" s="201"/>
      <c r="B67" s="61"/>
      <c r="C67" s="202"/>
    </row>
    <row r="68" spans="1:3">
      <c r="A68" s="201" t="s">
        <v>1255</v>
      </c>
      <c r="B68" s="61"/>
      <c r="C68" s="202"/>
    </row>
    <row r="69" spans="1:3">
      <c r="A69" s="201"/>
      <c r="B69" s="61"/>
      <c r="C69" s="202"/>
    </row>
    <row r="70" spans="1:3">
      <c r="A70" s="201"/>
      <c r="B70" s="61" t="s">
        <v>1261</v>
      </c>
      <c r="C70" s="202" t="s">
        <v>1262</v>
      </c>
    </row>
    <row r="71" spans="1:3">
      <c r="A71" s="201" t="s">
        <v>1263</v>
      </c>
      <c r="B71" s="61"/>
      <c r="C71" s="202"/>
    </row>
    <row r="72" spans="1:3">
      <c r="A72" s="201"/>
      <c r="B72" s="61"/>
      <c r="C72" s="202"/>
    </row>
    <row r="73" spans="1:3">
      <c r="A73" s="201" t="s">
        <v>1264</v>
      </c>
      <c r="B73" s="61"/>
      <c r="C73" s="202"/>
    </row>
    <row r="74" spans="1:3">
      <c r="A74" s="201"/>
      <c r="B74" s="61"/>
      <c r="C74" s="202"/>
    </row>
    <row r="75" spans="1:3">
      <c r="A75" s="201"/>
      <c r="B75" s="61" t="s">
        <v>1265</v>
      </c>
      <c r="C75" s="202" t="s">
        <v>1266</v>
      </c>
    </row>
    <row r="76" spans="1:3" ht="15.75" thickBot="1">
      <c r="A76" s="215" t="s">
        <v>1267</v>
      </c>
      <c r="B76" s="216" t="s">
        <v>1268</v>
      </c>
      <c r="C76" s="217" t="s">
        <v>1269</v>
      </c>
    </row>
  </sheetData>
  <mergeCells count="1">
    <mergeCell ref="A39:C39"/>
  </mergeCells>
  <hyperlinks>
    <hyperlink ref="F5" r:id="rId1"/>
    <hyperlink ref="F7" r:id="rId2"/>
    <hyperlink ref="F27" r:id="rId3"/>
    <hyperlink ref="J7" r:id="rId4"/>
    <hyperlink ref="F36" r:id="rId5"/>
    <hyperlink ref="F29" r:id="rId6"/>
    <hyperlink ref="I29" r:id="rId7"/>
    <hyperlink ref="H29" r:id="rId8"/>
    <hyperlink ref="F14" r:id="rId9"/>
    <hyperlink ref="F25" r:id="rId10"/>
    <hyperlink ref="F18" r:id="rId11"/>
    <hyperlink ref="H18" r:id="rId12"/>
    <hyperlink ref="F16" r:id="rId13"/>
    <hyperlink ref="F12" r:id="rId14"/>
  </hyperlinks>
  <pageMargins left="0.7" right="0.7" top="0.75" bottom="0.75" header="0.3" footer="0.3"/>
  <pageSetup scale="26" orientation="landscape" r:id="rId15"/>
</worksheet>
</file>

<file path=xl/worksheets/sheet6.xml><?xml version="1.0" encoding="utf-8"?>
<worksheet xmlns="http://schemas.openxmlformats.org/spreadsheetml/2006/main" xmlns:r="http://schemas.openxmlformats.org/officeDocument/2006/relationships">
  <dimension ref="A1:M50"/>
  <sheetViews>
    <sheetView topLeftCell="F8" zoomScale="70" zoomScaleNormal="70" workbookViewId="0">
      <selection activeCell="K15" sqref="K15"/>
    </sheetView>
  </sheetViews>
  <sheetFormatPr defaultRowHeight="15"/>
  <cols>
    <col min="1" max="1" width="23.28515625" bestFit="1" customWidth="1"/>
    <col min="2" max="2" width="31" bestFit="1" customWidth="1"/>
    <col min="8" max="8" width="69" style="172" bestFit="1" customWidth="1"/>
    <col min="9" max="9" width="11.85546875" bestFit="1" customWidth="1"/>
    <col min="10" max="10" width="31.85546875" bestFit="1" customWidth="1"/>
    <col min="11" max="11" width="81.42578125" style="26" customWidth="1"/>
    <col min="12" max="12" width="85.85546875" style="26" customWidth="1"/>
    <col min="13" max="13" width="77.85546875" customWidth="1"/>
  </cols>
  <sheetData>
    <row r="1" spans="1:13">
      <c r="B1" t="s">
        <v>882</v>
      </c>
      <c r="C1" t="s">
        <v>883</v>
      </c>
      <c r="D1" t="s">
        <v>884</v>
      </c>
    </row>
    <row r="2" spans="1:13">
      <c r="B2" t="s">
        <v>864</v>
      </c>
      <c r="C2">
        <v>9</v>
      </c>
      <c r="H2" s="172" t="s">
        <v>749</v>
      </c>
      <c r="I2" t="s">
        <v>890</v>
      </c>
      <c r="J2" t="s">
        <v>891</v>
      </c>
      <c r="K2" s="26" t="s">
        <v>546</v>
      </c>
      <c r="L2" s="26" t="s">
        <v>892</v>
      </c>
      <c r="M2" t="s">
        <v>1272</v>
      </c>
    </row>
    <row r="3" spans="1:13" ht="60">
      <c r="B3" t="s">
        <v>795</v>
      </c>
      <c r="C3">
        <v>31</v>
      </c>
      <c r="H3" s="174" t="s">
        <v>976</v>
      </c>
      <c r="I3" s="41" t="s">
        <v>866</v>
      </c>
      <c r="J3" s="41" t="s">
        <v>986</v>
      </c>
      <c r="K3" s="169" t="s">
        <v>1207</v>
      </c>
      <c r="L3" s="170" t="s">
        <v>987</v>
      </c>
    </row>
    <row r="4" spans="1:13" ht="60">
      <c r="B4" t="s">
        <v>861</v>
      </c>
      <c r="C4">
        <v>5</v>
      </c>
      <c r="H4" s="173" t="s">
        <v>985</v>
      </c>
      <c r="I4" s="51"/>
      <c r="J4" s="51"/>
      <c r="K4" s="139" t="s">
        <v>989</v>
      </c>
      <c r="L4" s="171" t="s">
        <v>988</v>
      </c>
    </row>
    <row r="5" spans="1:13" ht="90">
      <c r="B5" t="s">
        <v>865</v>
      </c>
      <c r="C5">
        <v>10</v>
      </c>
      <c r="H5" s="174" t="s">
        <v>977</v>
      </c>
      <c r="I5" s="41" t="s">
        <v>867</v>
      </c>
      <c r="J5" s="41" t="s">
        <v>990</v>
      </c>
      <c r="K5" s="169" t="s">
        <v>1206</v>
      </c>
      <c r="L5" s="170" t="s">
        <v>992</v>
      </c>
    </row>
    <row r="6" spans="1:13">
      <c r="A6">
        <v>1</v>
      </c>
      <c r="B6" t="s">
        <v>866</v>
      </c>
      <c r="C6">
        <v>6</v>
      </c>
      <c r="D6" t="s">
        <v>881</v>
      </c>
      <c r="H6" s="173" t="s">
        <v>993</v>
      </c>
      <c r="I6" s="51"/>
      <c r="J6" s="51"/>
      <c r="K6" s="139" t="s">
        <v>991</v>
      </c>
      <c r="L6" s="171" t="s">
        <v>1026</v>
      </c>
    </row>
    <row r="7" spans="1:13" ht="168" customHeight="1">
      <c r="A7">
        <v>2</v>
      </c>
      <c r="B7" t="s">
        <v>867</v>
      </c>
      <c r="C7">
        <v>8</v>
      </c>
      <c r="D7" t="s">
        <v>881</v>
      </c>
      <c r="H7" s="174" t="s">
        <v>978</v>
      </c>
      <c r="I7" s="41" t="s">
        <v>979</v>
      </c>
      <c r="J7" s="41" t="s">
        <v>1027</v>
      </c>
      <c r="K7" s="169" t="s">
        <v>1209</v>
      </c>
      <c r="L7" s="170" t="s">
        <v>1028</v>
      </c>
    </row>
    <row r="8" spans="1:13" ht="30">
      <c r="A8">
        <v>3</v>
      </c>
      <c r="B8" t="s">
        <v>868</v>
      </c>
      <c r="C8">
        <v>5</v>
      </c>
      <c r="D8" t="s">
        <v>880</v>
      </c>
      <c r="H8" s="173" t="s">
        <v>1031</v>
      </c>
      <c r="I8" s="51"/>
      <c r="J8" s="51"/>
      <c r="K8" s="139" t="s">
        <v>1030</v>
      </c>
      <c r="L8" s="179" t="s">
        <v>1032</v>
      </c>
    </row>
    <row r="9" spans="1:13" ht="75">
      <c r="A9">
        <v>4</v>
      </c>
      <c r="B9" t="s">
        <v>869</v>
      </c>
      <c r="C9">
        <v>12</v>
      </c>
      <c r="D9" t="s">
        <v>879</v>
      </c>
      <c r="H9" s="174" t="s">
        <v>916</v>
      </c>
      <c r="I9" s="41" t="s">
        <v>849</v>
      </c>
      <c r="J9" s="41" t="s">
        <v>1037</v>
      </c>
      <c r="K9" s="169" t="s">
        <v>1038</v>
      </c>
      <c r="L9" s="170" t="s">
        <v>1036</v>
      </c>
    </row>
    <row r="10" spans="1:13">
      <c r="A10">
        <v>5</v>
      </c>
      <c r="B10" t="s">
        <v>849</v>
      </c>
      <c r="C10">
        <v>3</v>
      </c>
      <c r="D10" t="s">
        <v>875</v>
      </c>
      <c r="H10" s="173" t="s">
        <v>1039</v>
      </c>
      <c r="I10" s="51"/>
      <c r="J10" s="51"/>
      <c r="K10" s="139"/>
      <c r="L10" s="171"/>
    </row>
    <row r="11" spans="1:13" ht="60">
      <c r="A11">
        <v>6</v>
      </c>
      <c r="B11" t="s">
        <v>870</v>
      </c>
      <c r="C11">
        <v>3</v>
      </c>
      <c r="D11" t="s">
        <v>876</v>
      </c>
      <c r="H11" s="174" t="s">
        <v>980</v>
      </c>
      <c r="I11" s="41" t="s">
        <v>870</v>
      </c>
      <c r="J11" s="41" t="s">
        <v>1041</v>
      </c>
      <c r="K11" s="169" t="s">
        <v>921</v>
      </c>
      <c r="L11" s="170" t="s">
        <v>1040</v>
      </c>
    </row>
    <row r="12" spans="1:13" ht="75">
      <c r="A12">
        <v>7</v>
      </c>
      <c r="B12" t="s">
        <v>871</v>
      </c>
      <c r="C12">
        <v>5</v>
      </c>
      <c r="D12" t="s">
        <v>877</v>
      </c>
      <c r="H12" s="173" t="s">
        <v>1044</v>
      </c>
      <c r="I12" s="51"/>
      <c r="J12" s="51"/>
      <c r="K12" s="139" t="s">
        <v>1042</v>
      </c>
      <c r="L12" s="171" t="s">
        <v>1043</v>
      </c>
    </row>
    <row r="13" spans="1:13" ht="106.15" customHeight="1">
      <c r="A13">
        <v>8</v>
      </c>
      <c r="B13" t="s">
        <v>872</v>
      </c>
      <c r="C13">
        <v>5</v>
      </c>
      <c r="D13" t="s">
        <v>877</v>
      </c>
      <c r="H13" s="174" t="s">
        <v>981</v>
      </c>
      <c r="I13" s="41" t="s">
        <v>871</v>
      </c>
      <c r="J13" s="41" t="s">
        <v>1072</v>
      </c>
      <c r="K13" s="169"/>
      <c r="L13" s="170" t="s">
        <v>1071</v>
      </c>
    </row>
    <row r="14" spans="1:13" ht="30">
      <c r="A14">
        <v>9</v>
      </c>
      <c r="B14" t="s">
        <v>873</v>
      </c>
      <c r="C14">
        <v>7</v>
      </c>
      <c r="D14" t="s">
        <v>878</v>
      </c>
      <c r="H14" s="173" t="s">
        <v>1074</v>
      </c>
      <c r="I14" s="51"/>
      <c r="J14" s="51"/>
      <c r="K14" s="139" t="s">
        <v>1073</v>
      </c>
      <c r="L14" s="171"/>
    </row>
    <row r="15" spans="1:13" ht="105">
      <c r="A15">
        <v>10</v>
      </c>
      <c r="B15" t="s">
        <v>874</v>
      </c>
      <c r="C15">
        <v>5</v>
      </c>
      <c r="D15" t="s">
        <v>876</v>
      </c>
      <c r="H15" s="175" t="s">
        <v>982</v>
      </c>
      <c r="I15" t="s">
        <v>872</v>
      </c>
      <c r="J15" t="s">
        <v>1067</v>
      </c>
      <c r="K15" s="26" t="s">
        <v>1208</v>
      </c>
      <c r="L15" s="26" t="s">
        <v>1066</v>
      </c>
    </row>
    <row r="16" spans="1:13" ht="45">
      <c r="C16">
        <f>SUM(C2:C15)</f>
        <v>114</v>
      </c>
      <c r="H16" s="176" t="s">
        <v>1069</v>
      </c>
      <c r="J16" t="s">
        <v>1271</v>
      </c>
      <c r="K16" s="26" t="s">
        <v>1068</v>
      </c>
      <c r="L16" s="26" t="s">
        <v>1070</v>
      </c>
    </row>
    <row r="17" spans="1:12" ht="90">
      <c r="H17" s="174" t="s">
        <v>983</v>
      </c>
      <c r="I17" s="41" t="s">
        <v>873</v>
      </c>
      <c r="J17" s="41" t="s">
        <v>1045</v>
      </c>
      <c r="K17" s="169" t="s">
        <v>1029</v>
      </c>
      <c r="L17" s="170" t="s">
        <v>1047</v>
      </c>
    </row>
    <row r="18" spans="1:12">
      <c r="A18" s="279" t="s">
        <v>1025</v>
      </c>
      <c r="B18" s="280"/>
      <c r="H18" s="173" t="s">
        <v>1046</v>
      </c>
      <c r="I18" s="51"/>
      <c r="J18" s="51"/>
      <c r="K18" s="139"/>
      <c r="L18" s="171" t="s">
        <v>1048</v>
      </c>
    </row>
    <row r="19" spans="1:12" ht="60">
      <c r="A19" s="177" t="s">
        <v>994</v>
      </c>
      <c r="B19" s="178" t="s">
        <v>995</v>
      </c>
      <c r="H19" s="174" t="s">
        <v>984</v>
      </c>
      <c r="I19" s="41" t="s">
        <v>874</v>
      </c>
      <c r="J19" s="41" t="s">
        <v>1075</v>
      </c>
      <c r="K19" s="169" t="s">
        <v>1076</v>
      </c>
      <c r="L19" s="170" t="s">
        <v>1077</v>
      </c>
    </row>
    <row r="20" spans="1:12" ht="60">
      <c r="A20" s="45" t="s">
        <v>471</v>
      </c>
      <c r="B20" s="47" t="s">
        <v>996</v>
      </c>
      <c r="H20" s="173" t="s">
        <v>1079</v>
      </c>
      <c r="I20" s="51"/>
      <c r="J20" s="51"/>
      <c r="K20" s="139" t="s">
        <v>1080</v>
      </c>
      <c r="L20" s="171" t="s">
        <v>1078</v>
      </c>
    </row>
    <row r="21" spans="1:12" ht="90">
      <c r="A21" s="45" t="s">
        <v>997</v>
      </c>
      <c r="B21" s="47" t="s">
        <v>998</v>
      </c>
      <c r="H21" s="174" t="s">
        <v>1034</v>
      </c>
      <c r="I21" s="41" t="s">
        <v>869</v>
      </c>
      <c r="J21" s="41" t="s">
        <v>1033</v>
      </c>
      <c r="K21" s="169"/>
      <c r="L21" s="170" t="s">
        <v>1035</v>
      </c>
    </row>
    <row r="22" spans="1:12">
      <c r="A22" s="45" t="s">
        <v>999</v>
      </c>
      <c r="B22" s="47" t="s">
        <v>1000</v>
      </c>
      <c r="H22" s="180"/>
      <c r="I22" s="51"/>
      <c r="J22" s="51"/>
      <c r="K22" s="139"/>
      <c r="L22" s="171"/>
    </row>
    <row r="23" spans="1:12">
      <c r="A23" s="45" t="s">
        <v>1001</v>
      </c>
      <c r="B23" s="47" t="s">
        <v>1002</v>
      </c>
    </row>
    <row r="24" spans="1:12">
      <c r="A24" s="45"/>
      <c r="B24" s="47" t="s">
        <v>1003</v>
      </c>
    </row>
    <row r="25" spans="1:12">
      <c r="A25" s="45"/>
      <c r="B25" s="47" t="s">
        <v>1004</v>
      </c>
    </row>
    <row r="26" spans="1:12">
      <c r="A26" s="45" t="s">
        <v>1005</v>
      </c>
      <c r="B26" s="47" t="s">
        <v>1006</v>
      </c>
    </row>
    <row r="27" spans="1:12">
      <c r="A27" s="45" t="s">
        <v>1007</v>
      </c>
      <c r="B27" s="47" t="s">
        <v>1008</v>
      </c>
    </row>
    <row r="28" spans="1:12">
      <c r="A28" s="45" t="s">
        <v>1009</v>
      </c>
      <c r="B28" s="47" t="s">
        <v>1010</v>
      </c>
    </row>
    <row r="29" spans="1:12">
      <c r="A29" s="45" t="s">
        <v>1011</v>
      </c>
      <c r="B29" s="47" t="s">
        <v>1012</v>
      </c>
    </row>
    <row r="30" spans="1:12">
      <c r="A30" s="45"/>
      <c r="B30" s="47" t="s">
        <v>1013</v>
      </c>
    </row>
    <row r="31" spans="1:12">
      <c r="A31" s="45"/>
      <c r="B31" s="47" t="s">
        <v>1014</v>
      </c>
    </row>
    <row r="32" spans="1:12">
      <c r="A32" s="45" t="s">
        <v>1015</v>
      </c>
      <c r="B32" s="47" t="s">
        <v>1016</v>
      </c>
    </row>
    <row r="33" spans="1:2">
      <c r="A33" s="45"/>
      <c r="B33" s="47" t="s">
        <v>1017</v>
      </c>
    </row>
    <row r="34" spans="1:2">
      <c r="A34" s="45"/>
      <c r="B34" s="47" t="s">
        <v>1018</v>
      </c>
    </row>
    <row r="35" spans="1:2">
      <c r="A35" s="45" t="s">
        <v>1019</v>
      </c>
      <c r="B35" s="47" t="s">
        <v>1020</v>
      </c>
    </row>
    <row r="36" spans="1:2">
      <c r="A36" s="45"/>
      <c r="B36" s="47" t="s">
        <v>1021</v>
      </c>
    </row>
    <row r="37" spans="1:2">
      <c r="A37" s="45" t="s">
        <v>1022</v>
      </c>
      <c r="B37" s="47" t="s">
        <v>1023</v>
      </c>
    </row>
    <row r="38" spans="1:2">
      <c r="A38" s="49"/>
      <c r="B38" s="52" t="s">
        <v>1024</v>
      </c>
    </row>
    <row r="40" spans="1:2">
      <c r="A40" s="279" t="s">
        <v>1053</v>
      </c>
      <c r="B40" s="280"/>
    </row>
    <row r="41" spans="1:2">
      <c r="A41" s="45" t="s">
        <v>1055</v>
      </c>
      <c r="B41" s="47" t="s">
        <v>1054</v>
      </c>
    </row>
    <row r="42" spans="1:2">
      <c r="A42" s="45" t="s">
        <v>1049</v>
      </c>
      <c r="B42" s="47"/>
    </row>
    <row r="43" spans="1:2">
      <c r="A43" s="45" t="s">
        <v>1056</v>
      </c>
      <c r="B43" s="47" t="s">
        <v>1057</v>
      </c>
    </row>
    <row r="44" spans="1:2">
      <c r="A44" s="45" t="s">
        <v>1058</v>
      </c>
      <c r="B44" s="47" t="s">
        <v>1059</v>
      </c>
    </row>
    <row r="45" spans="1:2">
      <c r="A45" s="45" t="s">
        <v>1060</v>
      </c>
      <c r="B45" s="47" t="s">
        <v>1061</v>
      </c>
    </row>
    <row r="46" spans="1:2">
      <c r="A46" s="45" t="s">
        <v>1050</v>
      </c>
      <c r="B46" s="47"/>
    </row>
    <row r="47" spans="1:2">
      <c r="A47" s="45" t="s">
        <v>1051</v>
      </c>
      <c r="B47" s="47"/>
    </row>
    <row r="48" spans="1:2">
      <c r="A48" s="45" t="s">
        <v>1062</v>
      </c>
      <c r="B48" s="47" t="s">
        <v>1063</v>
      </c>
    </row>
    <row r="49" spans="1:2">
      <c r="A49" s="45" t="s">
        <v>1064</v>
      </c>
      <c r="B49" s="47" t="s">
        <v>1065</v>
      </c>
    </row>
    <row r="50" spans="1:2">
      <c r="A50" s="49" t="s">
        <v>1052</v>
      </c>
      <c r="B50" s="52"/>
    </row>
  </sheetData>
  <mergeCells count="2">
    <mergeCell ref="A18:B18"/>
    <mergeCell ref="A40:B40"/>
  </mergeCells>
  <hyperlinks>
    <hyperlink ref="H4" r:id="rId1"/>
    <hyperlink ref="H6" r:id="rId2"/>
    <hyperlink ref="H8" r:id="rId3"/>
    <hyperlink ref="L8" r:id="rId4"/>
    <hyperlink ref="H10" r:id="rId5"/>
    <hyperlink ref="H12" r:id="rId6"/>
    <hyperlink ref="H18" r:id="rId7"/>
    <hyperlink ref="H16" r:id="rId8"/>
    <hyperlink ref="H14" r:id="rId9"/>
    <hyperlink ref="H20" r:id="rId10"/>
  </hyperlinks>
  <pageMargins left="0.7" right="0.7" top="0.75" bottom="0.75" header="0.3" footer="0.3"/>
  <pageSetup orientation="portrait" r:id="rId11"/>
</worksheet>
</file>

<file path=xl/worksheets/sheet7.xml><?xml version="1.0" encoding="utf-8"?>
<worksheet xmlns="http://schemas.openxmlformats.org/spreadsheetml/2006/main" xmlns:r="http://schemas.openxmlformats.org/officeDocument/2006/relationships">
  <sheetPr>
    <pageSetUpPr fitToPage="1"/>
  </sheetPr>
  <dimension ref="A1:W150"/>
  <sheetViews>
    <sheetView tabSelected="1" topLeftCell="D5" zoomScale="70" zoomScaleNormal="70" workbookViewId="0">
      <selection activeCell="G10" sqref="G10"/>
    </sheetView>
  </sheetViews>
  <sheetFormatPr defaultRowHeight="15"/>
  <cols>
    <col min="1" max="1" width="71.7109375" style="182" bestFit="1" customWidth="1"/>
    <col min="2" max="2" width="14.140625" style="157" bestFit="1" customWidth="1"/>
    <col min="3" max="3" width="43.140625" customWidth="1"/>
    <col min="4" max="4" width="25.5703125" bestFit="1" customWidth="1"/>
    <col min="5" max="5" width="27.42578125" bestFit="1" customWidth="1"/>
    <col min="6" max="6" width="19.7109375" bestFit="1" customWidth="1"/>
    <col min="7" max="7" width="19.7109375" customWidth="1"/>
    <col min="8" max="8" width="13.7109375" bestFit="1" customWidth="1"/>
    <col min="10" max="10" width="65.7109375" style="26" customWidth="1"/>
    <col min="12" max="12" width="3.28515625" style="184" customWidth="1"/>
    <col min="13" max="13" width="70.28515625" bestFit="1" customWidth="1"/>
    <col min="14" max="14" width="27.42578125" customWidth="1"/>
    <col min="15" max="15" width="25.7109375" bestFit="1" customWidth="1"/>
    <col min="16" max="16" width="18.7109375" bestFit="1" customWidth="1"/>
    <col min="20" max="20" width="14.42578125" bestFit="1" customWidth="1"/>
    <col min="21" max="21" width="46.140625" bestFit="1" customWidth="1"/>
    <col min="22" max="22" width="54.28515625" bestFit="1" customWidth="1"/>
    <col min="23" max="23" width="94.140625" bestFit="1" customWidth="1"/>
  </cols>
  <sheetData>
    <row r="1" spans="1:23">
      <c r="A1" s="162" t="s">
        <v>749</v>
      </c>
      <c r="B1" s="187" t="s">
        <v>890</v>
      </c>
      <c r="C1" s="162" t="s">
        <v>1147</v>
      </c>
      <c r="D1" s="162" t="s">
        <v>1148</v>
      </c>
      <c r="E1" s="162" t="s">
        <v>1149</v>
      </c>
      <c r="F1" s="162" t="s">
        <v>1150</v>
      </c>
      <c r="G1" s="162" t="s">
        <v>1317</v>
      </c>
      <c r="H1" s="162" t="s">
        <v>463</v>
      </c>
      <c r="I1" s="162" t="s">
        <v>596</v>
      </c>
      <c r="J1" s="246" t="s">
        <v>589</v>
      </c>
      <c r="K1" s="245"/>
      <c r="M1" t="s">
        <v>1081</v>
      </c>
      <c r="N1" s="182" t="s">
        <v>1148</v>
      </c>
      <c r="O1" s="182" t="s">
        <v>1149</v>
      </c>
      <c r="P1" s="182" t="s">
        <v>1150</v>
      </c>
      <c r="Q1" t="s">
        <v>463</v>
      </c>
      <c r="R1" t="s">
        <v>596</v>
      </c>
      <c r="T1" t="s">
        <v>1163</v>
      </c>
      <c r="U1" t="s">
        <v>1164</v>
      </c>
      <c r="V1" t="s">
        <v>1165</v>
      </c>
      <c r="W1" t="s">
        <v>1166</v>
      </c>
    </row>
    <row r="2" spans="1:23" ht="15.75">
      <c r="A2" s="183" t="s">
        <v>976</v>
      </c>
      <c r="B2" s="218" t="s">
        <v>866</v>
      </c>
      <c r="C2" s="41" t="s">
        <v>1105</v>
      </c>
      <c r="D2" s="41" t="s">
        <v>1298</v>
      </c>
      <c r="E2" s="41" t="s">
        <v>1204</v>
      </c>
      <c r="F2" s="41" t="s">
        <v>242</v>
      </c>
      <c r="G2" s="41" t="s">
        <v>242</v>
      </c>
      <c r="H2" s="41" t="s">
        <v>795</v>
      </c>
      <c r="I2" s="42" t="s">
        <v>1151</v>
      </c>
      <c r="J2" s="281" t="s">
        <v>1285</v>
      </c>
      <c r="M2" s="181" t="s">
        <v>1082</v>
      </c>
      <c r="N2" s="181" t="s">
        <v>1202</v>
      </c>
      <c r="O2" s="181" t="s">
        <v>1203</v>
      </c>
      <c r="P2" s="181" t="s">
        <v>1203</v>
      </c>
      <c r="Q2" t="s">
        <v>795</v>
      </c>
      <c r="R2" t="s">
        <v>1151</v>
      </c>
      <c r="T2" t="s">
        <v>1167</v>
      </c>
      <c r="U2" t="s">
        <v>1168</v>
      </c>
      <c r="V2" t="s">
        <v>1173</v>
      </c>
      <c r="W2" t="s">
        <v>325</v>
      </c>
    </row>
    <row r="3" spans="1:23" ht="15.75">
      <c r="A3" s="219"/>
      <c r="B3" s="188"/>
      <c r="C3" s="5" t="s">
        <v>1100</v>
      </c>
      <c r="D3" s="5" t="s">
        <v>1298</v>
      </c>
      <c r="E3" s="5" t="s">
        <v>1204</v>
      </c>
      <c r="F3" s="5" t="s">
        <v>242</v>
      </c>
      <c r="G3" s="41" t="s">
        <v>242</v>
      </c>
      <c r="H3" s="5" t="s">
        <v>1154</v>
      </c>
      <c r="I3" s="47"/>
      <c r="J3" s="281"/>
      <c r="M3" s="181" t="s">
        <v>1083</v>
      </c>
      <c r="N3" s="181" t="s">
        <v>1297</v>
      </c>
      <c r="O3" s="181" t="s">
        <v>242</v>
      </c>
      <c r="P3" s="181" t="s">
        <v>242</v>
      </c>
      <c r="Q3" t="s">
        <v>1152</v>
      </c>
      <c r="R3" t="s">
        <v>1155</v>
      </c>
      <c r="V3" t="s">
        <v>1174</v>
      </c>
      <c r="W3" t="s">
        <v>1175</v>
      </c>
    </row>
    <row r="4" spans="1:23" ht="15.75">
      <c r="A4" s="219"/>
      <c r="B4" s="188"/>
      <c r="C4" s="5" t="s">
        <v>333</v>
      </c>
      <c r="D4" s="5" t="s">
        <v>1298</v>
      </c>
      <c r="E4" s="5" t="s">
        <v>1204</v>
      </c>
      <c r="F4" s="5" t="s">
        <v>242</v>
      </c>
      <c r="G4" s="41" t="s">
        <v>242</v>
      </c>
      <c r="H4" s="5"/>
      <c r="I4" s="47"/>
      <c r="J4" s="281"/>
      <c r="M4" s="181" t="s">
        <v>333</v>
      </c>
      <c r="N4" s="181" t="s">
        <v>1298</v>
      </c>
      <c r="O4" s="181" t="s">
        <v>1204</v>
      </c>
      <c r="P4" s="181" t="s">
        <v>1204</v>
      </c>
      <c r="Q4" t="s">
        <v>401</v>
      </c>
      <c r="R4" t="s">
        <v>1156</v>
      </c>
      <c r="V4" t="s">
        <v>1176</v>
      </c>
      <c r="W4" t="s">
        <v>323</v>
      </c>
    </row>
    <row r="5" spans="1:23" ht="45">
      <c r="A5" s="219"/>
      <c r="B5" s="188"/>
      <c r="C5" s="75" t="s">
        <v>1130</v>
      </c>
      <c r="D5" s="5" t="s">
        <v>1298</v>
      </c>
      <c r="E5" s="5" t="s">
        <v>1204</v>
      </c>
      <c r="F5" s="5" t="s">
        <v>242</v>
      </c>
      <c r="G5" s="41" t="s">
        <v>242</v>
      </c>
      <c r="H5" s="5"/>
      <c r="I5" s="47"/>
      <c r="J5" s="281"/>
      <c r="M5" s="181" t="s">
        <v>1084</v>
      </c>
      <c r="N5" s="181" t="s">
        <v>1299</v>
      </c>
      <c r="O5" s="181" t="s">
        <v>226</v>
      </c>
      <c r="P5" s="181" t="s">
        <v>226</v>
      </c>
      <c r="Q5" t="s">
        <v>1153</v>
      </c>
      <c r="R5" t="s">
        <v>1157</v>
      </c>
      <c r="V5" t="s">
        <v>1177</v>
      </c>
      <c r="W5" t="s">
        <v>1095</v>
      </c>
    </row>
    <row r="6" spans="1:23" ht="15.75">
      <c r="A6" s="219"/>
      <c r="B6" s="188"/>
      <c r="C6" s="5" t="s">
        <v>1109</v>
      </c>
      <c r="D6" s="5" t="s">
        <v>1298</v>
      </c>
      <c r="E6" s="5" t="s">
        <v>1204</v>
      </c>
      <c r="F6" s="5" t="s">
        <v>242</v>
      </c>
      <c r="G6" s="41" t="s">
        <v>242</v>
      </c>
      <c r="H6" s="5"/>
      <c r="I6" s="47"/>
      <c r="J6" s="281"/>
      <c r="M6" s="181" t="s">
        <v>1085</v>
      </c>
      <c r="N6" s="181" t="s">
        <v>838</v>
      </c>
      <c r="O6" s="181" t="s">
        <v>1205</v>
      </c>
      <c r="P6" s="181" t="s">
        <v>1205</v>
      </c>
      <c r="Q6" t="s">
        <v>1154</v>
      </c>
      <c r="R6" t="s">
        <v>1158</v>
      </c>
      <c r="V6" t="s">
        <v>1178</v>
      </c>
      <c r="W6" t="s">
        <v>1096</v>
      </c>
    </row>
    <row r="7" spans="1:23" ht="15.75">
      <c r="A7" s="219"/>
      <c r="B7" s="188"/>
      <c r="C7" s="5" t="s">
        <v>1106</v>
      </c>
      <c r="D7" s="5" t="s">
        <v>1298</v>
      </c>
      <c r="E7" s="5" t="s">
        <v>1204</v>
      </c>
      <c r="F7" s="5" t="s">
        <v>242</v>
      </c>
      <c r="G7" s="41" t="s">
        <v>242</v>
      </c>
      <c r="H7" s="5"/>
      <c r="I7" s="47"/>
      <c r="J7" s="281"/>
      <c r="M7" s="181" t="s">
        <v>1086</v>
      </c>
      <c r="N7" s="181"/>
      <c r="O7" s="181"/>
      <c r="P7" s="181"/>
      <c r="Q7" t="s">
        <v>599</v>
      </c>
      <c r="V7" t="s">
        <v>1179</v>
      </c>
      <c r="W7" t="s">
        <v>1097</v>
      </c>
    </row>
    <row r="8" spans="1:23" ht="15.75">
      <c r="A8" s="220"/>
      <c r="B8" s="221"/>
      <c r="C8" s="51" t="s">
        <v>1124</v>
      </c>
      <c r="D8" s="51" t="s">
        <v>1298</v>
      </c>
      <c r="E8" s="51" t="s">
        <v>1204</v>
      </c>
      <c r="F8" s="51" t="s">
        <v>242</v>
      </c>
      <c r="G8" s="41" t="s">
        <v>242</v>
      </c>
      <c r="H8" s="51"/>
      <c r="I8" s="52"/>
      <c r="J8" s="281"/>
      <c r="M8" s="181" t="s">
        <v>1087</v>
      </c>
      <c r="N8" s="181"/>
      <c r="O8" s="181"/>
      <c r="P8" s="181"/>
      <c r="Q8" t="s">
        <v>1162</v>
      </c>
      <c r="V8" t="s">
        <v>1180</v>
      </c>
      <c r="W8" t="s">
        <v>1098</v>
      </c>
    </row>
    <row r="9" spans="1:23" ht="15.75">
      <c r="A9" s="183" t="s">
        <v>977</v>
      </c>
      <c r="B9" s="218" t="s">
        <v>867</v>
      </c>
      <c r="C9" s="41" t="s">
        <v>333</v>
      </c>
      <c r="D9" s="41" t="s">
        <v>1298</v>
      </c>
      <c r="E9" s="41" t="s">
        <v>1204</v>
      </c>
      <c r="F9" s="41" t="s">
        <v>242</v>
      </c>
      <c r="G9" s="41" t="s">
        <v>242</v>
      </c>
      <c r="H9" s="41" t="s">
        <v>795</v>
      </c>
      <c r="I9" s="42" t="s">
        <v>1151</v>
      </c>
      <c r="J9" s="281" t="s">
        <v>1286</v>
      </c>
      <c r="M9" s="181" t="s">
        <v>1088</v>
      </c>
      <c r="N9" s="181"/>
      <c r="O9" s="181"/>
      <c r="P9" s="181"/>
      <c r="Q9" t="s">
        <v>1161</v>
      </c>
      <c r="V9" t="s">
        <v>1181</v>
      </c>
      <c r="W9" t="s">
        <v>1082</v>
      </c>
    </row>
    <row r="10" spans="1:23" ht="15.75">
      <c r="A10" s="219"/>
      <c r="B10" s="188"/>
      <c r="C10" s="5" t="s">
        <v>1094</v>
      </c>
      <c r="D10" s="5" t="s">
        <v>1298</v>
      </c>
      <c r="E10" s="5" t="s">
        <v>1204</v>
      </c>
      <c r="F10" s="5" t="s">
        <v>242</v>
      </c>
      <c r="G10" s="41" t="s">
        <v>242</v>
      </c>
      <c r="H10" s="5" t="s">
        <v>1153</v>
      </c>
      <c r="I10" s="47"/>
      <c r="J10" s="281"/>
      <c r="M10" s="181" t="s">
        <v>1089</v>
      </c>
      <c r="N10" s="181"/>
      <c r="O10" s="181"/>
      <c r="P10" s="181"/>
      <c r="Q10" t="s">
        <v>638</v>
      </c>
      <c r="V10" t="s">
        <v>1182</v>
      </c>
      <c r="W10" t="s">
        <v>1083</v>
      </c>
    </row>
    <row r="11" spans="1:23" ht="15.75">
      <c r="A11" s="219"/>
      <c r="B11" s="188"/>
      <c r="C11" s="5" t="s">
        <v>323</v>
      </c>
      <c r="D11" s="5" t="s">
        <v>1298</v>
      </c>
      <c r="E11" s="5" t="s">
        <v>1204</v>
      </c>
      <c r="F11" s="5" t="s">
        <v>242</v>
      </c>
      <c r="G11" s="41" t="s">
        <v>242</v>
      </c>
      <c r="H11" s="5"/>
      <c r="I11" s="47"/>
      <c r="J11" s="281"/>
      <c r="M11" s="181" t="s">
        <v>1090</v>
      </c>
      <c r="N11" s="181"/>
      <c r="O11" s="181"/>
      <c r="P11" s="181"/>
      <c r="V11" t="s">
        <v>1183</v>
      </c>
      <c r="W11" t="s">
        <v>333</v>
      </c>
    </row>
    <row r="12" spans="1:23" ht="15.75">
      <c r="A12" s="219"/>
      <c r="B12" s="188"/>
      <c r="C12" s="5" t="s">
        <v>1082</v>
      </c>
      <c r="D12" s="5" t="s">
        <v>1298</v>
      </c>
      <c r="E12" s="5" t="s">
        <v>1204</v>
      </c>
      <c r="F12" s="5" t="s">
        <v>242</v>
      </c>
      <c r="G12" s="41" t="s">
        <v>242</v>
      </c>
      <c r="H12" s="5"/>
      <c r="I12" s="47"/>
      <c r="J12" s="281"/>
      <c r="M12" s="181" t="s">
        <v>1091</v>
      </c>
      <c r="N12" s="181"/>
      <c r="O12" s="181"/>
      <c r="P12" s="181"/>
      <c r="V12" t="s">
        <v>1184</v>
      </c>
      <c r="W12" t="s">
        <v>1084</v>
      </c>
    </row>
    <row r="13" spans="1:23" ht="15.75">
      <c r="A13" s="219"/>
      <c r="B13" s="188"/>
      <c r="C13" s="5" t="s">
        <v>1096</v>
      </c>
      <c r="D13" s="5" t="s">
        <v>1298</v>
      </c>
      <c r="E13" s="5" t="s">
        <v>1204</v>
      </c>
      <c r="F13" s="5" t="s">
        <v>242</v>
      </c>
      <c r="G13" s="41" t="s">
        <v>242</v>
      </c>
      <c r="H13" s="5"/>
      <c r="I13" s="47"/>
      <c r="J13" s="281"/>
      <c r="M13" s="181" t="s">
        <v>1092</v>
      </c>
      <c r="N13" s="181"/>
      <c r="O13" s="181"/>
      <c r="P13" s="181"/>
      <c r="V13" t="s">
        <v>1185</v>
      </c>
      <c r="W13" t="s">
        <v>1085</v>
      </c>
    </row>
    <row r="14" spans="1:23" ht="15.75">
      <c r="A14" s="220"/>
      <c r="B14" s="221"/>
      <c r="C14" s="51" t="s">
        <v>1084</v>
      </c>
      <c r="D14" s="51" t="s">
        <v>1298</v>
      </c>
      <c r="E14" s="51" t="s">
        <v>1204</v>
      </c>
      <c r="F14" s="51" t="s">
        <v>242</v>
      </c>
      <c r="G14" s="41" t="s">
        <v>242</v>
      </c>
      <c r="H14" s="51"/>
      <c r="I14" s="52"/>
      <c r="J14" s="281"/>
      <c r="M14" s="181" t="s">
        <v>1093</v>
      </c>
      <c r="N14" s="181"/>
      <c r="O14" s="181"/>
      <c r="P14" s="181"/>
      <c r="U14" t="s">
        <v>1169</v>
      </c>
      <c r="V14" t="s">
        <v>1186</v>
      </c>
      <c r="W14" t="s">
        <v>314</v>
      </c>
    </row>
    <row r="15" spans="1:23" ht="15.75">
      <c r="A15" s="183" t="s">
        <v>978</v>
      </c>
      <c r="B15" s="238" t="s">
        <v>1303</v>
      </c>
      <c r="C15" s="41" t="s">
        <v>333</v>
      </c>
      <c r="D15" s="41" t="s">
        <v>1299</v>
      </c>
      <c r="E15" s="41" t="s">
        <v>1203</v>
      </c>
      <c r="F15" s="41" t="s">
        <v>242</v>
      </c>
      <c r="G15" s="41" t="s">
        <v>242</v>
      </c>
      <c r="H15" s="41" t="s">
        <v>795</v>
      </c>
      <c r="I15" s="42" t="s">
        <v>1151</v>
      </c>
      <c r="J15" s="281" t="s">
        <v>1287</v>
      </c>
      <c r="M15" s="181" t="s">
        <v>325</v>
      </c>
      <c r="N15" s="181"/>
      <c r="O15" s="181"/>
      <c r="P15" s="181"/>
      <c r="V15" t="s">
        <v>1187</v>
      </c>
      <c r="W15" t="s">
        <v>312</v>
      </c>
    </row>
    <row r="16" spans="1:23" ht="15.75">
      <c r="A16" s="219"/>
      <c r="B16" s="188"/>
      <c r="C16" s="5" t="s">
        <v>1084</v>
      </c>
      <c r="D16" s="5" t="s">
        <v>1299</v>
      </c>
      <c r="E16" s="5" t="s">
        <v>1203</v>
      </c>
      <c r="F16" s="5" t="s">
        <v>242</v>
      </c>
      <c r="G16" s="41" t="s">
        <v>242</v>
      </c>
      <c r="H16" s="5" t="s">
        <v>1153</v>
      </c>
      <c r="I16" s="47"/>
      <c r="J16" s="281"/>
      <c r="M16" s="181" t="s">
        <v>1094</v>
      </c>
      <c r="N16" s="181"/>
      <c r="O16" s="181"/>
      <c r="P16" s="181"/>
      <c r="V16" t="s">
        <v>1188</v>
      </c>
      <c r="W16" t="s">
        <v>318</v>
      </c>
    </row>
    <row r="17" spans="1:23" ht="15.75">
      <c r="A17" s="219"/>
      <c r="B17" s="188"/>
      <c r="C17" s="5" t="s">
        <v>1085</v>
      </c>
      <c r="D17" s="5" t="s">
        <v>1299</v>
      </c>
      <c r="E17" s="5" t="s">
        <v>1203</v>
      </c>
      <c r="F17" s="5" t="s">
        <v>242</v>
      </c>
      <c r="G17" s="41" t="s">
        <v>242</v>
      </c>
      <c r="H17" s="5" t="s">
        <v>1154</v>
      </c>
      <c r="I17" s="47"/>
      <c r="J17" s="281"/>
      <c r="M17" s="181" t="s">
        <v>323</v>
      </c>
      <c r="N17" s="181"/>
      <c r="O17" s="181"/>
      <c r="P17" s="181"/>
      <c r="V17" t="s">
        <v>1189</v>
      </c>
      <c r="W17" t="s">
        <v>308</v>
      </c>
    </row>
    <row r="18" spans="1:23" ht="15.75">
      <c r="A18" s="220"/>
      <c r="B18" s="221"/>
      <c r="C18" s="51"/>
      <c r="D18" s="51" t="s">
        <v>1299</v>
      </c>
      <c r="E18" s="51" t="s">
        <v>1203</v>
      </c>
      <c r="F18" s="51" t="s">
        <v>242</v>
      </c>
      <c r="G18" s="41" t="s">
        <v>242</v>
      </c>
      <c r="H18" s="51" t="s">
        <v>401</v>
      </c>
      <c r="I18" s="52"/>
      <c r="J18" s="281"/>
      <c r="M18" s="181" t="s">
        <v>1095</v>
      </c>
      <c r="N18" s="181"/>
      <c r="O18" s="181"/>
      <c r="P18" s="181"/>
      <c r="V18" t="s">
        <v>1190</v>
      </c>
      <c r="W18" t="s">
        <v>302</v>
      </c>
    </row>
    <row r="19" spans="1:23" ht="15.75">
      <c r="A19" s="183" t="s">
        <v>916</v>
      </c>
      <c r="B19" s="218" t="s">
        <v>849</v>
      </c>
      <c r="C19" s="41" t="s">
        <v>1087</v>
      </c>
      <c r="D19" s="41" t="s">
        <v>1299</v>
      </c>
      <c r="E19" s="41" t="s">
        <v>1203</v>
      </c>
      <c r="F19" s="41" t="s">
        <v>242</v>
      </c>
      <c r="G19" s="41" t="s">
        <v>242</v>
      </c>
      <c r="H19" s="41" t="s">
        <v>795</v>
      </c>
      <c r="I19" s="42" t="s">
        <v>1151</v>
      </c>
      <c r="J19" s="281" t="s">
        <v>1288</v>
      </c>
      <c r="M19" s="181" t="s">
        <v>1096</v>
      </c>
      <c r="N19" s="181"/>
      <c r="O19" s="181"/>
      <c r="P19" s="181"/>
      <c r="V19" t="s">
        <v>1191</v>
      </c>
      <c r="W19" t="s">
        <v>300</v>
      </c>
    </row>
    <row r="20" spans="1:23" ht="15.75">
      <c r="A20" s="219"/>
      <c r="B20" s="188"/>
      <c r="C20" s="5" t="s">
        <v>1091</v>
      </c>
      <c r="D20" s="5" t="s">
        <v>1299</v>
      </c>
      <c r="E20" s="5" t="s">
        <v>1203</v>
      </c>
      <c r="F20" s="5" t="s">
        <v>242</v>
      </c>
      <c r="G20" s="41" t="s">
        <v>242</v>
      </c>
      <c r="H20" s="5" t="s">
        <v>401</v>
      </c>
      <c r="I20" s="47" t="s">
        <v>1155</v>
      </c>
      <c r="J20" s="281"/>
      <c r="M20" s="181" t="s">
        <v>1097</v>
      </c>
      <c r="N20" s="181"/>
      <c r="O20" s="181"/>
      <c r="P20" s="181"/>
      <c r="V20" t="s">
        <v>1192</v>
      </c>
      <c r="W20" t="s">
        <v>315</v>
      </c>
    </row>
    <row r="21" spans="1:23" ht="15.75">
      <c r="A21" s="219"/>
      <c r="B21" s="188"/>
      <c r="C21" s="5" t="s">
        <v>1092</v>
      </c>
      <c r="D21" s="5" t="s">
        <v>1299</v>
      </c>
      <c r="E21" s="5" t="s">
        <v>1203</v>
      </c>
      <c r="F21" s="5" t="s">
        <v>242</v>
      </c>
      <c r="G21" s="41" t="s">
        <v>242</v>
      </c>
      <c r="H21" s="5" t="s">
        <v>1154</v>
      </c>
      <c r="I21" s="47"/>
      <c r="J21" s="281"/>
      <c r="M21" s="181" t="s">
        <v>1098</v>
      </c>
      <c r="N21" s="181"/>
      <c r="O21" s="181"/>
      <c r="P21" s="181"/>
      <c r="U21" t="s">
        <v>1170</v>
      </c>
      <c r="V21" t="s">
        <v>1193</v>
      </c>
      <c r="W21" t="s">
        <v>330</v>
      </c>
    </row>
    <row r="22" spans="1:23" ht="15.75">
      <c r="A22" s="183" t="s">
        <v>980</v>
      </c>
      <c r="B22" s="218" t="s">
        <v>870</v>
      </c>
      <c r="C22" s="41" t="s">
        <v>1087</v>
      </c>
      <c r="D22" s="41" t="s">
        <v>1298</v>
      </c>
      <c r="E22" s="41" t="s">
        <v>1204</v>
      </c>
      <c r="F22" s="41" t="s">
        <v>242</v>
      </c>
      <c r="G22" s="41" t="s">
        <v>242</v>
      </c>
      <c r="H22" s="41" t="s">
        <v>795</v>
      </c>
      <c r="I22" s="42" t="s">
        <v>1151</v>
      </c>
      <c r="J22" s="281" t="s">
        <v>1289</v>
      </c>
      <c r="M22" s="181" t="s">
        <v>1100</v>
      </c>
      <c r="N22" s="181"/>
      <c r="O22" s="181"/>
      <c r="P22" s="181"/>
      <c r="W22" t="s">
        <v>1120</v>
      </c>
    </row>
    <row r="23" spans="1:23" ht="15.75">
      <c r="A23" s="219"/>
      <c r="B23" s="188"/>
      <c r="C23" s="5" t="s">
        <v>1093</v>
      </c>
      <c r="D23" s="5" t="s">
        <v>1298</v>
      </c>
      <c r="E23" s="5" t="s">
        <v>1204</v>
      </c>
      <c r="F23" s="5" t="s">
        <v>242</v>
      </c>
      <c r="G23" s="41" t="s">
        <v>242</v>
      </c>
      <c r="H23" s="5" t="s">
        <v>401</v>
      </c>
      <c r="I23" s="47"/>
      <c r="J23" s="281"/>
      <c r="M23" s="181" t="s">
        <v>1101</v>
      </c>
      <c r="N23" s="181"/>
      <c r="O23" s="181"/>
      <c r="P23" s="181"/>
      <c r="V23" t="s">
        <v>1194</v>
      </c>
      <c r="W23" t="s">
        <v>1130</v>
      </c>
    </row>
    <row r="24" spans="1:23" ht="15.75">
      <c r="A24" s="219"/>
      <c r="B24" s="188"/>
      <c r="C24" s="222" t="s">
        <v>1122</v>
      </c>
      <c r="D24" s="5" t="s">
        <v>1298</v>
      </c>
      <c r="E24" s="5" t="s">
        <v>1204</v>
      </c>
      <c r="F24" s="5" t="s">
        <v>242</v>
      </c>
      <c r="G24" s="41" t="s">
        <v>242</v>
      </c>
      <c r="H24" s="5" t="s">
        <v>1153</v>
      </c>
      <c r="I24" s="47"/>
      <c r="J24" s="281"/>
      <c r="M24" s="181" t="s">
        <v>1102</v>
      </c>
      <c r="N24" s="181"/>
      <c r="O24" s="181"/>
      <c r="P24" s="181"/>
      <c r="W24" t="s">
        <v>1131</v>
      </c>
    </row>
    <row r="25" spans="1:23" ht="15.75">
      <c r="A25" s="220"/>
      <c r="B25" s="221"/>
      <c r="C25" s="223" t="s">
        <v>1141</v>
      </c>
      <c r="D25" s="51" t="s">
        <v>1298</v>
      </c>
      <c r="E25" s="51" t="s">
        <v>1204</v>
      </c>
      <c r="F25" s="51" t="s">
        <v>242</v>
      </c>
      <c r="G25" s="41" t="s">
        <v>242</v>
      </c>
      <c r="H25" s="51" t="s">
        <v>1154</v>
      </c>
      <c r="I25" s="52"/>
      <c r="J25" s="281"/>
      <c r="M25" s="181" t="s">
        <v>1103</v>
      </c>
      <c r="N25" s="181"/>
      <c r="O25" s="181"/>
      <c r="P25" s="181"/>
      <c r="W25" t="s">
        <v>1132</v>
      </c>
    </row>
    <row r="26" spans="1:23" ht="30">
      <c r="A26" s="224" t="s">
        <v>981</v>
      </c>
      <c r="B26" s="225" t="s">
        <v>871</v>
      </c>
      <c r="C26" s="226" t="s">
        <v>1100</v>
      </c>
      <c r="D26" s="226" t="s">
        <v>1299</v>
      </c>
      <c r="E26" s="226" t="s">
        <v>1203</v>
      </c>
      <c r="F26" s="226" t="s">
        <v>242</v>
      </c>
      <c r="G26" s="41" t="s">
        <v>242</v>
      </c>
      <c r="H26" s="226" t="s">
        <v>795</v>
      </c>
      <c r="I26" s="227" t="s">
        <v>1151</v>
      </c>
      <c r="J26" s="247" t="s">
        <v>1290</v>
      </c>
      <c r="M26" s="181" t="s">
        <v>1104</v>
      </c>
      <c r="N26" s="181"/>
      <c r="O26" s="181"/>
      <c r="P26" s="181"/>
      <c r="U26" t="s">
        <v>1171</v>
      </c>
      <c r="V26" t="s">
        <v>1195</v>
      </c>
      <c r="W26" t="s">
        <v>1114</v>
      </c>
    </row>
    <row r="27" spans="1:23" ht="15.75">
      <c r="A27" s="183" t="s">
        <v>982</v>
      </c>
      <c r="B27" s="218" t="s">
        <v>872</v>
      </c>
      <c r="C27" s="41" t="s">
        <v>1088</v>
      </c>
      <c r="D27" s="41" t="s">
        <v>1299</v>
      </c>
      <c r="E27" s="41" t="s">
        <v>1204</v>
      </c>
      <c r="F27" s="41" t="s">
        <v>242</v>
      </c>
      <c r="G27" s="41" t="s">
        <v>242</v>
      </c>
      <c r="H27" s="41" t="s">
        <v>795</v>
      </c>
      <c r="I27" s="42" t="s">
        <v>1151</v>
      </c>
      <c r="J27" s="281" t="s">
        <v>1290</v>
      </c>
      <c r="M27" s="181" t="s">
        <v>1105</v>
      </c>
      <c r="N27" s="181"/>
      <c r="O27" s="181"/>
      <c r="P27" s="181"/>
      <c r="W27" t="s">
        <v>1115</v>
      </c>
    </row>
    <row r="28" spans="1:23" ht="15.75">
      <c r="A28" s="219"/>
      <c r="B28" s="188"/>
      <c r="C28" s="5" t="s">
        <v>1099</v>
      </c>
      <c r="D28" s="5" t="s">
        <v>1299</v>
      </c>
      <c r="E28" s="5" t="s">
        <v>1203</v>
      </c>
      <c r="F28" s="5" t="s">
        <v>242</v>
      </c>
      <c r="G28" s="41" t="s">
        <v>242</v>
      </c>
      <c r="H28" s="5"/>
      <c r="I28" s="47"/>
      <c r="J28" s="281"/>
      <c r="M28" s="181" t="s">
        <v>1106</v>
      </c>
      <c r="N28" s="181"/>
      <c r="O28" s="181"/>
      <c r="P28" s="181"/>
      <c r="W28" t="s">
        <v>1116</v>
      </c>
    </row>
    <row r="29" spans="1:23" ht="15.75">
      <c r="A29" s="219"/>
      <c r="B29" s="188"/>
      <c r="C29" s="5" t="s">
        <v>1100</v>
      </c>
      <c r="D29" s="5" t="s">
        <v>1299</v>
      </c>
      <c r="E29" s="5" t="s">
        <v>1203</v>
      </c>
      <c r="F29" s="5" t="s">
        <v>242</v>
      </c>
      <c r="G29" s="41" t="s">
        <v>242</v>
      </c>
      <c r="H29" s="5"/>
      <c r="I29" s="47"/>
      <c r="J29" s="281"/>
      <c r="M29" s="181" t="s">
        <v>1107</v>
      </c>
      <c r="N29" s="181"/>
      <c r="O29" s="181"/>
      <c r="P29" s="181"/>
      <c r="V29" t="s">
        <v>1196</v>
      </c>
      <c r="W29" t="s">
        <v>1090</v>
      </c>
    </row>
    <row r="30" spans="1:23" ht="15.75">
      <c r="A30" s="219"/>
      <c r="B30" s="188"/>
      <c r="C30" s="5" t="s">
        <v>1105</v>
      </c>
      <c r="D30" s="5" t="s">
        <v>1299</v>
      </c>
      <c r="E30" s="5" t="s">
        <v>1203</v>
      </c>
      <c r="F30" s="5" t="s">
        <v>242</v>
      </c>
      <c r="G30" s="41" t="s">
        <v>242</v>
      </c>
      <c r="H30" s="5"/>
      <c r="I30" s="47"/>
      <c r="J30" s="281"/>
      <c r="M30" s="181" t="s">
        <v>1108</v>
      </c>
      <c r="N30" s="181"/>
      <c r="O30" s="181"/>
      <c r="P30" s="181"/>
      <c r="W30" t="s">
        <v>1087</v>
      </c>
    </row>
    <row r="31" spans="1:23" ht="15.75">
      <c r="A31" s="219"/>
      <c r="B31" s="188"/>
      <c r="C31" s="5" t="s">
        <v>1102</v>
      </c>
      <c r="D31" s="5" t="s">
        <v>1299</v>
      </c>
      <c r="E31" s="5" t="s">
        <v>1203</v>
      </c>
      <c r="F31" s="5" t="s">
        <v>242</v>
      </c>
      <c r="G31" s="41" t="s">
        <v>242</v>
      </c>
      <c r="H31" s="5"/>
      <c r="I31" s="47"/>
      <c r="J31" s="281"/>
      <c r="M31" s="181" t="s">
        <v>1109</v>
      </c>
      <c r="N31" s="181"/>
      <c r="O31" s="181"/>
      <c r="P31" s="181"/>
      <c r="W31" t="s">
        <v>1088</v>
      </c>
    </row>
    <row r="32" spans="1:23" ht="15.75">
      <c r="A32" s="220"/>
      <c r="B32" s="221"/>
      <c r="C32" s="51" t="s">
        <v>1107</v>
      </c>
      <c r="D32" s="51" t="s">
        <v>1299</v>
      </c>
      <c r="E32" s="51" t="s">
        <v>1203</v>
      </c>
      <c r="F32" s="51" t="s">
        <v>242</v>
      </c>
      <c r="G32" s="41" t="s">
        <v>242</v>
      </c>
      <c r="H32" s="51"/>
      <c r="I32" s="52"/>
      <c r="J32" s="281"/>
      <c r="M32" s="181" t="s">
        <v>1282</v>
      </c>
      <c r="N32" s="181"/>
      <c r="O32" s="181"/>
      <c r="P32" s="181"/>
    </row>
    <row r="33" spans="1:23" ht="15.75">
      <c r="A33" s="183" t="s">
        <v>983</v>
      </c>
      <c r="B33" s="218" t="s">
        <v>873</v>
      </c>
      <c r="C33" s="41" t="s">
        <v>1085</v>
      </c>
      <c r="D33" s="41" t="s">
        <v>1298</v>
      </c>
      <c r="E33" s="41" t="s">
        <v>1203</v>
      </c>
      <c r="F33" s="41" t="s">
        <v>242</v>
      </c>
      <c r="G33" s="41" t="s">
        <v>242</v>
      </c>
      <c r="H33" s="41" t="s">
        <v>795</v>
      </c>
      <c r="I33" s="42" t="s">
        <v>1151</v>
      </c>
      <c r="J33" s="281" t="s">
        <v>1291</v>
      </c>
      <c r="M33" s="181" t="s">
        <v>1110</v>
      </c>
      <c r="N33" s="181"/>
      <c r="O33" s="181"/>
      <c r="P33" s="181"/>
      <c r="U33" t="s">
        <v>1172</v>
      </c>
      <c r="V33" t="s">
        <v>1197</v>
      </c>
      <c r="W33" t="s">
        <v>1133</v>
      </c>
    </row>
    <row r="34" spans="1:23" ht="15.75">
      <c r="A34" s="220"/>
      <c r="B34" s="221"/>
      <c r="C34" s="51" t="s">
        <v>333</v>
      </c>
      <c r="D34" s="51" t="s">
        <v>1298</v>
      </c>
      <c r="E34" s="51" t="s">
        <v>1203</v>
      </c>
      <c r="F34" s="51" t="s">
        <v>242</v>
      </c>
      <c r="G34" s="41" t="s">
        <v>242</v>
      </c>
      <c r="H34" s="51"/>
      <c r="I34" s="52"/>
      <c r="J34" s="281"/>
      <c r="M34" s="181" t="s">
        <v>1111</v>
      </c>
      <c r="N34" s="181"/>
      <c r="O34" s="181"/>
      <c r="P34" s="181"/>
      <c r="W34" t="s">
        <v>1198</v>
      </c>
    </row>
    <row r="35" spans="1:23" ht="15.75">
      <c r="A35" s="183" t="s">
        <v>984</v>
      </c>
      <c r="B35" s="218" t="s">
        <v>874</v>
      </c>
      <c r="C35" s="41" t="s">
        <v>1088</v>
      </c>
      <c r="D35" s="41" t="s">
        <v>1299</v>
      </c>
      <c r="E35" s="41" t="s">
        <v>1203</v>
      </c>
      <c r="F35" s="41" t="s">
        <v>242</v>
      </c>
      <c r="G35" s="41" t="s">
        <v>242</v>
      </c>
      <c r="H35" s="41" t="s">
        <v>795</v>
      </c>
      <c r="I35" s="42" t="s">
        <v>1151</v>
      </c>
      <c r="J35" s="281" t="s">
        <v>1292</v>
      </c>
      <c r="M35" s="181" t="s">
        <v>1112</v>
      </c>
      <c r="N35" s="181"/>
      <c r="O35" s="181"/>
      <c r="P35" s="181"/>
      <c r="V35" t="s">
        <v>1199</v>
      </c>
      <c r="W35" t="s">
        <v>1139</v>
      </c>
    </row>
    <row r="36" spans="1:23" ht="15.75">
      <c r="A36" s="219"/>
      <c r="B36" s="188"/>
      <c r="C36" s="5" t="s">
        <v>1099</v>
      </c>
      <c r="D36" s="5" t="s">
        <v>1299</v>
      </c>
      <c r="E36" s="5" t="s">
        <v>1203</v>
      </c>
      <c r="F36" s="5" t="s">
        <v>242</v>
      </c>
      <c r="G36" s="41" t="s">
        <v>242</v>
      </c>
      <c r="H36" s="5" t="s">
        <v>1153</v>
      </c>
      <c r="I36" s="47"/>
      <c r="J36" s="281"/>
      <c r="M36" s="181" t="s">
        <v>1113</v>
      </c>
      <c r="N36" s="181"/>
      <c r="O36" s="181"/>
      <c r="P36" s="181"/>
      <c r="W36" t="s">
        <v>1140</v>
      </c>
    </row>
    <row r="37" spans="1:23" ht="30">
      <c r="A37" s="224" t="s">
        <v>1034</v>
      </c>
      <c r="B37" s="225" t="s">
        <v>869</v>
      </c>
      <c r="C37" s="226" t="s">
        <v>325</v>
      </c>
      <c r="D37" s="226" t="s">
        <v>1298</v>
      </c>
      <c r="E37" s="226" t="s">
        <v>242</v>
      </c>
      <c r="F37" s="226" t="s">
        <v>242</v>
      </c>
      <c r="G37" s="41" t="s">
        <v>242</v>
      </c>
      <c r="H37" s="226" t="s">
        <v>795</v>
      </c>
      <c r="I37" s="227" t="s">
        <v>1151</v>
      </c>
      <c r="J37" s="26" t="s">
        <v>1293</v>
      </c>
      <c r="M37" s="181" t="s">
        <v>1116</v>
      </c>
      <c r="N37" s="181"/>
      <c r="O37" s="181"/>
      <c r="P37" s="181"/>
    </row>
    <row r="38" spans="1:23" ht="15.75">
      <c r="A38" s="40" t="s">
        <v>893</v>
      </c>
      <c r="B38" s="228" t="s">
        <v>863</v>
      </c>
      <c r="C38" s="41" t="s">
        <v>1097</v>
      </c>
      <c r="D38" s="41" t="s">
        <v>1298</v>
      </c>
      <c r="E38" s="41" t="s">
        <v>1204</v>
      </c>
      <c r="F38" s="41" t="s">
        <v>242</v>
      </c>
      <c r="G38" s="41" t="s">
        <v>242</v>
      </c>
      <c r="H38" s="41" t="s">
        <v>401</v>
      </c>
      <c r="I38" s="42" t="s">
        <v>1155</v>
      </c>
      <c r="J38" s="281" t="s">
        <v>1294</v>
      </c>
      <c r="M38" s="181" t="s">
        <v>1117</v>
      </c>
      <c r="N38" s="181"/>
      <c r="O38" s="181"/>
      <c r="P38" s="181"/>
    </row>
    <row r="39" spans="1:23" ht="15.75">
      <c r="A39" s="49"/>
      <c r="B39" s="229"/>
      <c r="C39" s="51" t="s">
        <v>1098</v>
      </c>
      <c r="D39" s="51" t="s">
        <v>1298</v>
      </c>
      <c r="E39" s="51" t="s">
        <v>1204</v>
      </c>
      <c r="F39" s="51" t="s">
        <v>242</v>
      </c>
      <c r="G39" s="41" t="s">
        <v>242</v>
      </c>
      <c r="H39" s="51"/>
      <c r="I39" s="52"/>
      <c r="J39" s="281"/>
      <c r="M39" s="181" t="s">
        <v>320</v>
      </c>
      <c r="N39" s="181"/>
      <c r="O39" s="181"/>
      <c r="P39" s="181"/>
    </row>
    <row r="40" spans="1:23" ht="15.75">
      <c r="A40" s="40" t="s">
        <v>896</v>
      </c>
      <c r="B40" s="230" t="s">
        <v>897</v>
      </c>
      <c r="C40" s="41" t="s">
        <v>1083</v>
      </c>
      <c r="D40" s="41" t="s">
        <v>1299</v>
      </c>
      <c r="E40" s="41" t="s">
        <v>1204</v>
      </c>
      <c r="F40" s="41" t="s">
        <v>242</v>
      </c>
      <c r="G40" s="41" t="s">
        <v>242</v>
      </c>
      <c r="H40" s="41" t="s">
        <v>401</v>
      </c>
      <c r="I40" s="42" t="s">
        <v>1155</v>
      </c>
      <c r="J40" s="281" t="s">
        <v>1300</v>
      </c>
      <c r="M40" s="181" t="s">
        <v>317</v>
      </c>
      <c r="N40" s="181"/>
      <c r="O40" s="181"/>
      <c r="P40" s="181"/>
    </row>
    <row r="41" spans="1:23" ht="15.75">
      <c r="A41" s="45"/>
      <c r="B41" s="189"/>
      <c r="C41" s="5" t="s">
        <v>1085</v>
      </c>
      <c r="D41" s="5" t="s">
        <v>1299</v>
      </c>
      <c r="E41" s="5" t="s">
        <v>1204</v>
      </c>
      <c r="F41" s="5" t="s">
        <v>242</v>
      </c>
      <c r="G41" s="41" t="s">
        <v>242</v>
      </c>
      <c r="H41" s="5"/>
      <c r="I41" s="47"/>
      <c r="J41" s="281"/>
      <c r="M41" s="181" t="s">
        <v>1118</v>
      </c>
      <c r="N41" s="181"/>
      <c r="O41" s="181"/>
      <c r="P41" s="181"/>
    </row>
    <row r="42" spans="1:23" ht="15.75">
      <c r="A42" s="45"/>
      <c r="B42" s="189"/>
      <c r="C42" s="5" t="s">
        <v>333</v>
      </c>
      <c r="D42" s="5" t="s">
        <v>1299</v>
      </c>
      <c r="E42" s="5" t="s">
        <v>1204</v>
      </c>
      <c r="F42" s="5" t="s">
        <v>242</v>
      </c>
      <c r="G42" s="41" t="s">
        <v>242</v>
      </c>
      <c r="H42" s="5"/>
      <c r="I42" s="47"/>
      <c r="J42" s="281"/>
      <c r="M42" s="181" t="s">
        <v>1119</v>
      </c>
      <c r="N42" s="181"/>
      <c r="O42" s="181"/>
      <c r="P42" s="181"/>
    </row>
    <row r="43" spans="1:23" ht="15.75">
      <c r="A43" s="45"/>
      <c r="B43" s="189"/>
      <c r="C43" s="5" t="s">
        <v>1087</v>
      </c>
      <c r="D43" s="5" t="s">
        <v>1299</v>
      </c>
      <c r="E43" s="5" t="s">
        <v>1204</v>
      </c>
      <c r="F43" s="5" t="s">
        <v>242</v>
      </c>
      <c r="G43" s="41" t="s">
        <v>242</v>
      </c>
      <c r="H43" s="5"/>
      <c r="I43" s="47"/>
      <c r="J43" s="281"/>
      <c r="M43" s="181" t="s">
        <v>1120</v>
      </c>
      <c r="N43" s="181"/>
      <c r="O43" s="181"/>
      <c r="P43" s="181"/>
    </row>
    <row r="44" spans="1:23" ht="15.75">
      <c r="A44" s="45"/>
      <c r="B44" s="189"/>
      <c r="C44" s="5" t="s">
        <v>1088</v>
      </c>
      <c r="D44" s="5" t="s">
        <v>1299</v>
      </c>
      <c r="E44" s="5" t="s">
        <v>1204</v>
      </c>
      <c r="F44" s="5" t="s">
        <v>242</v>
      </c>
      <c r="G44" s="41" t="s">
        <v>242</v>
      </c>
      <c r="H44" s="5"/>
      <c r="I44" s="47"/>
      <c r="J44" s="281"/>
      <c r="M44" s="181" t="s">
        <v>1121</v>
      </c>
      <c r="N44" s="181"/>
      <c r="O44" s="181"/>
      <c r="P44" s="181"/>
    </row>
    <row r="45" spans="1:23" ht="15.75">
      <c r="A45" s="49"/>
      <c r="B45" s="231"/>
      <c r="C45" s="51" t="s">
        <v>1097</v>
      </c>
      <c r="D45" s="51" t="s">
        <v>1299</v>
      </c>
      <c r="E45" s="51" t="s">
        <v>1204</v>
      </c>
      <c r="F45" s="51" t="s">
        <v>242</v>
      </c>
      <c r="G45" s="41" t="s">
        <v>242</v>
      </c>
      <c r="H45" s="51"/>
      <c r="I45" s="52"/>
      <c r="J45" s="281"/>
      <c r="M45" s="181" t="s">
        <v>334</v>
      </c>
      <c r="N45" s="181"/>
      <c r="O45" s="181"/>
      <c r="P45" s="181"/>
    </row>
    <row r="46" spans="1:23" ht="15.75">
      <c r="A46" s="40" t="s">
        <v>901</v>
      </c>
      <c r="B46" s="230" t="s">
        <v>902</v>
      </c>
      <c r="C46" s="41" t="s">
        <v>1096</v>
      </c>
      <c r="D46" s="41" t="s">
        <v>1299</v>
      </c>
      <c r="E46" s="41" t="s">
        <v>1204</v>
      </c>
      <c r="F46" s="41" t="s">
        <v>242</v>
      </c>
      <c r="G46" s="41" t="s">
        <v>242</v>
      </c>
      <c r="H46" s="41" t="s">
        <v>401</v>
      </c>
      <c r="I46" s="42" t="s">
        <v>1155</v>
      </c>
      <c r="J46" s="281"/>
      <c r="M46" s="181" t="s">
        <v>330</v>
      </c>
      <c r="N46" s="181"/>
      <c r="O46" s="181"/>
      <c r="P46" s="181"/>
    </row>
    <row r="47" spans="1:23" ht="15.75">
      <c r="A47" s="45"/>
      <c r="B47" s="189"/>
      <c r="C47" s="5" t="s">
        <v>1098</v>
      </c>
      <c r="D47" s="5" t="s">
        <v>1299</v>
      </c>
      <c r="E47" s="5" t="s">
        <v>1203</v>
      </c>
      <c r="F47" s="5" t="s">
        <v>242</v>
      </c>
      <c r="G47" s="41" t="s">
        <v>242</v>
      </c>
      <c r="H47" s="5"/>
      <c r="I47" s="47"/>
      <c r="J47" s="281"/>
      <c r="M47" s="181" t="s">
        <v>1122</v>
      </c>
      <c r="N47" s="181"/>
      <c r="O47" s="181"/>
      <c r="P47" s="181"/>
    </row>
    <row r="48" spans="1:23" ht="15.75">
      <c r="A48" s="49"/>
      <c r="B48" s="231"/>
      <c r="C48" s="51" t="s">
        <v>1097</v>
      </c>
      <c r="D48" s="51" t="s">
        <v>1299</v>
      </c>
      <c r="E48" s="51" t="s">
        <v>1204</v>
      </c>
      <c r="F48" s="51" t="s">
        <v>242</v>
      </c>
      <c r="G48" s="41" t="s">
        <v>242</v>
      </c>
      <c r="H48" s="51"/>
      <c r="I48" s="52"/>
      <c r="J48" s="281"/>
      <c r="M48" s="181" t="s">
        <v>1123</v>
      </c>
      <c r="N48" s="181"/>
      <c r="O48" s="181"/>
      <c r="P48" s="181"/>
    </row>
    <row r="49" spans="1:16" ht="15.75">
      <c r="A49" s="40" t="s">
        <v>904</v>
      </c>
      <c r="B49" s="230" t="s">
        <v>905</v>
      </c>
      <c r="C49" s="41" t="s">
        <v>1096</v>
      </c>
      <c r="D49" s="41" t="s">
        <v>1299</v>
      </c>
      <c r="E49" s="41" t="s">
        <v>1204</v>
      </c>
      <c r="F49" s="41" t="s">
        <v>242</v>
      </c>
      <c r="G49" s="41" t="s">
        <v>242</v>
      </c>
      <c r="H49" s="41" t="s">
        <v>401</v>
      </c>
      <c r="I49" s="42" t="s">
        <v>1155</v>
      </c>
      <c r="J49" s="281"/>
      <c r="M49" s="181" t="s">
        <v>1124</v>
      </c>
      <c r="N49" s="181"/>
      <c r="O49" s="181"/>
      <c r="P49" s="181"/>
    </row>
    <row r="50" spans="1:16" ht="15.75">
      <c r="A50" s="45"/>
      <c r="B50" s="189"/>
      <c r="C50" s="5" t="s">
        <v>1097</v>
      </c>
      <c r="D50" s="5" t="s">
        <v>1299</v>
      </c>
      <c r="E50" s="5" t="s">
        <v>1204</v>
      </c>
      <c r="F50" s="5" t="s">
        <v>242</v>
      </c>
      <c r="G50" s="41" t="s">
        <v>242</v>
      </c>
      <c r="H50" s="5"/>
      <c r="I50" s="47"/>
      <c r="J50" s="281"/>
      <c r="M50" s="181" t="s">
        <v>1125</v>
      </c>
      <c r="N50" s="181"/>
      <c r="O50" s="181"/>
      <c r="P50" s="181"/>
    </row>
    <row r="51" spans="1:16" ht="15.75">
      <c r="A51" s="45"/>
      <c r="B51" s="189"/>
      <c r="C51" s="5" t="s">
        <v>1098</v>
      </c>
      <c r="D51" s="5" t="s">
        <v>1299</v>
      </c>
      <c r="E51" s="5" t="s">
        <v>1204</v>
      </c>
      <c r="F51" s="5" t="s">
        <v>242</v>
      </c>
      <c r="G51" s="41" t="s">
        <v>242</v>
      </c>
      <c r="H51" s="5"/>
      <c r="I51" s="47"/>
      <c r="J51" s="281"/>
      <c r="M51" s="181" t="s">
        <v>1126</v>
      </c>
      <c r="N51" s="181"/>
      <c r="O51" s="181"/>
      <c r="P51" s="181"/>
    </row>
    <row r="52" spans="1:16" ht="15.75">
      <c r="A52" s="45"/>
      <c r="B52" s="189"/>
      <c r="C52" s="5" t="s">
        <v>1084</v>
      </c>
      <c r="D52" s="5" t="s">
        <v>1299</v>
      </c>
      <c r="E52" s="5" t="s">
        <v>1204</v>
      </c>
      <c r="F52" s="5" t="s">
        <v>242</v>
      </c>
      <c r="G52" s="41" t="s">
        <v>242</v>
      </c>
      <c r="H52" s="5"/>
      <c r="I52" s="47"/>
      <c r="J52" s="281"/>
      <c r="M52" s="181" t="s">
        <v>1127</v>
      </c>
      <c r="N52" s="181"/>
      <c r="O52" s="181"/>
      <c r="P52" s="181"/>
    </row>
    <row r="53" spans="1:16" ht="15.75">
      <c r="A53" s="49"/>
      <c r="B53" s="231"/>
      <c r="C53" s="51" t="s">
        <v>1085</v>
      </c>
      <c r="D53" s="51" t="s">
        <v>1299</v>
      </c>
      <c r="E53" s="51" t="s">
        <v>1204</v>
      </c>
      <c r="F53" s="51" t="s">
        <v>242</v>
      </c>
      <c r="G53" s="41" t="s">
        <v>242</v>
      </c>
      <c r="H53" s="51"/>
      <c r="I53" s="52"/>
      <c r="J53" s="281"/>
      <c r="M53" s="181" t="s">
        <v>326</v>
      </c>
      <c r="N53" s="181"/>
      <c r="O53" s="181"/>
      <c r="P53" s="181"/>
    </row>
    <row r="54" spans="1:16" ht="15.75">
      <c r="A54" s="40" t="s">
        <v>1283</v>
      </c>
      <c r="B54" s="230" t="s">
        <v>845</v>
      </c>
      <c r="C54" s="41" t="s">
        <v>1091</v>
      </c>
      <c r="D54" s="41" t="s">
        <v>1298</v>
      </c>
      <c r="E54" s="41" t="s">
        <v>1203</v>
      </c>
      <c r="F54" s="41" t="s">
        <v>242</v>
      </c>
      <c r="G54" s="41" t="s">
        <v>242</v>
      </c>
      <c r="H54" s="41" t="s">
        <v>401</v>
      </c>
      <c r="I54" s="42" t="s">
        <v>1155</v>
      </c>
      <c r="J54" s="281" t="s">
        <v>1295</v>
      </c>
      <c r="M54" s="181" t="s">
        <v>1128</v>
      </c>
      <c r="N54" s="181"/>
      <c r="O54" s="181"/>
      <c r="P54" s="181"/>
    </row>
    <row r="55" spans="1:16" ht="15.75">
      <c r="A55" s="49"/>
      <c r="B55" s="231"/>
      <c r="C55" s="51" t="s">
        <v>1092</v>
      </c>
      <c r="D55" s="51" t="s">
        <v>1298</v>
      </c>
      <c r="E55" s="51" t="s">
        <v>1203</v>
      </c>
      <c r="F55" s="51" t="s">
        <v>242</v>
      </c>
      <c r="G55" s="41" t="s">
        <v>242</v>
      </c>
      <c r="H55" s="51" t="s">
        <v>1154</v>
      </c>
      <c r="I55" s="52"/>
      <c r="J55" s="281"/>
      <c r="M55" s="181" t="s">
        <v>1129</v>
      </c>
      <c r="N55" s="181"/>
      <c r="O55" s="181"/>
      <c r="P55" s="181"/>
    </row>
    <row r="56" spans="1:16" ht="31.5">
      <c r="A56" s="40" t="s">
        <v>910</v>
      </c>
      <c r="B56" s="230" t="s">
        <v>911</v>
      </c>
      <c r="C56" s="41" t="s">
        <v>1087</v>
      </c>
      <c r="D56" s="41" t="s">
        <v>1299</v>
      </c>
      <c r="E56" s="41" t="s">
        <v>1203</v>
      </c>
      <c r="F56" s="41" t="s">
        <v>242</v>
      </c>
      <c r="G56" s="41" t="s">
        <v>242</v>
      </c>
      <c r="H56" s="41" t="s">
        <v>401</v>
      </c>
      <c r="I56" s="42" t="s">
        <v>1155</v>
      </c>
      <c r="J56" s="281" t="s">
        <v>1296</v>
      </c>
      <c r="M56" s="181" t="s">
        <v>1130</v>
      </c>
      <c r="N56" s="181"/>
      <c r="O56" s="181"/>
      <c r="P56" s="181"/>
    </row>
    <row r="57" spans="1:16" ht="15.75">
      <c r="A57" s="45"/>
      <c r="B57" s="189"/>
      <c r="C57" s="5" t="s">
        <v>1088</v>
      </c>
      <c r="D57" s="5" t="s">
        <v>1299</v>
      </c>
      <c r="E57" s="5" t="s">
        <v>1203</v>
      </c>
      <c r="F57" s="5" t="s">
        <v>242</v>
      </c>
      <c r="G57" s="41" t="s">
        <v>242</v>
      </c>
      <c r="H57" s="5"/>
      <c r="I57" s="47"/>
      <c r="J57" s="281"/>
      <c r="M57" s="181" t="s">
        <v>1131</v>
      </c>
      <c r="N57" s="181"/>
      <c r="O57" s="181"/>
      <c r="P57" s="181"/>
    </row>
    <row r="58" spans="1:16" ht="15.75">
      <c r="A58" s="45"/>
      <c r="B58" s="189"/>
      <c r="C58" s="5" t="s">
        <v>1091</v>
      </c>
      <c r="D58" s="5" t="s">
        <v>1299</v>
      </c>
      <c r="E58" s="5" t="s">
        <v>1203</v>
      </c>
      <c r="F58" s="5" t="s">
        <v>242</v>
      </c>
      <c r="G58" s="41" t="s">
        <v>242</v>
      </c>
      <c r="H58" s="5"/>
      <c r="I58" s="47"/>
      <c r="J58" s="281"/>
      <c r="M58" s="181" t="s">
        <v>1132</v>
      </c>
      <c r="N58" s="181"/>
      <c r="O58" s="181"/>
      <c r="P58" s="181"/>
    </row>
    <row r="59" spans="1:16" ht="15.75">
      <c r="A59" s="49"/>
      <c r="B59" s="231"/>
      <c r="C59" s="51" t="s">
        <v>1092</v>
      </c>
      <c r="D59" s="51" t="s">
        <v>1299</v>
      </c>
      <c r="E59" s="51" t="s">
        <v>1203</v>
      </c>
      <c r="F59" s="51" t="s">
        <v>242</v>
      </c>
      <c r="G59" s="41" t="s">
        <v>242</v>
      </c>
      <c r="H59" s="51"/>
      <c r="I59" s="52"/>
      <c r="J59" s="281"/>
      <c r="M59" s="181" t="s">
        <v>1133</v>
      </c>
      <c r="N59" s="181"/>
      <c r="O59" s="181"/>
      <c r="P59" s="181"/>
    </row>
    <row r="60" spans="1:16" ht="15.75">
      <c r="A60" s="40" t="s">
        <v>912</v>
      </c>
      <c r="B60" s="230" t="s">
        <v>847</v>
      </c>
      <c r="C60" s="41" t="s">
        <v>333</v>
      </c>
      <c r="D60" s="41" t="s">
        <v>1299</v>
      </c>
      <c r="E60" s="41" t="s">
        <v>1203</v>
      </c>
      <c r="F60" s="41" t="s">
        <v>242</v>
      </c>
      <c r="G60" s="41" t="s">
        <v>242</v>
      </c>
      <c r="H60" s="41" t="s">
        <v>401</v>
      </c>
      <c r="I60" s="42" t="s">
        <v>1155</v>
      </c>
      <c r="J60" s="281"/>
      <c r="M60" s="181" t="s">
        <v>1134</v>
      </c>
      <c r="N60" s="181"/>
      <c r="O60" s="181"/>
      <c r="P60" s="181"/>
    </row>
    <row r="61" spans="1:16" ht="15.75">
      <c r="A61" s="45"/>
      <c r="B61" s="189"/>
      <c r="C61" s="5" t="s">
        <v>1085</v>
      </c>
      <c r="D61" s="5" t="s">
        <v>1299</v>
      </c>
      <c r="E61" s="5" t="s">
        <v>1203</v>
      </c>
      <c r="F61" s="5" t="s">
        <v>242</v>
      </c>
      <c r="G61" s="41" t="s">
        <v>242</v>
      </c>
      <c r="H61" s="5"/>
      <c r="I61" s="47"/>
      <c r="J61" s="281"/>
      <c r="M61" s="181" t="s">
        <v>1135</v>
      </c>
      <c r="N61" s="181"/>
      <c r="O61" s="181"/>
      <c r="P61" s="181"/>
    </row>
    <row r="62" spans="1:16" ht="15.75">
      <c r="A62" s="45"/>
      <c r="B62" s="189"/>
      <c r="C62" s="5" t="s">
        <v>1086</v>
      </c>
      <c r="D62" s="5" t="s">
        <v>1299</v>
      </c>
      <c r="E62" s="5" t="s">
        <v>1203</v>
      </c>
      <c r="F62" s="5" t="s">
        <v>242</v>
      </c>
      <c r="G62" s="41" t="s">
        <v>242</v>
      </c>
      <c r="H62" s="5"/>
      <c r="I62" s="47"/>
      <c r="J62" s="281"/>
      <c r="M62" s="181" t="s">
        <v>1136</v>
      </c>
      <c r="N62" s="181"/>
      <c r="O62" s="181"/>
      <c r="P62" s="181"/>
    </row>
    <row r="63" spans="1:16" ht="15.75">
      <c r="A63" s="45"/>
      <c r="B63" s="189"/>
      <c r="C63" s="5" t="s">
        <v>1082</v>
      </c>
      <c r="D63" s="5" t="s">
        <v>1299</v>
      </c>
      <c r="E63" s="5" t="s">
        <v>1203</v>
      </c>
      <c r="F63" s="5" t="s">
        <v>242</v>
      </c>
      <c r="G63" s="41" t="s">
        <v>242</v>
      </c>
      <c r="H63" s="5"/>
      <c r="I63" s="47"/>
      <c r="J63" s="281"/>
      <c r="M63" s="181" t="s">
        <v>1137</v>
      </c>
      <c r="N63" s="181"/>
      <c r="O63" s="181"/>
      <c r="P63" s="181"/>
    </row>
    <row r="64" spans="1:16" ht="15.75">
      <c r="A64" s="49"/>
      <c r="B64" s="231"/>
      <c r="C64" s="51" t="s">
        <v>1084</v>
      </c>
      <c r="D64" s="51" t="s">
        <v>1299</v>
      </c>
      <c r="E64" s="51" t="s">
        <v>1203</v>
      </c>
      <c r="F64" s="51" t="s">
        <v>242</v>
      </c>
      <c r="G64" s="41" t="s">
        <v>242</v>
      </c>
      <c r="H64" s="51"/>
      <c r="I64" s="52"/>
      <c r="J64" s="281"/>
      <c r="M64" s="181" t="s">
        <v>1138</v>
      </c>
      <c r="N64" s="181"/>
      <c r="O64" s="181"/>
      <c r="P64" s="181"/>
    </row>
    <row r="65" spans="1:16" ht="15.75">
      <c r="A65" s="40" t="s">
        <v>914</v>
      </c>
      <c r="B65" s="230" t="s">
        <v>848</v>
      </c>
      <c r="C65" s="41" t="s">
        <v>333</v>
      </c>
      <c r="D65" s="41" t="s">
        <v>1298</v>
      </c>
      <c r="E65" s="41" t="s">
        <v>242</v>
      </c>
      <c r="F65" s="41" t="s">
        <v>242</v>
      </c>
      <c r="G65" s="41" t="s">
        <v>242</v>
      </c>
      <c r="H65" s="41" t="s">
        <v>401</v>
      </c>
      <c r="I65" s="42" t="s">
        <v>1155</v>
      </c>
      <c r="J65" s="281"/>
      <c r="M65" s="181" t="s">
        <v>1139</v>
      </c>
      <c r="N65" s="181"/>
      <c r="O65" s="181"/>
      <c r="P65" s="181"/>
    </row>
    <row r="66" spans="1:16" ht="15.75">
      <c r="A66" s="45"/>
      <c r="B66" s="189"/>
      <c r="C66" s="5" t="s">
        <v>1089</v>
      </c>
      <c r="D66" s="5" t="s">
        <v>1298</v>
      </c>
      <c r="E66" s="5" t="s">
        <v>242</v>
      </c>
      <c r="F66" s="5" t="s">
        <v>242</v>
      </c>
      <c r="G66" s="41" t="s">
        <v>242</v>
      </c>
      <c r="H66" s="5" t="s">
        <v>1153</v>
      </c>
      <c r="I66" s="47"/>
      <c r="J66" s="281"/>
      <c r="M66" s="181" t="s">
        <v>1140</v>
      </c>
      <c r="N66" s="181"/>
      <c r="O66" s="181"/>
      <c r="P66" s="181"/>
    </row>
    <row r="67" spans="1:16" ht="15.75">
      <c r="A67" s="49"/>
      <c r="B67" s="231"/>
      <c r="C67" s="51" t="s">
        <v>1099</v>
      </c>
      <c r="D67" s="51" t="s">
        <v>1298</v>
      </c>
      <c r="E67" s="51" t="s">
        <v>242</v>
      </c>
      <c r="F67" s="51" t="s">
        <v>242</v>
      </c>
      <c r="G67" s="41" t="s">
        <v>242</v>
      </c>
      <c r="H67" s="51" t="s">
        <v>1152</v>
      </c>
      <c r="I67" s="52"/>
      <c r="J67" s="281"/>
      <c r="M67" s="181" t="s">
        <v>1141</v>
      </c>
      <c r="N67" s="181"/>
      <c r="O67" s="181"/>
      <c r="P67" s="181"/>
    </row>
    <row r="68" spans="1:16" ht="30">
      <c r="A68" s="40" t="s">
        <v>918</v>
      </c>
      <c r="B68" s="230" t="s">
        <v>919</v>
      </c>
      <c r="C68" s="41" t="s">
        <v>1087</v>
      </c>
      <c r="D68" s="41" t="s">
        <v>1299</v>
      </c>
      <c r="E68" s="41" t="s">
        <v>1203</v>
      </c>
      <c r="F68" s="41" t="s">
        <v>242</v>
      </c>
      <c r="G68" s="41" t="s">
        <v>242</v>
      </c>
      <c r="H68" s="41" t="s">
        <v>795</v>
      </c>
      <c r="I68" s="42" t="s">
        <v>1155</v>
      </c>
      <c r="J68" s="281"/>
      <c r="M68" s="181" t="s">
        <v>1142</v>
      </c>
      <c r="N68" s="181"/>
      <c r="O68" s="181"/>
      <c r="P68" s="181"/>
    </row>
    <row r="69" spans="1:16" ht="15.75">
      <c r="A69" s="45"/>
      <c r="B69" s="189"/>
      <c r="C69" s="5" t="s">
        <v>1088</v>
      </c>
      <c r="D69" s="5" t="s">
        <v>1299</v>
      </c>
      <c r="E69" s="5" t="s">
        <v>1203</v>
      </c>
      <c r="F69" s="5" t="s">
        <v>242</v>
      </c>
      <c r="G69" s="41" t="s">
        <v>242</v>
      </c>
      <c r="H69" s="5"/>
      <c r="I69" s="47"/>
      <c r="J69" s="281"/>
      <c r="M69" s="181" t="s">
        <v>1143</v>
      </c>
      <c r="N69" s="181"/>
      <c r="O69" s="181"/>
      <c r="P69" s="181"/>
    </row>
    <row r="70" spans="1:16" ht="15.75">
      <c r="A70" s="45"/>
      <c r="B70" s="189"/>
      <c r="C70" s="5" t="s">
        <v>1091</v>
      </c>
      <c r="D70" s="5" t="s">
        <v>1299</v>
      </c>
      <c r="E70" s="5" t="s">
        <v>1203</v>
      </c>
      <c r="F70" s="5" t="s">
        <v>242</v>
      </c>
      <c r="G70" s="41" t="s">
        <v>242</v>
      </c>
      <c r="H70" s="5"/>
      <c r="I70" s="47"/>
      <c r="J70" s="281"/>
      <c r="M70" s="181" t="s">
        <v>314</v>
      </c>
      <c r="N70" s="181"/>
      <c r="O70" s="181"/>
      <c r="P70" s="181"/>
    </row>
    <row r="71" spans="1:16" ht="15.75">
      <c r="A71" s="49"/>
      <c r="B71" s="231"/>
      <c r="C71" s="51" t="s">
        <v>1092</v>
      </c>
      <c r="D71" s="51" t="s">
        <v>1299</v>
      </c>
      <c r="E71" s="51" t="s">
        <v>1203</v>
      </c>
      <c r="F71" s="51" t="s">
        <v>242</v>
      </c>
      <c r="G71" s="41" t="s">
        <v>242</v>
      </c>
      <c r="H71" s="51"/>
      <c r="I71" s="52"/>
      <c r="J71" s="281"/>
      <c r="M71" s="181" t="s">
        <v>312</v>
      </c>
      <c r="N71" s="181"/>
      <c r="O71" s="181"/>
      <c r="P71" s="181"/>
    </row>
    <row r="72" spans="1:16" ht="15.75">
      <c r="A72" s="40" t="s">
        <v>920</v>
      </c>
      <c r="B72" s="230" t="s">
        <v>852</v>
      </c>
      <c r="C72" s="41" t="s">
        <v>1087</v>
      </c>
      <c r="D72" s="41" t="s">
        <v>1298</v>
      </c>
      <c r="E72" s="41" t="s">
        <v>226</v>
      </c>
      <c r="F72" s="41" t="s">
        <v>242</v>
      </c>
      <c r="G72" s="41" t="s">
        <v>242</v>
      </c>
      <c r="H72" s="41" t="s">
        <v>795</v>
      </c>
      <c r="I72" s="42" t="s">
        <v>1155</v>
      </c>
      <c r="J72" s="281"/>
      <c r="M72" s="181" t="s">
        <v>318</v>
      </c>
      <c r="N72" s="181"/>
      <c r="O72" s="181"/>
      <c r="P72" s="181"/>
    </row>
    <row r="73" spans="1:16" ht="15.75">
      <c r="A73" s="45"/>
      <c r="B73" s="189"/>
      <c r="C73" s="5" t="s">
        <v>1088</v>
      </c>
      <c r="D73" s="5" t="s">
        <v>1298</v>
      </c>
      <c r="E73" s="5" t="s">
        <v>226</v>
      </c>
      <c r="F73" s="5" t="s">
        <v>242</v>
      </c>
      <c r="G73" s="41" t="s">
        <v>242</v>
      </c>
      <c r="H73" s="5" t="s">
        <v>401</v>
      </c>
      <c r="I73" s="47"/>
      <c r="J73" s="281"/>
      <c r="M73" s="181" t="s">
        <v>315</v>
      </c>
      <c r="N73" s="181"/>
      <c r="O73" s="181"/>
      <c r="P73" s="181"/>
    </row>
    <row r="74" spans="1:16" ht="15.75">
      <c r="A74" s="45"/>
      <c r="B74" s="189"/>
      <c r="C74" s="5" t="s">
        <v>1141</v>
      </c>
      <c r="D74" s="5" t="s">
        <v>1298</v>
      </c>
      <c r="E74" s="5" t="s">
        <v>226</v>
      </c>
      <c r="F74" s="5" t="s">
        <v>242</v>
      </c>
      <c r="G74" s="41" t="s">
        <v>242</v>
      </c>
      <c r="H74" s="5" t="s">
        <v>1153</v>
      </c>
      <c r="I74" s="47"/>
      <c r="J74" s="281"/>
      <c r="M74" s="181" t="s">
        <v>308</v>
      </c>
      <c r="N74" s="181"/>
      <c r="O74" s="181"/>
      <c r="P74" s="181"/>
    </row>
    <row r="75" spans="1:16" ht="15.75">
      <c r="A75" s="45"/>
      <c r="B75" s="189"/>
      <c r="C75" s="5" t="s">
        <v>1099</v>
      </c>
      <c r="D75" s="5" t="s">
        <v>1298</v>
      </c>
      <c r="E75" s="5" t="s">
        <v>226</v>
      </c>
      <c r="F75" s="5" t="s">
        <v>242</v>
      </c>
      <c r="G75" s="41" t="s">
        <v>242</v>
      </c>
      <c r="H75" s="5"/>
      <c r="I75" s="47"/>
      <c r="J75" s="281"/>
      <c r="M75" s="181" t="s">
        <v>1144</v>
      </c>
      <c r="N75" s="181"/>
      <c r="O75" s="181"/>
      <c r="P75" s="181"/>
    </row>
    <row r="76" spans="1:16" ht="15.75">
      <c r="A76" s="49"/>
      <c r="B76" s="231"/>
      <c r="C76" s="51" t="s">
        <v>1122</v>
      </c>
      <c r="D76" s="51" t="s">
        <v>1298</v>
      </c>
      <c r="E76" s="51" t="s">
        <v>226</v>
      </c>
      <c r="F76" s="51" t="s">
        <v>242</v>
      </c>
      <c r="G76" s="41" t="s">
        <v>242</v>
      </c>
      <c r="H76" s="51"/>
      <c r="I76" s="52"/>
      <c r="J76" s="281"/>
      <c r="M76" s="181" t="s">
        <v>309</v>
      </c>
      <c r="N76" s="181"/>
      <c r="O76" s="181"/>
      <c r="P76" s="181"/>
    </row>
    <row r="77" spans="1:16" ht="15.75">
      <c r="A77" s="40" t="s">
        <v>924</v>
      </c>
      <c r="B77" s="230" t="s">
        <v>925</v>
      </c>
      <c r="C77" s="41" t="s">
        <v>1091</v>
      </c>
      <c r="D77" s="41" t="s">
        <v>1298</v>
      </c>
      <c r="E77" s="41" t="s">
        <v>226</v>
      </c>
      <c r="F77" s="41" t="s">
        <v>242</v>
      </c>
      <c r="G77" s="41" t="s">
        <v>242</v>
      </c>
      <c r="H77" s="41" t="s">
        <v>795</v>
      </c>
      <c r="I77" s="42" t="s">
        <v>1155</v>
      </c>
      <c r="J77" s="281"/>
      <c r="M77" s="181" t="s">
        <v>1145</v>
      </c>
      <c r="N77" s="181"/>
      <c r="O77" s="181"/>
      <c r="P77" s="181"/>
    </row>
    <row r="78" spans="1:16" ht="15.75">
      <c r="A78" s="45"/>
      <c r="B78" s="189"/>
      <c r="C78" s="5" t="s">
        <v>1092</v>
      </c>
      <c r="D78" s="5" t="s">
        <v>1298</v>
      </c>
      <c r="E78" s="5" t="s">
        <v>226</v>
      </c>
      <c r="F78" s="5" t="s">
        <v>242</v>
      </c>
      <c r="G78" s="41" t="s">
        <v>242</v>
      </c>
      <c r="H78" s="5" t="s">
        <v>1154</v>
      </c>
      <c r="I78" s="47"/>
      <c r="J78" s="281"/>
      <c r="M78" s="181" t="s">
        <v>305</v>
      </c>
      <c r="N78" s="181"/>
      <c r="O78" s="181"/>
      <c r="P78" s="181"/>
    </row>
    <row r="79" spans="1:16" ht="15.75">
      <c r="A79" s="45"/>
      <c r="B79" s="189"/>
      <c r="C79" s="5" t="s">
        <v>1097</v>
      </c>
      <c r="D79" s="5" t="s">
        <v>1298</v>
      </c>
      <c r="E79" s="5" t="s">
        <v>226</v>
      </c>
      <c r="F79" s="5" t="s">
        <v>242</v>
      </c>
      <c r="G79" s="41" t="s">
        <v>242</v>
      </c>
      <c r="H79" s="5"/>
      <c r="I79" s="47"/>
      <c r="J79" s="281"/>
      <c r="M79" s="181" t="s">
        <v>302</v>
      </c>
      <c r="N79" s="181"/>
      <c r="O79" s="181"/>
      <c r="P79" s="181"/>
    </row>
    <row r="80" spans="1:16" ht="15.75">
      <c r="A80" s="49"/>
      <c r="B80" s="231"/>
      <c r="C80" s="51" t="s">
        <v>1095</v>
      </c>
      <c r="D80" s="51" t="s">
        <v>1298</v>
      </c>
      <c r="E80" s="51" t="s">
        <v>226</v>
      </c>
      <c r="F80" s="51" t="s">
        <v>242</v>
      </c>
      <c r="G80" s="41" t="s">
        <v>242</v>
      </c>
      <c r="H80" s="51"/>
      <c r="I80" s="52"/>
      <c r="J80" s="281"/>
      <c r="M80" s="181" t="s">
        <v>300</v>
      </c>
      <c r="N80" s="181"/>
      <c r="O80" s="181"/>
      <c r="P80" s="181"/>
    </row>
    <row r="81" spans="1:16" ht="15.75">
      <c r="A81" s="40" t="s">
        <v>930</v>
      </c>
      <c r="B81" s="230" t="s">
        <v>857</v>
      </c>
      <c r="C81" s="41" t="s">
        <v>1091</v>
      </c>
      <c r="D81" s="41" t="s">
        <v>1298</v>
      </c>
      <c r="E81" s="41" t="s">
        <v>226</v>
      </c>
      <c r="F81" s="41" t="s">
        <v>242</v>
      </c>
      <c r="G81" s="41" t="s">
        <v>242</v>
      </c>
      <c r="H81" s="41" t="s">
        <v>1154</v>
      </c>
      <c r="I81" s="42" t="s">
        <v>1155</v>
      </c>
      <c r="J81" s="281"/>
      <c r="N81" s="181"/>
      <c r="O81" s="181"/>
      <c r="P81" s="181"/>
    </row>
    <row r="82" spans="1:16" ht="15.75">
      <c r="A82" s="45"/>
      <c r="B82" s="189"/>
      <c r="C82" s="5" t="s">
        <v>1092</v>
      </c>
      <c r="D82" s="5" t="s">
        <v>1298</v>
      </c>
      <c r="E82" s="5" t="s">
        <v>226</v>
      </c>
      <c r="F82" s="5" t="s">
        <v>242</v>
      </c>
      <c r="G82" s="41" t="s">
        <v>242</v>
      </c>
      <c r="H82" s="5"/>
      <c r="I82" s="47"/>
      <c r="J82" s="281"/>
      <c r="N82" s="181"/>
    </row>
    <row r="83" spans="1:16" ht="15.75">
      <c r="A83" s="49"/>
      <c r="B83" s="231"/>
      <c r="C83" s="51" t="s">
        <v>1097</v>
      </c>
      <c r="D83" s="51" t="s">
        <v>1298</v>
      </c>
      <c r="E83" s="51" t="s">
        <v>226</v>
      </c>
      <c r="F83" s="51" t="s">
        <v>242</v>
      </c>
      <c r="G83" s="41" t="s">
        <v>242</v>
      </c>
      <c r="H83" s="51"/>
      <c r="I83" s="52"/>
      <c r="J83" s="281"/>
      <c r="N83" s="181"/>
    </row>
    <row r="84" spans="1:16" ht="15.75">
      <c r="A84" s="232" t="s">
        <v>824</v>
      </c>
      <c r="B84" s="230" t="s">
        <v>1157</v>
      </c>
      <c r="C84" s="41" t="s">
        <v>1091</v>
      </c>
      <c r="D84" s="41" t="s">
        <v>1298</v>
      </c>
      <c r="E84" s="41" t="s">
        <v>242</v>
      </c>
      <c r="F84" s="41" t="s">
        <v>1203</v>
      </c>
      <c r="G84" s="41" t="s">
        <v>242</v>
      </c>
      <c r="H84" s="41" t="s">
        <v>1162</v>
      </c>
      <c r="I84" s="42" t="s">
        <v>1157</v>
      </c>
      <c r="J84" s="281"/>
      <c r="N84" s="181"/>
    </row>
    <row r="85" spans="1:16">
      <c r="A85" s="233"/>
      <c r="B85" s="189"/>
      <c r="C85" s="5" t="s">
        <v>1092</v>
      </c>
      <c r="D85" s="5" t="s">
        <v>1298</v>
      </c>
      <c r="E85" s="5" t="s">
        <v>242</v>
      </c>
      <c r="F85" s="5" t="s">
        <v>1203</v>
      </c>
      <c r="G85" s="41" t="s">
        <v>242</v>
      </c>
      <c r="H85" s="5"/>
      <c r="I85" s="47"/>
      <c r="J85" s="281"/>
    </row>
    <row r="86" spans="1:16">
      <c r="A86" s="234"/>
      <c r="B86" s="231"/>
      <c r="C86" s="51" t="s">
        <v>1087</v>
      </c>
      <c r="D86" s="51" t="s">
        <v>1298</v>
      </c>
      <c r="E86" s="51" t="s">
        <v>242</v>
      </c>
      <c r="F86" s="51" t="s">
        <v>1203</v>
      </c>
      <c r="G86" s="41" t="s">
        <v>242</v>
      </c>
      <c r="H86" s="51"/>
      <c r="I86" s="52"/>
      <c r="J86" s="281"/>
    </row>
    <row r="87" spans="1:16">
      <c r="A87" s="40" t="s">
        <v>1284</v>
      </c>
      <c r="B87" s="230" t="s">
        <v>1159</v>
      </c>
      <c r="C87" s="41" t="s">
        <v>1087</v>
      </c>
      <c r="D87" s="41" t="s">
        <v>1299</v>
      </c>
      <c r="E87" s="41" t="s">
        <v>242</v>
      </c>
      <c r="F87" s="41" t="s">
        <v>242</v>
      </c>
      <c r="G87" s="41" t="s">
        <v>242</v>
      </c>
      <c r="H87" s="41" t="s">
        <v>1161</v>
      </c>
      <c r="I87" s="42" t="s">
        <v>1157</v>
      </c>
      <c r="J87" s="281"/>
    </row>
    <row r="88" spans="1:16">
      <c r="A88" s="233"/>
      <c r="B88" s="189"/>
      <c r="C88" s="5" t="s">
        <v>1091</v>
      </c>
      <c r="D88" s="5" t="s">
        <v>1299</v>
      </c>
      <c r="E88" s="5" t="s">
        <v>242</v>
      </c>
      <c r="F88" s="5" t="s">
        <v>242</v>
      </c>
      <c r="G88" s="41" t="s">
        <v>242</v>
      </c>
      <c r="H88" s="5"/>
      <c r="I88" s="47"/>
      <c r="J88" s="281"/>
    </row>
    <row r="89" spans="1:16">
      <c r="A89" s="234"/>
      <c r="B89" s="231"/>
      <c r="C89" s="51" t="s">
        <v>1092</v>
      </c>
      <c r="D89" s="51" t="s">
        <v>1299</v>
      </c>
      <c r="E89" s="51" t="s">
        <v>242</v>
      </c>
      <c r="F89" s="51" t="s">
        <v>242</v>
      </c>
      <c r="G89" s="41" t="s">
        <v>242</v>
      </c>
      <c r="H89" s="51"/>
      <c r="I89" s="52"/>
      <c r="J89" s="281"/>
    </row>
    <row r="90" spans="1:16">
      <c r="A90" s="235" t="s">
        <v>1160</v>
      </c>
      <c r="B90" s="230" t="s">
        <v>840</v>
      </c>
      <c r="C90" s="41" t="s">
        <v>1088</v>
      </c>
      <c r="D90" s="41" t="s">
        <v>1299</v>
      </c>
      <c r="E90" s="41" t="s">
        <v>1203</v>
      </c>
      <c r="F90" s="41" t="s">
        <v>1204</v>
      </c>
      <c r="G90" s="41" t="s">
        <v>242</v>
      </c>
      <c r="H90" s="41" t="s">
        <v>1162</v>
      </c>
      <c r="I90" s="42" t="s">
        <v>1157</v>
      </c>
      <c r="J90" s="281"/>
    </row>
    <row r="91" spans="1:16">
      <c r="A91" s="236"/>
      <c r="B91" s="231"/>
      <c r="C91" s="51" t="s">
        <v>1099</v>
      </c>
      <c r="D91" s="51" t="s">
        <v>1299</v>
      </c>
      <c r="E91" s="51" t="s">
        <v>1203</v>
      </c>
      <c r="F91" s="51" t="s">
        <v>1204</v>
      </c>
      <c r="G91" s="41" t="s">
        <v>242</v>
      </c>
      <c r="H91" s="51"/>
      <c r="I91" s="52"/>
      <c r="J91" s="281"/>
    </row>
    <row r="92" spans="1:16">
      <c r="A92" s="237" t="s">
        <v>544</v>
      </c>
      <c r="B92" s="238" t="s">
        <v>545</v>
      </c>
      <c r="C92" s="41" t="s">
        <v>317</v>
      </c>
      <c r="D92" s="41" t="s">
        <v>1298</v>
      </c>
      <c r="E92" s="41" t="s">
        <v>1203</v>
      </c>
      <c r="F92" s="41" t="s">
        <v>242</v>
      </c>
      <c r="G92" s="41" t="s">
        <v>242</v>
      </c>
      <c r="H92" s="41" t="s">
        <v>401</v>
      </c>
      <c r="I92" s="42" t="s">
        <v>1156</v>
      </c>
      <c r="J92" s="281" t="s">
        <v>1302</v>
      </c>
    </row>
    <row r="93" spans="1:16">
      <c r="A93" s="239"/>
      <c r="B93" s="156"/>
      <c r="C93" s="5" t="s">
        <v>312</v>
      </c>
      <c r="D93" s="5" t="s">
        <v>1298</v>
      </c>
      <c r="E93" s="5" t="s">
        <v>1203</v>
      </c>
      <c r="F93" s="5" t="s">
        <v>242</v>
      </c>
      <c r="G93" s="41" t="s">
        <v>242</v>
      </c>
      <c r="H93" s="5" t="s">
        <v>1152</v>
      </c>
      <c r="I93" s="47" t="s">
        <v>1156</v>
      </c>
      <c r="J93" s="281"/>
    </row>
    <row r="94" spans="1:16">
      <c r="A94" s="239"/>
      <c r="B94" s="156"/>
      <c r="C94" s="5" t="s">
        <v>308</v>
      </c>
      <c r="D94" s="5" t="s">
        <v>1298</v>
      </c>
      <c r="E94" s="5" t="s">
        <v>1203</v>
      </c>
      <c r="F94" s="5" t="s">
        <v>242</v>
      </c>
      <c r="G94" s="41" t="s">
        <v>242</v>
      </c>
      <c r="H94" s="5"/>
      <c r="I94" s="47"/>
      <c r="J94" s="281"/>
    </row>
    <row r="95" spans="1:16">
      <c r="A95" s="240"/>
      <c r="B95" s="158"/>
      <c r="C95" s="51" t="s">
        <v>300</v>
      </c>
      <c r="D95" s="51" t="s">
        <v>1298</v>
      </c>
      <c r="E95" s="51" t="s">
        <v>1203</v>
      </c>
      <c r="F95" s="51" t="s">
        <v>242</v>
      </c>
      <c r="G95" s="41" t="s">
        <v>242</v>
      </c>
      <c r="H95" s="51"/>
      <c r="I95" s="52"/>
      <c r="J95" s="281"/>
    </row>
    <row r="96" spans="1:16">
      <c r="A96" s="237" t="s">
        <v>1201</v>
      </c>
      <c r="B96" s="238" t="s">
        <v>585</v>
      </c>
      <c r="C96" s="41" t="s">
        <v>317</v>
      </c>
      <c r="D96" s="41" t="s">
        <v>1298</v>
      </c>
      <c r="E96" s="41" t="s">
        <v>1203</v>
      </c>
      <c r="F96" s="41" t="s">
        <v>242</v>
      </c>
      <c r="G96" s="41" t="s">
        <v>242</v>
      </c>
      <c r="H96" s="41" t="s">
        <v>401</v>
      </c>
      <c r="I96" s="42" t="s">
        <v>1156</v>
      </c>
      <c r="J96" s="281"/>
    </row>
    <row r="97" spans="1:10">
      <c r="A97" s="239"/>
      <c r="B97" s="156"/>
      <c r="C97" s="5" t="s">
        <v>320</v>
      </c>
      <c r="D97" s="5" t="s">
        <v>1298</v>
      </c>
      <c r="E97" s="5" t="s">
        <v>1203</v>
      </c>
      <c r="F97" s="5" t="s">
        <v>242</v>
      </c>
      <c r="G97" s="41" t="s">
        <v>242</v>
      </c>
      <c r="H97" s="5" t="s">
        <v>1152</v>
      </c>
      <c r="I97" s="47" t="s">
        <v>1156</v>
      </c>
      <c r="J97" s="281"/>
    </row>
    <row r="98" spans="1:10">
      <c r="A98" s="239"/>
      <c r="B98" s="156"/>
      <c r="C98" s="5" t="s">
        <v>1120</v>
      </c>
      <c r="D98" s="5" t="s">
        <v>1298</v>
      </c>
      <c r="E98" s="5" t="s">
        <v>1203</v>
      </c>
      <c r="F98" s="5" t="s">
        <v>242</v>
      </c>
      <c r="G98" s="41" t="s">
        <v>242</v>
      </c>
      <c r="H98" s="5" t="s">
        <v>599</v>
      </c>
      <c r="I98" s="47" t="s">
        <v>1156</v>
      </c>
      <c r="J98" s="281"/>
    </row>
    <row r="99" spans="1:10">
      <c r="A99" s="239"/>
      <c r="B99" s="156"/>
      <c r="C99" s="5" t="s">
        <v>334</v>
      </c>
      <c r="D99" s="5" t="s">
        <v>1298</v>
      </c>
      <c r="E99" s="5" t="s">
        <v>1203</v>
      </c>
      <c r="F99" s="5" t="s">
        <v>242</v>
      </c>
      <c r="G99" s="41" t="s">
        <v>242</v>
      </c>
      <c r="H99" s="5" t="s">
        <v>795</v>
      </c>
      <c r="I99" s="47" t="s">
        <v>1156</v>
      </c>
      <c r="J99" s="281"/>
    </row>
    <row r="100" spans="1:10">
      <c r="A100" s="239"/>
      <c r="B100" s="156"/>
      <c r="C100" s="5" t="s">
        <v>326</v>
      </c>
      <c r="D100" s="5" t="s">
        <v>1298</v>
      </c>
      <c r="E100" s="5" t="s">
        <v>1203</v>
      </c>
      <c r="F100" s="5" t="s">
        <v>242</v>
      </c>
      <c r="G100" s="41" t="s">
        <v>242</v>
      </c>
      <c r="H100" s="5"/>
      <c r="I100" s="47"/>
      <c r="J100" s="281"/>
    </row>
    <row r="101" spans="1:10">
      <c r="A101" s="239"/>
      <c r="B101" s="156"/>
      <c r="C101" s="5" t="s">
        <v>300</v>
      </c>
      <c r="D101" s="5" t="s">
        <v>1298</v>
      </c>
      <c r="E101" s="5" t="s">
        <v>1203</v>
      </c>
      <c r="F101" s="5" t="s">
        <v>242</v>
      </c>
      <c r="G101" s="41" t="s">
        <v>242</v>
      </c>
      <c r="H101" s="5"/>
      <c r="I101" s="47"/>
      <c r="J101" s="281"/>
    </row>
    <row r="102" spans="1:10">
      <c r="A102" s="239"/>
      <c r="B102" s="156"/>
      <c r="C102" s="5" t="s">
        <v>308</v>
      </c>
      <c r="D102" s="5" t="s">
        <v>1298</v>
      </c>
      <c r="E102" s="5" t="s">
        <v>1203</v>
      </c>
      <c r="F102" s="5" t="s">
        <v>242</v>
      </c>
      <c r="G102" s="41" t="s">
        <v>242</v>
      </c>
      <c r="H102" s="5"/>
      <c r="I102" s="47"/>
      <c r="J102" s="281"/>
    </row>
    <row r="103" spans="1:10">
      <c r="A103" s="240"/>
      <c r="B103" s="158"/>
      <c r="C103" s="51" t="s">
        <v>330</v>
      </c>
      <c r="D103" s="51" t="s">
        <v>1298</v>
      </c>
      <c r="E103" s="51" t="s">
        <v>1203</v>
      </c>
      <c r="F103" s="51" t="s">
        <v>242</v>
      </c>
      <c r="G103" s="41" t="s">
        <v>242</v>
      </c>
      <c r="H103" s="51"/>
      <c r="I103" s="52"/>
      <c r="J103" s="281"/>
    </row>
    <row r="104" spans="1:10">
      <c r="A104" s="241" t="s">
        <v>587</v>
      </c>
      <c r="B104" s="238" t="s">
        <v>588</v>
      </c>
      <c r="C104" s="41" t="s">
        <v>314</v>
      </c>
      <c r="D104" s="41" t="s">
        <v>1298</v>
      </c>
      <c r="E104" s="41" t="s">
        <v>1203</v>
      </c>
      <c r="F104" s="41" t="s">
        <v>242</v>
      </c>
      <c r="G104" s="41" t="s">
        <v>242</v>
      </c>
      <c r="H104" s="41" t="s">
        <v>1152</v>
      </c>
      <c r="I104" s="42" t="s">
        <v>1156</v>
      </c>
      <c r="J104" s="281"/>
    </row>
    <row r="105" spans="1:10">
      <c r="A105" s="242"/>
      <c r="B105" s="156"/>
      <c r="C105" s="5" t="s">
        <v>308</v>
      </c>
      <c r="D105" s="5" t="s">
        <v>1298</v>
      </c>
      <c r="E105" s="5" t="s">
        <v>1203</v>
      </c>
      <c r="F105" s="5" t="s">
        <v>242</v>
      </c>
      <c r="G105" s="41" t="s">
        <v>242</v>
      </c>
      <c r="H105" s="5" t="s">
        <v>401</v>
      </c>
      <c r="I105" s="47" t="s">
        <v>1156</v>
      </c>
      <c r="J105" s="281"/>
    </row>
    <row r="106" spans="1:10">
      <c r="A106" s="242"/>
      <c r="B106" s="156"/>
      <c r="C106" s="5" t="s">
        <v>312</v>
      </c>
      <c r="D106" s="5" t="s">
        <v>1298</v>
      </c>
      <c r="E106" s="5" t="s">
        <v>1203</v>
      </c>
      <c r="F106" s="5" t="s">
        <v>242</v>
      </c>
      <c r="G106" s="41" t="s">
        <v>242</v>
      </c>
      <c r="H106" s="5"/>
      <c r="I106" s="47"/>
      <c r="J106" s="281"/>
    </row>
    <row r="107" spans="1:10">
      <c r="A107" s="242"/>
      <c r="B107" s="156"/>
      <c r="C107" s="5" t="s">
        <v>315</v>
      </c>
      <c r="D107" s="5" t="s">
        <v>1298</v>
      </c>
      <c r="E107" s="5" t="s">
        <v>1203</v>
      </c>
      <c r="F107" s="5" t="s">
        <v>242</v>
      </c>
      <c r="G107" s="41" t="s">
        <v>242</v>
      </c>
      <c r="H107" s="5"/>
      <c r="I107" s="47"/>
      <c r="J107" s="281"/>
    </row>
    <row r="108" spans="1:10">
      <c r="A108" s="243"/>
      <c r="B108" s="158"/>
      <c r="C108" s="51" t="s">
        <v>318</v>
      </c>
      <c r="D108" s="51" t="s">
        <v>1298</v>
      </c>
      <c r="E108" s="51" t="s">
        <v>1203</v>
      </c>
      <c r="F108" s="51" t="s">
        <v>242</v>
      </c>
      <c r="G108" s="41" t="s">
        <v>242</v>
      </c>
      <c r="H108" s="51"/>
      <c r="I108" s="52"/>
      <c r="J108" s="281"/>
    </row>
    <row r="109" spans="1:10">
      <c r="A109" s="237" t="s">
        <v>447</v>
      </c>
      <c r="B109" s="238" t="s">
        <v>1304</v>
      </c>
      <c r="C109" s="41" t="s">
        <v>305</v>
      </c>
      <c r="D109" s="41" t="s">
        <v>1298</v>
      </c>
      <c r="E109" s="41" t="s">
        <v>1203</v>
      </c>
      <c r="F109" s="41" t="s">
        <v>242</v>
      </c>
      <c r="G109" s="41" t="s">
        <v>242</v>
      </c>
      <c r="H109" s="41" t="s">
        <v>401</v>
      </c>
      <c r="I109" s="42" t="s">
        <v>1156</v>
      </c>
      <c r="J109" s="281"/>
    </row>
    <row r="110" spans="1:10">
      <c r="A110" s="240"/>
      <c r="B110" s="158"/>
      <c r="C110" s="51" t="s">
        <v>309</v>
      </c>
      <c r="D110" s="51" t="s">
        <v>1298</v>
      </c>
      <c r="E110" s="51" t="s">
        <v>1203</v>
      </c>
      <c r="F110" s="51" t="s">
        <v>242</v>
      </c>
      <c r="G110" s="41" t="s">
        <v>242</v>
      </c>
      <c r="H110" s="51" t="s">
        <v>1152</v>
      </c>
      <c r="I110" s="52" t="s">
        <v>1156</v>
      </c>
      <c r="J110" s="281"/>
    </row>
    <row r="111" spans="1:10">
      <c r="A111" s="237" t="s">
        <v>590</v>
      </c>
      <c r="B111" s="238" t="s">
        <v>1305</v>
      </c>
      <c r="C111" s="41" t="s">
        <v>1133</v>
      </c>
      <c r="D111" s="41" t="s">
        <v>1298</v>
      </c>
      <c r="E111" s="41" t="s">
        <v>1203</v>
      </c>
      <c r="F111" s="41" t="s">
        <v>242</v>
      </c>
      <c r="G111" s="41" t="s">
        <v>242</v>
      </c>
      <c r="H111" s="41" t="s">
        <v>401</v>
      </c>
      <c r="I111" s="42" t="s">
        <v>1156</v>
      </c>
      <c r="J111" s="281"/>
    </row>
    <row r="112" spans="1:10">
      <c r="A112" s="239"/>
      <c r="B112" s="156"/>
      <c r="C112" s="5" t="s">
        <v>302</v>
      </c>
      <c r="D112" s="5" t="s">
        <v>1298</v>
      </c>
      <c r="E112" s="5" t="s">
        <v>1203</v>
      </c>
      <c r="F112" s="5" t="s">
        <v>242</v>
      </c>
      <c r="G112" s="41" t="s">
        <v>242</v>
      </c>
      <c r="H112" s="5" t="s">
        <v>1152</v>
      </c>
      <c r="I112" s="47" t="s">
        <v>1156</v>
      </c>
      <c r="J112" s="281"/>
    </row>
    <row r="113" spans="1:10">
      <c r="A113" s="239"/>
      <c r="B113" s="156"/>
      <c r="C113" s="5" t="s">
        <v>309</v>
      </c>
      <c r="D113" s="5" t="s">
        <v>1298</v>
      </c>
      <c r="E113" s="5" t="s">
        <v>1203</v>
      </c>
      <c r="F113" s="5" t="s">
        <v>242</v>
      </c>
      <c r="G113" s="41" t="s">
        <v>242</v>
      </c>
      <c r="H113" s="5"/>
      <c r="I113" s="47"/>
      <c r="J113" s="281"/>
    </row>
    <row r="114" spans="1:10">
      <c r="A114" s="234"/>
      <c r="B114" s="158"/>
      <c r="C114" s="51" t="s">
        <v>314</v>
      </c>
      <c r="D114" s="51" t="s">
        <v>1298</v>
      </c>
      <c r="E114" s="51" t="s">
        <v>1203</v>
      </c>
      <c r="F114" s="51" t="s">
        <v>242</v>
      </c>
      <c r="G114" s="41" t="s">
        <v>242</v>
      </c>
      <c r="H114" s="51"/>
      <c r="I114" s="52"/>
      <c r="J114" s="281"/>
    </row>
    <row r="115" spans="1:10">
      <c r="A115" s="237" t="s">
        <v>425</v>
      </c>
      <c r="B115" s="238" t="s">
        <v>425</v>
      </c>
      <c r="C115" s="41" t="s">
        <v>1146</v>
      </c>
      <c r="D115" s="41" t="s">
        <v>1298</v>
      </c>
      <c r="E115" s="41" t="s">
        <v>242</v>
      </c>
      <c r="F115" s="41" t="s">
        <v>242</v>
      </c>
      <c r="G115" s="41" t="s">
        <v>242</v>
      </c>
      <c r="H115" s="41" t="s">
        <v>401</v>
      </c>
      <c r="I115" s="42" t="s">
        <v>1156</v>
      </c>
      <c r="J115" s="249"/>
    </row>
    <row r="116" spans="1:10">
      <c r="A116" s="237" t="s">
        <v>604</v>
      </c>
      <c r="B116" s="238" t="s">
        <v>608</v>
      </c>
      <c r="C116" s="41" t="s">
        <v>300</v>
      </c>
      <c r="D116" s="41" t="s">
        <v>1298</v>
      </c>
      <c r="E116" s="41" t="s">
        <v>1204</v>
      </c>
      <c r="F116" s="41" t="s">
        <v>242</v>
      </c>
      <c r="G116" s="41" t="s">
        <v>242</v>
      </c>
      <c r="H116" s="41" t="s">
        <v>401</v>
      </c>
      <c r="I116" s="42" t="s">
        <v>1156</v>
      </c>
      <c r="J116" s="281"/>
    </row>
    <row r="117" spans="1:10">
      <c r="A117" s="244"/>
      <c r="B117" s="158"/>
      <c r="C117" s="51" t="s">
        <v>1123</v>
      </c>
      <c r="D117" s="51" t="s">
        <v>1298</v>
      </c>
      <c r="E117" s="51" t="s">
        <v>1204</v>
      </c>
      <c r="F117" s="51" t="s">
        <v>242</v>
      </c>
      <c r="G117" s="41" t="s">
        <v>242</v>
      </c>
      <c r="H117" s="51" t="s">
        <v>1152</v>
      </c>
      <c r="I117" s="52" t="s">
        <v>1156</v>
      </c>
      <c r="J117" s="281"/>
    </row>
    <row r="118" spans="1:10">
      <c r="A118" s="237" t="s">
        <v>1200</v>
      </c>
      <c r="B118" s="238" t="s">
        <v>681</v>
      </c>
      <c r="C118" s="41" t="s">
        <v>314</v>
      </c>
      <c r="D118" s="41" t="s">
        <v>1297</v>
      </c>
      <c r="E118" s="41" t="s">
        <v>1203</v>
      </c>
      <c r="F118" s="41" t="s">
        <v>242</v>
      </c>
      <c r="G118" s="41" t="s">
        <v>242</v>
      </c>
      <c r="H118" s="41" t="s">
        <v>1152</v>
      </c>
      <c r="I118" s="42" t="s">
        <v>1156</v>
      </c>
      <c r="J118" s="281" t="s">
        <v>1301</v>
      </c>
    </row>
    <row r="119" spans="1:10">
      <c r="A119" s="233"/>
      <c r="B119" s="156"/>
      <c r="C119" s="5" t="s">
        <v>312</v>
      </c>
      <c r="D119" s="5" t="s">
        <v>1297</v>
      </c>
      <c r="E119" s="5" t="s">
        <v>1203</v>
      </c>
      <c r="F119" s="5" t="s">
        <v>242</v>
      </c>
      <c r="G119" s="41" t="s">
        <v>242</v>
      </c>
      <c r="H119" s="5" t="s">
        <v>638</v>
      </c>
      <c r="I119" s="47" t="s">
        <v>1158</v>
      </c>
      <c r="J119" s="281"/>
    </row>
    <row r="120" spans="1:10">
      <c r="A120" s="233"/>
      <c r="B120" s="156"/>
      <c r="C120" s="5" t="s">
        <v>318</v>
      </c>
      <c r="D120" s="5" t="s">
        <v>1297</v>
      </c>
      <c r="E120" s="5" t="s">
        <v>1203</v>
      </c>
      <c r="F120" s="5" t="s">
        <v>242</v>
      </c>
      <c r="G120" s="41" t="s">
        <v>242</v>
      </c>
      <c r="H120" s="5"/>
      <c r="I120" s="47"/>
      <c r="J120" s="281"/>
    </row>
    <row r="121" spans="1:10">
      <c r="A121" s="233"/>
      <c r="B121" s="156"/>
      <c r="C121" s="5" t="s">
        <v>315</v>
      </c>
      <c r="D121" s="5" t="s">
        <v>1297</v>
      </c>
      <c r="E121" s="5" t="s">
        <v>1203</v>
      </c>
      <c r="F121" s="5" t="s">
        <v>242</v>
      </c>
      <c r="G121" s="41" t="s">
        <v>242</v>
      </c>
      <c r="H121" s="5"/>
      <c r="I121" s="47"/>
      <c r="J121" s="281"/>
    </row>
    <row r="122" spans="1:10">
      <c r="A122" s="233"/>
      <c r="B122" s="156"/>
      <c r="C122" s="5" t="s">
        <v>308</v>
      </c>
      <c r="D122" s="5" t="s">
        <v>1297</v>
      </c>
      <c r="E122" s="5" t="s">
        <v>1203</v>
      </c>
      <c r="F122" s="5" t="s">
        <v>242</v>
      </c>
      <c r="G122" s="41" t="s">
        <v>242</v>
      </c>
      <c r="H122" s="5"/>
      <c r="I122" s="47"/>
      <c r="J122" s="281"/>
    </row>
    <row r="123" spans="1:10">
      <c r="A123" s="233"/>
      <c r="B123" s="156"/>
      <c r="C123" s="5" t="s">
        <v>309</v>
      </c>
      <c r="D123" s="5" t="s">
        <v>1297</v>
      </c>
      <c r="E123" s="5" t="s">
        <v>1203</v>
      </c>
      <c r="F123" s="5" t="s">
        <v>242</v>
      </c>
      <c r="G123" s="41" t="s">
        <v>242</v>
      </c>
      <c r="H123" s="5"/>
      <c r="I123" s="47"/>
      <c r="J123" s="281"/>
    </row>
    <row r="124" spans="1:10">
      <c r="A124" s="233"/>
      <c r="B124" s="156"/>
      <c r="C124" s="5" t="s">
        <v>302</v>
      </c>
      <c r="D124" s="5" t="s">
        <v>1297</v>
      </c>
      <c r="E124" s="5" t="s">
        <v>1203</v>
      </c>
      <c r="F124" s="5" t="s">
        <v>242</v>
      </c>
      <c r="G124" s="41" t="s">
        <v>242</v>
      </c>
      <c r="H124" s="5"/>
      <c r="I124" s="47"/>
      <c r="J124" s="281"/>
    </row>
    <row r="125" spans="1:10">
      <c r="A125" s="233"/>
      <c r="B125" s="156"/>
      <c r="C125" s="5" t="s">
        <v>300</v>
      </c>
      <c r="D125" s="5" t="s">
        <v>1297</v>
      </c>
      <c r="E125" s="5" t="s">
        <v>1203</v>
      </c>
      <c r="F125" s="5" t="s">
        <v>242</v>
      </c>
      <c r="G125" s="41" t="s">
        <v>242</v>
      </c>
      <c r="H125" s="5"/>
      <c r="I125" s="47"/>
      <c r="J125" s="281"/>
    </row>
    <row r="126" spans="1:10">
      <c r="A126" s="234"/>
      <c r="B126" s="158"/>
      <c r="C126" s="51" t="s">
        <v>305</v>
      </c>
      <c r="D126" s="51" t="s">
        <v>1297</v>
      </c>
      <c r="E126" s="51" t="s">
        <v>1203</v>
      </c>
      <c r="F126" s="51" t="s">
        <v>242</v>
      </c>
      <c r="G126" s="41" t="s">
        <v>242</v>
      </c>
      <c r="H126" s="51"/>
      <c r="I126" s="52"/>
      <c r="J126" s="281"/>
    </row>
    <row r="130" spans="1:3">
      <c r="A130" t="s">
        <v>1274</v>
      </c>
      <c r="B130" s="157" t="s">
        <v>1275</v>
      </c>
    </row>
    <row r="131" spans="1:3">
      <c r="A131" s="253" t="s">
        <v>1148</v>
      </c>
      <c r="B131" s="253"/>
      <c r="C131" s="253"/>
    </row>
    <row r="132" spans="1:3">
      <c r="A132" t="s">
        <v>1202</v>
      </c>
      <c r="B132" s="259" t="s">
        <v>1306</v>
      </c>
      <c r="C132" s="259"/>
    </row>
    <row r="133" spans="1:3">
      <c r="A133" t="s">
        <v>1276</v>
      </c>
      <c r="B133" s="259" t="s">
        <v>1307</v>
      </c>
      <c r="C133" s="259"/>
    </row>
    <row r="134" spans="1:3">
      <c r="A134" t="s">
        <v>1277</v>
      </c>
      <c r="B134" s="259" t="s">
        <v>1308</v>
      </c>
      <c r="C134" s="259"/>
    </row>
    <row r="135" spans="1:3">
      <c r="A135" t="s">
        <v>839</v>
      </c>
      <c r="B135" s="259" t="s">
        <v>1309</v>
      </c>
      <c r="C135" s="259"/>
    </row>
    <row r="136" spans="1:3">
      <c r="A136" t="s">
        <v>838</v>
      </c>
      <c r="B136" s="259" t="s">
        <v>1310</v>
      </c>
      <c r="C136" s="259"/>
    </row>
    <row r="137" spans="1:3">
      <c r="A137"/>
    </row>
    <row r="138" spans="1:3">
      <c r="A138" s="182" t="s">
        <v>1273</v>
      </c>
    </row>
    <row r="139" spans="1:3">
      <c r="A139" s="182" t="s">
        <v>1203</v>
      </c>
      <c r="B139" s="248" t="s">
        <v>1311</v>
      </c>
    </row>
    <row r="140" spans="1:3">
      <c r="A140" s="182" t="s">
        <v>242</v>
      </c>
      <c r="B140" s="248" t="s">
        <v>1312</v>
      </c>
    </row>
    <row r="141" spans="1:3">
      <c r="A141" s="182" t="s">
        <v>1204</v>
      </c>
      <c r="B141" s="157" t="s">
        <v>1278</v>
      </c>
    </row>
    <row r="142" spans="1:3">
      <c r="A142" s="182" t="s">
        <v>226</v>
      </c>
      <c r="B142" s="157" t="s">
        <v>1279</v>
      </c>
    </row>
    <row r="143" spans="1:3">
      <c r="A143" s="182" t="s">
        <v>1205</v>
      </c>
      <c r="B143" s="157" t="s">
        <v>1280</v>
      </c>
    </row>
    <row r="145" spans="1:2">
      <c r="A145" t="s">
        <v>1150</v>
      </c>
    </row>
    <row r="146" spans="1:2">
      <c r="A146" s="182" t="s">
        <v>1203</v>
      </c>
      <c r="B146" s="248" t="s">
        <v>1313</v>
      </c>
    </row>
    <row r="147" spans="1:2">
      <c r="A147" s="182" t="s">
        <v>242</v>
      </c>
      <c r="B147" s="248" t="s">
        <v>1314</v>
      </c>
    </row>
    <row r="148" spans="1:2">
      <c r="A148" s="182" t="s">
        <v>1204</v>
      </c>
      <c r="B148" s="248" t="s">
        <v>1315</v>
      </c>
    </row>
    <row r="149" spans="1:2">
      <c r="A149" s="182" t="s">
        <v>226</v>
      </c>
      <c r="B149" s="157" t="s">
        <v>1281</v>
      </c>
    </row>
    <row r="150" spans="1:2">
      <c r="A150" s="182" t="s">
        <v>1205</v>
      </c>
      <c r="B150" s="248" t="s">
        <v>1316</v>
      </c>
    </row>
  </sheetData>
  <mergeCells count="36">
    <mergeCell ref="J92:J95"/>
    <mergeCell ref="J90:J91"/>
    <mergeCell ref="J87:J89"/>
    <mergeCell ref="J84:J86"/>
    <mergeCell ref="J49:J53"/>
    <mergeCell ref="J46:J48"/>
    <mergeCell ref="J40:J45"/>
    <mergeCell ref="J118:J126"/>
    <mergeCell ref="J116:J117"/>
    <mergeCell ref="J111:J114"/>
    <mergeCell ref="J109:J110"/>
    <mergeCell ref="J104:J108"/>
    <mergeCell ref="J77:J80"/>
    <mergeCell ref="J72:J76"/>
    <mergeCell ref="J68:J71"/>
    <mergeCell ref="J65:J67"/>
    <mergeCell ref="J60:J64"/>
    <mergeCell ref="J56:J59"/>
    <mergeCell ref="J81:J83"/>
    <mergeCell ref="J96:J103"/>
    <mergeCell ref="J19:J21"/>
    <mergeCell ref="J15:J18"/>
    <mergeCell ref="J9:J14"/>
    <mergeCell ref="J2:J8"/>
    <mergeCell ref="B136:C136"/>
    <mergeCell ref="B135:C135"/>
    <mergeCell ref="B134:C134"/>
    <mergeCell ref="B133:C133"/>
    <mergeCell ref="B132:C132"/>
    <mergeCell ref="A131:C131"/>
    <mergeCell ref="J38:J39"/>
    <mergeCell ref="J35:J36"/>
    <mergeCell ref="J33:J34"/>
    <mergeCell ref="J27:J32"/>
    <mergeCell ref="J22:J25"/>
    <mergeCell ref="J54:J55"/>
  </mergeCells>
  <dataValidations count="6">
    <dataValidation type="list" allowBlank="1" showInputMessage="1" showErrorMessage="1" sqref="H102:H113 H2:H13 H15:H74 H96:H99 H115:H119 H76:H94">
      <formula1>$Q$2:$Q$10</formula1>
    </dataValidation>
    <dataValidation type="list" allowBlank="1" showInputMessage="1" showErrorMessage="1" sqref="I102:I113 I2:I94 I96:I99 I115:I119">
      <formula1>$R$2:$R$6</formula1>
    </dataValidation>
    <dataValidation type="list" allowBlank="1" showInputMessage="1" showErrorMessage="1" sqref="E2:E126">
      <formula1>$O$2:$O$6</formula1>
    </dataValidation>
    <dataValidation type="list" allowBlank="1" showInputMessage="1" showErrorMessage="1" sqref="F2:G126">
      <formula1>$P$2:$P$6</formula1>
    </dataValidation>
    <dataValidation type="list" allowBlank="1" showInputMessage="1" showErrorMessage="1" sqref="C2:C126">
      <formula1>$M$2:$M$80</formula1>
    </dataValidation>
    <dataValidation type="list" allowBlank="1" showInputMessage="1" showErrorMessage="1" sqref="D2:D126">
      <formula1>$N$2:$N$6</formula1>
    </dataValidation>
  </dataValidations>
  <pageMargins left="0.7" right="0.7" top="0.75" bottom="0.75" header="0.3" footer="0.3"/>
  <pageSetup scale="28" fitToWidth="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Case1_Greenland</vt:lpstr>
      <vt:lpstr>Case1_IceBridge</vt:lpstr>
      <vt:lpstr>Case1_Comparison</vt:lpstr>
      <vt:lpstr>Case3_AMDAR</vt:lpstr>
      <vt:lpstr>Case2_GRIP</vt:lpstr>
      <vt:lpstr>Case2_GLOPAC</vt:lpstr>
      <vt:lpstr>Instruments</vt:lpstr>
      <vt:lpstr>ECost</vt:lpstr>
      <vt:lpstr>Case2_GRIP!gh</vt:lpstr>
      <vt:lpstr>MCost</vt:lpstr>
      <vt:lpstr>TCost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Suarez</dc:creator>
  <cp:lastModifiedBy>Dani</cp:lastModifiedBy>
  <cp:lastPrinted>2011-05-03T21:08:48Z</cp:lastPrinted>
  <dcterms:created xsi:type="dcterms:W3CDTF">2011-02-15T18:55:06Z</dcterms:created>
  <dcterms:modified xsi:type="dcterms:W3CDTF">2011-05-08T16:02:54Z</dcterms:modified>
</cp:coreProperties>
</file>