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eet1" sheetId="1" r:id="rId1"/>
  </sheets>
  <definedNames>
    <definedName name="solver_adj" localSheetId="0" hidden="1">Sheet1!$S$15:$S$16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Sheet1!$S$15:$S$16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Sheet1!$S$19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2" i="1"/>
  <c r="AM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M15" i="1"/>
  <c r="AN15" i="1" s="1"/>
  <c r="AM14" i="1"/>
  <c r="AN14" i="1" s="1"/>
  <c r="AM13" i="1"/>
  <c r="AN13" i="1" s="1"/>
  <c r="AM12" i="1"/>
  <c r="AN12" i="1" s="1"/>
  <c r="AM11" i="1"/>
  <c r="AN11" i="1" s="1"/>
  <c r="AM10" i="1"/>
  <c r="AN10" i="1" s="1"/>
  <c r="AM9" i="1"/>
  <c r="AN9" i="1" s="1"/>
  <c r="AM8" i="1"/>
  <c r="AN8" i="1" s="1"/>
  <c r="AM7" i="1"/>
  <c r="AN7" i="1" s="1"/>
  <c r="AM6" i="1"/>
  <c r="AN6" i="1" s="1"/>
  <c r="AM5" i="1"/>
  <c r="AN5" i="1" s="1"/>
  <c r="AM4" i="1"/>
  <c r="AN4" i="1" s="1"/>
  <c r="AM3" i="1"/>
  <c r="AN3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N2" i="1" l="1"/>
  <c r="AB21" i="1"/>
  <c r="AB22" i="1" s="1"/>
  <c r="AG17" i="1"/>
  <c r="AG18" i="1"/>
  <c r="AE24" i="1"/>
  <c r="AG3" i="1"/>
  <c r="AG4" i="1"/>
  <c r="AG5" i="1"/>
  <c r="AG6" i="1"/>
  <c r="AG7" i="1"/>
  <c r="AG8" i="1"/>
  <c r="AG9" i="1"/>
  <c r="AG10" i="1"/>
  <c r="AG11" i="1"/>
  <c r="AG12" i="1"/>
  <c r="AG13" i="1"/>
  <c r="AG14" i="1"/>
  <c r="AH14" i="1" s="1"/>
  <c r="AG15" i="1"/>
  <c r="AH15" i="1" s="1"/>
  <c r="AG16" i="1"/>
  <c r="AG19" i="1"/>
  <c r="AG20" i="1"/>
  <c r="AG21" i="1"/>
  <c r="AG22" i="1"/>
  <c r="AG23" i="1"/>
  <c r="AG2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V20" i="1"/>
  <c r="V21" i="1"/>
  <c r="S22" i="1"/>
  <c r="S23" i="1" s="1"/>
  <c r="S21" i="1"/>
  <c r="V17" i="1"/>
  <c r="V18" i="1"/>
  <c r="Y15" i="1"/>
  <c r="Y14" i="1"/>
  <c r="V22" i="1"/>
  <c r="S17" i="1"/>
  <c r="P9" i="1" s="1"/>
  <c r="S10" i="1"/>
  <c r="S11" i="1" s="1"/>
  <c r="S9" i="1"/>
  <c r="S5" i="1"/>
  <c r="O41" i="1" s="1"/>
  <c r="V10" i="1"/>
  <c r="V9" i="1"/>
  <c r="V8" i="1"/>
  <c r="V6" i="1"/>
  <c r="V5" i="1"/>
  <c r="Y3" i="1"/>
  <c r="Y2" i="1"/>
  <c r="AH13" i="1" l="1"/>
  <c r="AH21" i="1"/>
  <c r="AH2" i="1"/>
  <c r="AH5" i="1"/>
  <c r="AH16" i="1"/>
  <c r="AH17" i="1"/>
  <c r="AH23" i="1"/>
  <c r="AH22" i="1"/>
  <c r="AH8" i="1"/>
  <c r="AH7" i="1"/>
  <c r="AH6" i="1"/>
  <c r="AH18" i="1"/>
  <c r="AH10" i="1"/>
  <c r="AH9" i="1"/>
  <c r="AH20" i="1"/>
  <c r="AH12" i="1"/>
  <c r="AH4" i="1"/>
  <c r="AH19" i="1"/>
  <c r="AH11" i="1"/>
  <c r="AH3" i="1"/>
  <c r="O2" i="1"/>
  <c r="P48" i="1"/>
  <c r="P47" i="1"/>
  <c r="P32" i="1"/>
  <c r="P31" i="1"/>
  <c r="P29" i="1"/>
  <c r="P46" i="1"/>
  <c r="P45" i="1"/>
  <c r="P24" i="1"/>
  <c r="P43" i="1"/>
  <c r="P23" i="1"/>
  <c r="P2" i="1"/>
  <c r="P40" i="1"/>
  <c r="P15" i="1"/>
  <c r="P53" i="1"/>
  <c r="P7" i="1"/>
  <c r="P39" i="1"/>
  <c r="P51" i="1"/>
  <c r="P37" i="1"/>
  <c r="P16" i="1"/>
  <c r="P8" i="1"/>
  <c r="P38" i="1"/>
  <c r="P30" i="1"/>
  <c r="P22" i="1"/>
  <c r="P14" i="1"/>
  <c r="P6" i="1"/>
  <c r="P21" i="1"/>
  <c r="P13" i="1"/>
  <c r="P5" i="1"/>
  <c r="P52" i="1"/>
  <c r="P44" i="1"/>
  <c r="P36" i="1"/>
  <c r="P28" i="1"/>
  <c r="P20" i="1"/>
  <c r="P12" i="1"/>
  <c r="P4" i="1"/>
  <c r="P35" i="1"/>
  <c r="P27" i="1"/>
  <c r="P19" i="1"/>
  <c r="P11" i="1"/>
  <c r="P3" i="1"/>
  <c r="P50" i="1"/>
  <c r="P42" i="1"/>
  <c r="P34" i="1"/>
  <c r="P26" i="1"/>
  <c r="P18" i="1"/>
  <c r="P10" i="1"/>
  <c r="P49" i="1"/>
  <c r="P41" i="1"/>
  <c r="P33" i="1"/>
  <c r="P25" i="1"/>
  <c r="P17" i="1"/>
  <c r="V16" i="1"/>
  <c r="V15" i="1" s="1"/>
  <c r="O14" i="1"/>
  <c r="O30" i="1"/>
  <c r="O22" i="1"/>
  <c r="O48" i="1"/>
  <c r="O8" i="1"/>
  <c r="O38" i="1"/>
  <c r="O7" i="1"/>
  <c r="O37" i="1"/>
  <c r="O29" i="1"/>
  <c r="O21" i="1"/>
  <c r="O13" i="1"/>
  <c r="O47" i="1"/>
  <c r="O6" i="1"/>
  <c r="O36" i="1"/>
  <c r="O28" i="1"/>
  <c r="O20" i="1"/>
  <c r="O12" i="1"/>
  <c r="O46" i="1"/>
  <c r="O5" i="1"/>
  <c r="O35" i="1"/>
  <c r="O27" i="1"/>
  <c r="O19" i="1"/>
  <c r="O53" i="1"/>
  <c r="O45" i="1"/>
  <c r="O4" i="1"/>
  <c r="O34" i="1"/>
  <c r="O26" i="1"/>
  <c r="O18" i="1"/>
  <c r="O52" i="1"/>
  <c r="O44" i="1"/>
  <c r="O11" i="1"/>
  <c r="O3" i="1"/>
  <c r="O33" i="1"/>
  <c r="O25" i="1"/>
  <c r="O17" i="1"/>
  <c r="O51" i="1"/>
  <c r="O43" i="1"/>
  <c r="O10" i="1"/>
  <c r="O40" i="1"/>
  <c r="O32" i="1"/>
  <c r="O24" i="1"/>
  <c r="O16" i="1"/>
  <c r="O50" i="1"/>
  <c r="O42" i="1"/>
  <c r="O9" i="1"/>
  <c r="O39" i="1"/>
  <c r="O31" i="1"/>
  <c r="O23" i="1"/>
  <c r="O15" i="1"/>
  <c r="O49" i="1"/>
  <c r="V4" i="1"/>
  <c r="V3" i="1" s="1"/>
  <c r="S19" i="1" l="1"/>
  <c r="S7" i="1"/>
  <c r="V11" i="1" l="1"/>
  <c r="V2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<sst xmlns="http://schemas.openxmlformats.org/spreadsheetml/2006/main" count="65" uniqueCount="41">
  <si>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</si>
  <si>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</si>
  <si>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</si>
  <si>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</si>
  <si>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</si>
  <si>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</si>
  <si>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</si>
  <si>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</si>
  <si>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</si>
  <si>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</si>
  <si>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</si>
  <si>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</si>
  <si>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</si>
  <si>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Solver Approach</t>
  </si>
  <si>
    <t>Statistical</t>
  </si>
  <si>
    <t>Min Value</t>
  </si>
  <si>
    <t>α</t>
  </si>
  <si>
    <t>Alpha</t>
  </si>
  <si>
    <t>Max Value</t>
  </si>
  <si>
    <t>β</t>
  </si>
  <si>
    <t>Beta</t>
  </si>
  <si>
    <t>gamma</t>
  </si>
  <si>
    <t>Mean</t>
  </si>
  <si>
    <t>StDev</t>
  </si>
  <si>
    <t>Count of Parameters</t>
  </si>
  <si>
    <r>
      <rPr>
        <sz val="11"/>
        <color rgb="FFFF0000"/>
        <rFont val="Calibri"/>
        <family val="2"/>
      </rPr>
      <t>mean:</t>
    </r>
    <r>
      <rPr>
        <sz val="11"/>
        <color theme="1"/>
        <rFont val="等线"/>
        <family val="2"/>
        <scheme val="minor"/>
      </rPr>
      <t xml:space="preserve"> α* β</t>
    </r>
  </si>
  <si>
    <t>constraints</t>
  </si>
  <si>
    <t>α* (β^2)</t>
  </si>
  <si>
    <r>
      <rPr>
        <sz val="11"/>
        <color rgb="FFFF0000"/>
        <rFont val="Calibri"/>
        <family val="2"/>
      </rPr>
      <t>std:</t>
    </r>
    <r>
      <rPr>
        <sz val="11"/>
        <color theme="1"/>
        <rFont val="等线"/>
        <family val="2"/>
        <scheme val="minor"/>
      </rPr>
      <t xml:space="preserve"> sqrt(α* (β^2))</t>
    </r>
  </si>
  <si>
    <t>Max of likelihood</t>
  </si>
  <si>
    <t>Parameters of Jan</t>
  </si>
  <si>
    <t>Parameters of Feb</t>
  </si>
  <si>
    <t>Jan_fit</t>
  </si>
  <si>
    <r>
      <rPr>
        <sz val="11"/>
        <color rgb="FFFF0000"/>
        <rFont val="Calibri"/>
        <family val="2"/>
      </rPr>
      <t>Max:</t>
    </r>
    <r>
      <rPr>
        <sz val="11"/>
        <color theme="1"/>
        <rFont val="等线"/>
        <family val="2"/>
        <scheme val="minor"/>
      </rPr>
      <t xml:space="preserve"> SUM</t>
    </r>
  </si>
  <si>
    <t>Feb_fit</t>
  </si>
  <si>
    <t>Jan_Bins</t>
  </si>
  <si>
    <t>Feb_Bins</t>
  </si>
  <si>
    <t>Frequencies</t>
  </si>
  <si>
    <t>ClassMark</t>
  </si>
  <si>
    <t>Probability</t>
  </si>
  <si>
    <t>Gfreq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</si>
</sst>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2" xfId="0" applyBorder="1"/>
    <xf numFmtId="0" fontId="0" fillId="0" borderId="1" xfId="0" applyBorder="1"/>
    <xf numFmtId="0" fontId="2" fillId="3" borderId="1" xfId="0" applyFont="1" applyFill="1" applyBorder="1"/>
    <xf numFmtId="0" fontId="0" fillId="0" borderId="0" xfId="0" applyFont="1"/>
    <xf numFmtId="0" fontId="0" fillId="5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Gamma Dist for Jan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AD-43C4-98EE-3366BDE9A031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Sheet1!$AH$2:$AH$23</c:f>
              <c:numCache>
                <c:formatCode>General</c:formatCode>
                <c:ptCount val="22"/>
                <c:pt idx="0">
                  <c:v>3.0487044910516921</c:v>
                </c:pt>
                <c:pt idx="1">
                  <c:v>3.5983046583042775</c:v>
                </c:pt>
                <c:pt idx="2">
                  <c:v>3.9870835476786897</c:v>
                </c:pt>
                <c:pt idx="3">
                  <c:v>4.2448829459534334</c:v>
                </c:pt>
                <c:pt idx="4">
                  <c:v>4.3964798146978987</c:v>
                </c:pt>
                <c:pt idx="5">
                  <c:v>4.4625431200066075</c:v>
                </c:pt>
                <c:pt idx="6">
                  <c:v>4.4603363830140994</c:v>
                </c:pt>
                <c:pt idx="7">
                  <c:v>4.4042700171165645</c:v>
                </c:pt>
                <c:pt idx="8">
                  <c:v>4.3063511519045008</c:v>
                </c:pt>
                <c:pt idx="9">
                  <c:v>4.1765571232943675</c:v>
                </c:pt>
                <c:pt idx="10">
                  <c:v>4.0231490562305918</c:v>
                </c:pt>
                <c:pt idx="11">
                  <c:v>3.8529368985200163</c:v>
                </c:pt>
                <c:pt idx="12">
                  <c:v>3.6715043159943219</c:v>
                </c:pt>
                <c:pt idx="13">
                  <c:v>3.4833999763596655</c:v>
                </c:pt>
                <c:pt idx="14">
                  <c:v>3.2923004530674254</c:v>
                </c:pt>
                <c:pt idx="15">
                  <c:v>3.1011490346819044</c:v>
                </c:pt>
                <c:pt idx="16">
                  <c:v>2.912274003582386</c:v>
                </c:pt>
                <c:pt idx="17">
                  <c:v>2.7274893787875936</c:v>
                </c:pt>
                <c:pt idx="18">
                  <c:v>2.5481806579493882</c:v>
                </c:pt>
                <c:pt idx="19">
                  <c:v>2.3753777154871769</c:v>
                </c:pt>
                <c:pt idx="20">
                  <c:v>2.2098166988609953</c:v>
                </c:pt>
                <c:pt idx="21">
                  <c:v>2.0519925000700088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AD-43C4-98EE-3366BDE9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73728"/>
        <c:axId val="375316480"/>
      </c:lineChart>
      <c:catAx>
        <c:axId val="3752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316480"/>
        <c:crosses val="autoZero"/>
        <c:auto val="1"/>
        <c:lblAlgn val="ctr"/>
        <c:lblOffset val="100"/>
        <c:noMultiLvlLbl val="0"/>
      </c:catAx>
      <c:valAx>
        <c:axId val="375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Gamma Dist for Feb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Sheet1!$AK$2:$AK$15</c:f>
              <c:numCache>
                <c:formatCode>General</c:formatCode>
                <c:ptCount val="14"/>
                <c:pt idx="0">
                  <c:v>17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A-4827-84CD-B22C13A56D8C}"/>
            </c:ext>
          </c:extLst>
        </c:ser>
        <c:ser>
          <c:idx val="1"/>
          <c:order val="1"/>
          <c:tx>
            <c:strRef>
              <c:f>Sheet1!$AN$1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Sheet1!$AN$2:$AN$15</c:f>
              <c:numCache>
                <c:formatCode>General</c:formatCode>
                <c:ptCount val="14"/>
                <c:pt idx="0">
                  <c:v>3.7764566652249854</c:v>
                </c:pt>
                <c:pt idx="1">
                  <c:v>4.928022014683588</c:v>
                </c:pt>
                <c:pt idx="2">
                  <c:v>5.3532359224453065</c:v>
                </c:pt>
                <c:pt idx="3">
                  <c:v>5.2488155100725837</c:v>
                </c:pt>
                <c:pt idx="4">
                  <c:v>5.7007065074912582</c:v>
                </c:pt>
                <c:pt idx="5">
                  <c:v>5.7426886474605858</c:v>
                </c:pt>
                <c:pt idx="6">
                  <c:v>5.7426886474605858</c:v>
                </c:pt>
                <c:pt idx="7">
                  <c:v>5.7007065074912582</c:v>
                </c:pt>
                <c:pt idx="8">
                  <c:v>5.7007065074912582</c:v>
                </c:pt>
                <c:pt idx="9">
                  <c:v>0</c:v>
                </c:pt>
                <c:pt idx="10">
                  <c:v>0</c:v>
                </c:pt>
                <c:pt idx="11">
                  <c:v>5.7007065074912582</c:v>
                </c:pt>
                <c:pt idx="12">
                  <c:v>0</c:v>
                </c:pt>
                <c:pt idx="13">
                  <c:v>5.7007065074912582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A-4827-84CD-B22C13A5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30528"/>
        <c:axId val="375432320"/>
      </c:lineChart>
      <c:catAx>
        <c:axId val="3754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2320"/>
        <c:crosses val="autoZero"/>
        <c:auto val="1"/>
        <c:lblAlgn val="ctr"/>
        <c:lblOffset val="100"/>
        <c:noMultiLvlLbl val="0"/>
      </c:catAx>
      <c:valAx>
        <c:axId val="375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156210</xdr:colOff>
      <xdr:row>24</xdr:row>
      <xdr:rowOff>67627</xdr:rowOff>
    </xdr:from>
    <xdr:to>
      <xdr:col>35</xdr:col>
      <xdr:colOff>89535</xdr:colOff>
      <xdr:row>38</xdr:row>
      <xdr:rowOff>153352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AE190B5E-8155-ABA4-F198-2BEBE7A5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129539</xdr:colOff>
      <xdr:row>24</xdr:row>
      <xdr:rowOff>73342</xdr:rowOff>
    </xdr:from>
    <xdr:to>
      <xdr:col>41</xdr:col>
      <xdr:colOff>0</xdr:colOff>
      <xdr:row>38</xdr:row>
      <xdr:rowOff>149542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18E3E855-7F5B-E3A1-3EB7-82EA8F04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topLeftCell="Z1" zoomScale="85" zoomScaleNormal="85" workbookViewId="0">
      <selection activeCell="AV17" sqref="AV17"/>
    </sheetView>
  </sheetViews>
  <sheetFormatPr defaultRowHeight="13.8" x14ac:dyDescent="0.25"/>
  <cols>
    <col min="4" max="13" width="0" hidden="1" customWidth="1"/>
    <col min="15" max="15" width="6.88671875" bestFit="1" customWidth="1"/>
    <col min="16" max="17" width="6.88671875" customWidth="1"/>
    <col min="18" max="18" width="18.33203125" bestFit="1" customWidth="1"/>
    <col min="20" max="20" width="2.44140625" customWidth="1"/>
    <col min="21" max="21" width="19.44140625" bestFit="1" customWidth="1"/>
    <col min="22" max="22" width="12" bestFit="1" customWidth="1"/>
    <col min="23" max="23" width="1.88671875" customWidth="1"/>
    <col min="24" max="24" width="10.33203125" bestFit="1" customWidth="1"/>
    <col min="25" max="25" width="6" bestFit="1" customWidth="1"/>
    <col min="31" max="31" width="11.88671875" bestFit="1" customWidth="1"/>
    <col min="33" max="33" width="12" bestFit="1" customWidth="1"/>
    <col min="37" max="37" width="11.88671875" bestFit="1" customWidth="1"/>
    <col min="38" max="38" width="11.88671875" customWidth="1"/>
  </cols>
  <sheetData>
    <row r="1" spans="1:40" x14ac:dyDescent="0.25">
      <c r="A1" t="s">
        <v>12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/>
      <c r="O1" s="8" t="s">
        <v>32</v>
      </c>
      <c r="P1" s="8" t="s">
        <v>34</v>
      </c>
      <c r="Q1" s="7"/>
      <c r="R1" s="16" t="s">
        <v>30</v>
      </c>
      <c r="S1" s="16"/>
      <c r="T1" s="16"/>
      <c r="U1" s="16"/>
      <c r="V1" s="16"/>
      <c r="W1" s="16"/>
      <c r="X1" s="16"/>
      <c r="Y1" s="16"/>
      <c r="AA1" s="13" t="s">
        <v>35</v>
      </c>
      <c r="AB1" s="13" t="s">
        <v>36</v>
      </c>
      <c r="AD1" s="12" t="s">
        <v>35</v>
      </c>
      <c r="AE1" s="12" t="s">
        <v>37</v>
      </c>
      <c r="AF1" s="13" t="s">
        <v>38</v>
      </c>
      <c r="AG1" s="13" t="s">
        <v>39</v>
      </c>
      <c r="AH1" s="13" t="s">
        <v>40</v>
      </c>
      <c r="AJ1" s="13" t="s">
        <v>36</v>
      </c>
      <c r="AK1" s="12" t="s">
        <v>37</v>
      </c>
      <c r="AL1" s="12" t="s">
        <v>38</v>
      </c>
      <c r="AM1" s="13" t="s">
        <v>39</v>
      </c>
      <c r="AN1" s="13" t="s">
        <v>40</v>
      </c>
    </row>
    <row r="2" spans="1:40" x14ac:dyDescent="0.25">
      <c r="A2">
        <v>1971</v>
      </c>
      <c r="B2" s="1">
        <v>49.1</v>
      </c>
      <c r="C2" s="1">
        <v>70</v>
      </c>
      <c r="D2" s="1">
        <v>27.1</v>
      </c>
      <c r="E2" s="1">
        <v>46.5</v>
      </c>
      <c r="F2" s="1">
        <v>39.799999999999997</v>
      </c>
      <c r="G2" s="1">
        <v>37.799999999999997</v>
      </c>
      <c r="H2" s="1">
        <v>17.7</v>
      </c>
      <c r="I2" s="1">
        <v>25.5</v>
      </c>
      <c r="J2" s="1">
        <v>32.299999999999997</v>
      </c>
      <c r="K2" s="1">
        <v>50</v>
      </c>
      <c r="L2" s="1">
        <v>145.5</v>
      </c>
      <c r="M2" s="1">
        <v>71</v>
      </c>
      <c r="N2" s="1"/>
      <c r="O2">
        <f>(S$3-1)*LN(B2)-B2/$S$4-$S$3*LN($S$4)-$S$5</f>
        <v>-4.5334060022550098</v>
      </c>
      <c r="P2">
        <f>(S$15-1)*LN(C2)-C2/$S$16-$S$15*LN($S$16)-$S$17</f>
        <v>-5.4191855077819122</v>
      </c>
      <c r="R2" s="17" t="s">
        <v>13</v>
      </c>
      <c r="S2" s="17"/>
      <c r="U2" s="17" t="s">
        <v>14</v>
      </c>
      <c r="V2" s="17"/>
      <c r="X2" s="3" t="s">
        <v>15</v>
      </c>
      <c r="Y2" s="4">
        <f>MIN(B2:B53)</f>
        <v>1.6</v>
      </c>
      <c r="AA2" s="5">
        <v>5</v>
      </c>
      <c r="AB2" s="5">
        <v>15</v>
      </c>
      <c r="AD2" s="14">
        <v>5</v>
      </c>
      <c r="AE2" s="15">
        <v>2</v>
      </c>
      <c r="AF2" s="5">
        <f>AD2/2+5</f>
        <v>7.5</v>
      </c>
      <c r="AG2" s="5">
        <f>_xlfn.GAMMA.DIST(AF2,$S$3,$S$4,FALSE())</f>
        <v>1.1725786504044969E-2</v>
      </c>
      <c r="AH2" s="5">
        <f>AG2*$AE$24*5</f>
        <v>3.0487044910516921</v>
      </c>
      <c r="AJ2" s="14">
        <v>15</v>
      </c>
      <c r="AK2" s="15">
        <v>17</v>
      </c>
      <c r="AL2" s="5">
        <f>AJ2/2+15</f>
        <v>22.5</v>
      </c>
      <c r="AM2" s="5">
        <f>_xlfn.GAMMA.DIST(AL2,$S$15,$S$16,FALSE())</f>
        <v>1.4524833327788405E-2</v>
      </c>
      <c r="AN2" s="5">
        <f>AM2*$AK$16*5</f>
        <v>3.7764566652249854</v>
      </c>
    </row>
    <row r="3" spans="1:40" x14ac:dyDescent="0.25">
      <c r="A3">
        <f>A2+1</f>
        <v>1972</v>
      </c>
      <c r="B3" s="1">
        <v>61.2</v>
      </c>
      <c r="C3" s="1">
        <v>131</v>
      </c>
      <c r="D3" s="1">
        <v>16</v>
      </c>
      <c r="E3" s="1">
        <v>40.9</v>
      </c>
      <c r="F3" s="1">
        <v>24.4</v>
      </c>
      <c r="G3" s="1">
        <v>13.2</v>
      </c>
      <c r="H3" s="1">
        <v>23.1</v>
      </c>
      <c r="I3" s="1">
        <v>45.4</v>
      </c>
      <c r="J3" s="1">
        <v>22.4</v>
      </c>
      <c r="K3" s="1">
        <v>37.700000000000003</v>
      </c>
      <c r="L3" s="1">
        <v>51.5</v>
      </c>
      <c r="M3" s="1">
        <v>1.6</v>
      </c>
      <c r="N3" s="1"/>
      <c r="O3">
        <f t="shared" ref="O3:O53" si="0">(S$3-1)*LN(B3)-B3/$S$4-$S$3*LN($S$4)-$S$5</f>
        <v>-4.878050050258147</v>
      </c>
      <c r="P3">
        <f t="shared" ref="P3:P53" si="1">(S$15-1)*LN(C3)-C3/$S$16-$S$15*LN($S$16)-$S$17</f>
        <v>-6.9840560066645834</v>
      </c>
      <c r="R3" s="3" t="s">
        <v>16</v>
      </c>
      <c r="S3" s="5">
        <v>1.9784675092476769</v>
      </c>
      <c r="U3" s="3" t="s">
        <v>17</v>
      </c>
      <c r="V3" s="5">
        <f>V5/V4</f>
        <v>2.4468258204670081</v>
      </c>
      <c r="X3" s="3" t="s">
        <v>18</v>
      </c>
      <c r="Y3" s="4">
        <f>MAX(B2:B53)</f>
        <v>106.4</v>
      </c>
      <c r="AA3" s="5">
        <f>AA2+5</f>
        <v>10</v>
      </c>
      <c r="AB3" s="5">
        <f>AB2+15</f>
        <v>30</v>
      </c>
      <c r="AD3" s="14">
        <v>10</v>
      </c>
      <c r="AE3" s="15">
        <v>4</v>
      </c>
      <c r="AF3" s="5">
        <f t="shared" ref="AF3:AF23" si="2">AD3/2+5</f>
        <v>10</v>
      </c>
      <c r="AG3" s="5">
        <f t="shared" ref="AG3:AG23" si="3">_xlfn.GAMMA.DIST(AF3,$S$3,$S$4,FALSE())</f>
        <v>1.3839633301170299E-2</v>
      </c>
      <c r="AH3" s="5">
        <f t="shared" ref="AH3:AH23" si="4">AG3*$AE$24*5</f>
        <v>3.5983046583042775</v>
      </c>
      <c r="AJ3" s="14">
        <v>30</v>
      </c>
      <c r="AK3" s="15">
        <v>11</v>
      </c>
      <c r="AL3" s="5">
        <f t="shared" ref="AL3:AL15" si="5">AJ3/2+15</f>
        <v>30</v>
      </c>
      <c r="AM3" s="5">
        <f t="shared" ref="AM3:AM15" si="6">_xlfn.GAMMA.DIST(AK3,$S$15,$S$16,FALSE())</f>
        <v>1.8953930825706108E-2</v>
      </c>
      <c r="AN3" s="5">
        <f>AM3*$AK$16*5</f>
        <v>4.928022014683588</v>
      </c>
    </row>
    <row r="4" spans="1:40" x14ac:dyDescent="0.25">
      <c r="A4">
        <f t="shared" ref="A4:A53" si="7">A3+1</f>
        <v>1973</v>
      </c>
      <c r="B4" s="1">
        <v>38.700000000000003</v>
      </c>
      <c r="C4" s="1">
        <v>176</v>
      </c>
      <c r="D4" s="1">
        <v>61.7</v>
      </c>
      <c r="E4" s="1">
        <v>20</v>
      </c>
      <c r="F4" s="1">
        <v>33.700000000000003</v>
      </c>
      <c r="G4" s="1">
        <v>38.799999999999997</v>
      </c>
      <c r="H4" s="1">
        <v>26.5</v>
      </c>
      <c r="I4" s="1">
        <v>69.400000000000006</v>
      </c>
      <c r="J4" s="1">
        <v>38.4</v>
      </c>
      <c r="K4" s="1">
        <v>65.5</v>
      </c>
      <c r="L4" s="1">
        <v>31.4</v>
      </c>
      <c r="M4" s="1">
        <v>58.4</v>
      </c>
      <c r="N4" s="1"/>
      <c r="O4">
        <f t="shared" si="0"/>
        <v>-4.2848156542795737</v>
      </c>
      <c r="P4">
        <f t="shared" si="1"/>
        <v>-8.1465384487391255</v>
      </c>
      <c r="R4" s="3" t="s">
        <v>19</v>
      </c>
      <c r="S4" s="5">
        <v>21.599858687941957</v>
      </c>
      <c r="U4" s="3" t="s">
        <v>20</v>
      </c>
      <c r="V4" s="5">
        <f>V6^2/V5</f>
        <v>17.465327947397139</v>
      </c>
      <c r="AA4" s="5">
        <f t="shared" ref="AA4:AA22" si="8">AA3+5</f>
        <v>15</v>
      </c>
      <c r="AB4" s="5">
        <f t="shared" ref="AB4:AB15" si="9">AB3+15</f>
        <v>45</v>
      </c>
      <c r="AD4" s="14">
        <v>15</v>
      </c>
      <c r="AE4" s="15">
        <v>3</v>
      </c>
      <c r="AF4" s="5">
        <f t="shared" si="2"/>
        <v>12.5</v>
      </c>
      <c r="AG4" s="5">
        <f t="shared" si="3"/>
        <v>1.5334936721841115E-2</v>
      </c>
      <c r="AH4" s="5">
        <f t="shared" si="4"/>
        <v>3.9870835476786897</v>
      </c>
      <c r="AJ4" s="14">
        <v>45</v>
      </c>
      <c r="AK4" s="15">
        <v>7</v>
      </c>
      <c r="AL4" s="5">
        <f t="shared" si="5"/>
        <v>37.5</v>
      </c>
      <c r="AM4" s="5">
        <f t="shared" si="6"/>
        <v>2.0589368932481946E-2</v>
      </c>
      <c r="AN4" s="5">
        <f>AM4*$AK$16*5</f>
        <v>5.3532359224453065</v>
      </c>
    </row>
    <row r="5" spans="1:40" x14ac:dyDescent="0.25">
      <c r="A5">
        <f t="shared" si="7"/>
        <v>1974</v>
      </c>
      <c r="B5" s="1">
        <v>78</v>
      </c>
      <c r="C5" s="1">
        <v>25.4</v>
      </c>
      <c r="D5" s="1">
        <v>40.6</v>
      </c>
      <c r="E5" s="1">
        <v>126</v>
      </c>
      <c r="F5" s="1">
        <v>155.5</v>
      </c>
      <c r="G5" s="1">
        <v>12.5</v>
      </c>
      <c r="H5" s="1">
        <v>60.8</v>
      </c>
      <c r="I5" s="1">
        <v>68.599999999999994</v>
      </c>
      <c r="J5" s="1">
        <v>59.8</v>
      </c>
      <c r="K5" s="1">
        <v>87.7</v>
      </c>
      <c r="L5" s="1">
        <v>62.9</v>
      </c>
      <c r="M5" s="1">
        <v>26.5</v>
      </c>
      <c r="N5" s="1"/>
      <c r="O5">
        <f t="shared" si="0"/>
        <v>-5.4184942355043137</v>
      </c>
      <c r="P5">
        <f t="shared" si="1"/>
        <v>-4.301873289209512</v>
      </c>
      <c r="R5" s="3" t="s">
        <v>21</v>
      </c>
      <c r="S5" s="5">
        <f>GAMMALN(S3)</f>
        <v>-8.9534116692711226E-3</v>
      </c>
      <c r="U5" s="3" t="s">
        <v>22</v>
      </c>
      <c r="V5" s="5">
        <f>AVERAGE(B2:B53)</f>
        <v>42.734615384615374</v>
      </c>
      <c r="AA5" s="5">
        <f t="shared" si="8"/>
        <v>20</v>
      </c>
      <c r="AB5" s="5">
        <f t="shared" si="9"/>
        <v>60</v>
      </c>
      <c r="AD5" s="14">
        <v>20</v>
      </c>
      <c r="AE5" s="15">
        <v>2</v>
      </c>
      <c r="AF5" s="5">
        <f t="shared" si="2"/>
        <v>15</v>
      </c>
      <c r="AG5" s="5">
        <f t="shared" si="3"/>
        <v>1.6326472869051669E-2</v>
      </c>
      <c r="AH5" s="5">
        <f t="shared" si="4"/>
        <v>4.2448829459534334</v>
      </c>
      <c r="AJ5" s="14">
        <v>60</v>
      </c>
      <c r="AK5" s="15">
        <v>8</v>
      </c>
      <c r="AL5" s="5">
        <f t="shared" si="5"/>
        <v>45</v>
      </c>
      <c r="AM5" s="5">
        <f t="shared" si="6"/>
        <v>2.0187751961817633E-2</v>
      </c>
      <c r="AN5" s="5">
        <f>AM5*$AK$16*5</f>
        <v>5.2488155100725837</v>
      </c>
    </row>
    <row r="6" spans="1:40" x14ac:dyDescent="0.25">
      <c r="A6">
        <f t="shared" si="7"/>
        <v>1975</v>
      </c>
      <c r="B6" s="1">
        <v>17</v>
      </c>
      <c r="C6" s="1">
        <v>19.399999999999999</v>
      </c>
      <c r="D6" s="1">
        <v>36.200000000000003</v>
      </c>
      <c r="E6" s="1">
        <v>20.399999999999999</v>
      </c>
      <c r="F6" s="1">
        <v>44.9</v>
      </c>
      <c r="G6" s="1">
        <v>29.1</v>
      </c>
      <c r="H6" s="1">
        <v>19.100000000000001</v>
      </c>
      <c r="I6" s="1">
        <v>97.1</v>
      </c>
      <c r="J6" s="1">
        <v>76.8</v>
      </c>
      <c r="K6" s="1">
        <v>143.80000000000001</v>
      </c>
      <c r="L6" s="1">
        <v>50.8</v>
      </c>
      <c r="M6" s="1">
        <v>49.4</v>
      </c>
      <c r="N6" s="1"/>
      <c r="O6">
        <f t="shared" si="0"/>
        <v>-4.0850925158239804</v>
      </c>
      <c r="P6">
        <f t="shared" si="1"/>
        <v>-4.1579924502978667</v>
      </c>
      <c r="U6" s="3" t="s">
        <v>23</v>
      </c>
      <c r="V6" s="5">
        <f>STDEV(B2:B53)</f>
        <v>27.319847591049818</v>
      </c>
      <c r="AA6" s="5">
        <f t="shared" si="8"/>
        <v>25</v>
      </c>
      <c r="AB6" s="5">
        <f t="shared" si="9"/>
        <v>75</v>
      </c>
      <c r="AD6" s="14">
        <v>25</v>
      </c>
      <c r="AE6" s="15">
        <v>5</v>
      </c>
      <c r="AF6" s="5">
        <f t="shared" si="2"/>
        <v>17.5</v>
      </c>
      <c r="AG6" s="5">
        <f t="shared" si="3"/>
        <v>1.6909537748838074E-2</v>
      </c>
      <c r="AH6" s="5">
        <f t="shared" si="4"/>
        <v>4.3964798146978987</v>
      </c>
      <c r="AJ6" s="14">
        <v>75</v>
      </c>
      <c r="AK6" s="15">
        <v>1</v>
      </c>
      <c r="AL6" s="5">
        <f t="shared" si="5"/>
        <v>52.5</v>
      </c>
      <c r="AM6" s="5">
        <f t="shared" si="6"/>
        <v>2.1925794259581761E-2</v>
      </c>
      <c r="AN6" s="5">
        <f>AM6*$AK$16*5</f>
        <v>5.7007065074912582</v>
      </c>
    </row>
    <row r="7" spans="1:40" ht="14.4" x14ac:dyDescent="0.3">
      <c r="A7">
        <f t="shared" si="7"/>
        <v>1976</v>
      </c>
      <c r="B7" s="1">
        <v>22.8</v>
      </c>
      <c r="C7" s="1">
        <v>29</v>
      </c>
      <c r="D7" s="1">
        <v>37.6</v>
      </c>
      <c r="E7" s="1">
        <v>16.3</v>
      </c>
      <c r="F7" s="1">
        <v>11.6</v>
      </c>
      <c r="G7" s="1">
        <v>34.799999999999997</v>
      </c>
      <c r="H7" s="1">
        <v>12.8</v>
      </c>
      <c r="I7" s="1">
        <v>65.400000000000006</v>
      </c>
      <c r="J7" s="1">
        <v>79.400000000000006</v>
      </c>
      <c r="K7" s="1">
        <v>76.599999999999994</v>
      </c>
      <c r="L7" s="1">
        <v>67.599999999999994</v>
      </c>
      <c r="M7" s="1">
        <v>32.799999999999997</v>
      </c>
      <c r="N7" s="1"/>
      <c r="O7">
        <f t="shared" si="0"/>
        <v>-4.0663864013533999</v>
      </c>
      <c r="P7">
        <f t="shared" si="1"/>
        <v>-4.3896095574809468</v>
      </c>
      <c r="R7" s="6" t="s">
        <v>33</v>
      </c>
      <c r="S7" s="5">
        <f>SUM(O2:O53)</f>
        <v>-241.39442776845863</v>
      </c>
      <c r="AA7" s="5">
        <f t="shared" si="8"/>
        <v>30</v>
      </c>
      <c r="AB7" s="5">
        <f t="shared" si="9"/>
        <v>90</v>
      </c>
      <c r="AD7" s="14">
        <v>30</v>
      </c>
      <c r="AE7" s="15">
        <v>4</v>
      </c>
      <c r="AF7" s="5">
        <f t="shared" si="2"/>
        <v>20</v>
      </c>
      <c r="AG7" s="5">
        <f t="shared" si="3"/>
        <v>1.7163627384640799E-2</v>
      </c>
      <c r="AH7" s="5">
        <f t="shared" si="4"/>
        <v>4.4625431200066075</v>
      </c>
      <c r="AJ7" s="14">
        <v>90</v>
      </c>
      <c r="AK7" s="15">
        <v>2</v>
      </c>
      <c r="AL7" s="5">
        <f t="shared" si="5"/>
        <v>60</v>
      </c>
      <c r="AM7" s="5">
        <f t="shared" si="6"/>
        <v>2.2087264028694559E-2</v>
      </c>
      <c r="AN7" s="5">
        <f>AM7*$AK$16*5</f>
        <v>5.7426886474605858</v>
      </c>
    </row>
    <row r="8" spans="1:40" x14ac:dyDescent="0.25">
      <c r="A8">
        <f t="shared" si="7"/>
        <v>1977</v>
      </c>
      <c r="B8" s="1">
        <v>56.8</v>
      </c>
      <c r="C8" s="1">
        <v>50.2</v>
      </c>
      <c r="D8" s="1">
        <v>16.399999999999999</v>
      </c>
      <c r="E8" s="1">
        <v>141.6</v>
      </c>
      <c r="F8" s="1">
        <v>32.6</v>
      </c>
      <c r="G8" s="1">
        <v>97.4</v>
      </c>
      <c r="H8" s="1">
        <v>38.200000000000003</v>
      </c>
      <c r="I8" s="1">
        <v>17</v>
      </c>
      <c r="J8" s="1">
        <v>78.599999999999994</v>
      </c>
      <c r="K8" s="1">
        <v>17.8</v>
      </c>
      <c r="L8" s="1">
        <v>47.8</v>
      </c>
      <c r="M8" s="1">
        <v>9</v>
      </c>
      <c r="N8" s="1"/>
      <c r="O8">
        <f t="shared" si="0"/>
        <v>-4.7473493199268475</v>
      </c>
      <c r="P8">
        <f t="shared" si="1"/>
        <v>-4.9174790338299568</v>
      </c>
      <c r="U8" s="3" t="s">
        <v>24</v>
      </c>
      <c r="V8" s="5">
        <f>COUNT($S$3:$S$4)</f>
        <v>2</v>
      </c>
      <c r="AA8" s="5">
        <f t="shared" si="8"/>
        <v>35</v>
      </c>
      <c r="AB8" s="5">
        <f t="shared" si="9"/>
        <v>105</v>
      </c>
      <c r="AD8" s="14">
        <v>35</v>
      </c>
      <c r="AE8" s="15">
        <v>3</v>
      </c>
      <c r="AF8" s="5">
        <f t="shared" si="2"/>
        <v>22.5</v>
      </c>
      <c r="AG8" s="5">
        <f t="shared" si="3"/>
        <v>1.7155139934669612E-2</v>
      </c>
      <c r="AH8" s="5">
        <f t="shared" si="4"/>
        <v>4.4603363830140994</v>
      </c>
      <c r="AJ8" s="14">
        <v>105</v>
      </c>
      <c r="AK8" s="15">
        <v>2</v>
      </c>
      <c r="AL8" s="5">
        <f t="shared" si="5"/>
        <v>67.5</v>
      </c>
      <c r="AM8" s="5">
        <f t="shared" si="6"/>
        <v>2.2087264028694559E-2</v>
      </c>
      <c r="AN8" s="5">
        <f>AM8*$AK$16*5</f>
        <v>5.7426886474605858</v>
      </c>
    </row>
    <row r="9" spans="1:40" ht="14.4" x14ac:dyDescent="0.3">
      <c r="A9">
        <f t="shared" si="7"/>
        <v>1978</v>
      </c>
      <c r="B9" s="1">
        <v>53.2</v>
      </c>
      <c r="C9" s="1">
        <v>20</v>
      </c>
      <c r="D9" s="1">
        <v>56.2</v>
      </c>
      <c r="E9" s="1">
        <v>118.2</v>
      </c>
      <c r="F9" s="1">
        <v>84.8</v>
      </c>
      <c r="G9" s="1">
        <v>31</v>
      </c>
      <c r="H9" s="1">
        <v>48.6</v>
      </c>
      <c r="I9" s="1">
        <v>91.4</v>
      </c>
      <c r="J9" s="1">
        <v>50.8</v>
      </c>
      <c r="K9" s="1">
        <v>46.4</v>
      </c>
      <c r="L9" s="1">
        <v>134.80000000000001</v>
      </c>
      <c r="M9" s="1">
        <v>85.4</v>
      </c>
      <c r="N9" s="1"/>
      <c r="O9">
        <f t="shared" si="0"/>
        <v>-4.644749589352891</v>
      </c>
      <c r="P9">
        <f t="shared" si="1"/>
        <v>-4.1722108817935126</v>
      </c>
      <c r="R9" s="6" t="s">
        <v>25</v>
      </c>
      <c r="S9" s="5">
        <f>S3*S4</f>
        <v>42.734618618434318</v>
      </c>
      <c r="U9" s="3" t="s">
        <v>26</v>
      </c>
      <c r="V9" s="5" t="b">
        <f>AND($S$3&gt;=0.00001, $S$4 &gt;= 0.00001)</f>
        <v>1</v>
      </c>
      <c r="AA9" s="5">
        <f t="shared" si="8"/>
        <v>40</v>
      </c>
      <c r="AB9" s="5">
        <f t="shared" si="9"/>
        <v>120</v>
      </c>
      <c r="AD9" s="14">
        <v>40</v>
      </c>
      <c r="AE9" s="15">
        <v>3</v>
      </c>
      <c r="AF9" s="5">
        <f t="shared" si="2"/>
        <v>25</v>
      </c>
      <c r="AG9" s="5">
        <f t="shared" si="3"/>
        <v>1.6939500065832939E-2</v>
      </c>
      <c r="AH9" s="5">
        <f t="shared" si="4"/>
        <v>4.4042700171165645</v>
      </c>
      <c r="AJ9" s="14">
        <v>120</v>
      </c>
      <c r="AK9" s="15">
        <v>1</v>
      </c>
      <c r="AL9" s="5">
        <f t="shared" si="5"/>
        <v>75</v>
      </c>
      <c r="AM9" s="5">
        <f t="shared" si="6"/>
        <v>2.1925794259581761E-2</v>
      </c>
      <c r="AN9" s="5">
        <f>AM9*$AK$16*5</f>
        <v>5.7007065074912582</v>
      </c>
    </row>
    <row r="10" spans="1:40" x14ac:dyDescent="0.25">
      <c r="A10">
        <f t="shared" si="7"/>
        <v>1979</v>
      </c>
      <c r="B10" s="1">
        <v>37</v>
      </c>
      <c r="C10" s="1">
        <v>35.799999999999997</v>
      </c>
      <c r="D10" s="1">
        <v>23</v>
      </c>
      <c r="E10" s="1">
        <v>39</v>
      </c>
      <c r="F10" s="1">
        <v>61.6</v>
      </c>
      <c r="G10" s="1">
        <v>11.8</v>
      </c>
      <c r="H10" s="1">
        <v>11</v>
      </c>
      <c r="I10" s="1">
        <v>41.6</v>
      </c>
      <c r="J10" s="1">
        <v>50.8</v>
      </c>
      <c r="K10" s="1">
        <v>68.8</v>
      </c>
      <c r="L10" s="1">
        <v>25.6</v>
      </c>
      <c r="M10" s="1">
        <v>15.6</v>
      </c>
      <c r="N10" s="1"/>
      <c r="O10">
        <f t="shared" si="0"/>
        <v>-4.2500658472483455</v>
      </c>
      <c r="P10">
        <f t="shared" si="1"/>
        <v>-4.5572522764610746</v>
      </c>
      <c r="R10" s="3" t="s">
        <v>27</v>
      </c>
      <c r="S10" s="5">
        <f>S3*S4^2</f>
        <v>923.06172324127454</v>
      </c>
      <c r="U10" s="3"/>
      <c r="V10" s="5">
        <f>{100,100,0.000001,0.05,FALSE,FALSE,FALSE,1,1,1,0.0001,FALSE}</f>
        <v>100</v>
      </c>
      <c r="AA10" s="5">
        <f t="shared" si="8"/>
        <v>45</v>
      </c>
      <c r="AB10" s="5">
        <f t="shared" si="9"/>
        <v>135</v>
      </c>
      <c r="AD10" s="14">
        <v>45</v>
      </c>
      <c r="AE10" s="15">
        <v>6</v>
      </c>
      <c r="AF10" s="5">
        <f t="shared" si="2"/>
        <v>27.5</v>
      </c>
      <c r="AG10" s="5">
        <f t="shared" si="3"/>
        <v>1.6562889045786542E-2</v>
      </c>
      <c r="AH10" s="5">
        <f t="shared" si="4"/>
        <v>4.3063511519045008</v>
      </c>
      <c r="AJ10" s="14">
        <v>135</v>
      </c>
      <c r="AK10" s="15">
        <v>1</v>
      </c>
      <c r="AL10" s="5">
        <f t="shared" si="5"/>
        <v>82.5</v>
      </c>
      <c r="AM10" s="5">
        <f t="shared" si="6"/>
        <v>2.1925794259581761E-2</v>
      </c>
      <c r="AN10" s="5">
        <f>AM10*$AK$16*5</f>
        <v>5.7007065074912582</v>
      </c>
    </row>
    <row r="11" spans="1:40" ht="14.4" x14ac:dyDescent="0.3">
      <c r="A11">
        <f t="shared" si="7"/>
        <v>1980</v>
      </c>
      <c r="B11" s="1">
        <v>42.8</v>
      </c>
      <c r="C11" s="1">
        <v>12.4</v>
      </c>
      <c r="D11" s="1">
        <v>22</v>
      </c>
      <c r="E11" s="1">
        <v>41.2</v>
      </c>
      <c r="F11" s="1">
        <v>42.2</v>
      </c>
      <c r="G11" s="1">
        <v>41.6</v>
      </c>
      <c r="H11" s="1">
        <v>23.2</v>
      </c>
      <c r="I11" s="1">
        <v>32.6</v>
      </c>
      <c r="J11" s="1">
        <v>21.4</v>
      </c>
      <c r="K11" s="1">
        <v>91.4</v>
      </c>
      <c r="L11" s="1">
        <v>26.8</v>
      </c>
      <c r="M11" s="1">
        <v>41</v>
      </c>
      <c r="N11" s="1"/>
      <c r="O11">
        <f t="shared" si="0"/>
        <v>-4.3761014979366815</v>
      </c>
      <c r="P11">
        <f t="shared" si="1"/>
        <v>-3.9965660457704475</v>
      </c>
      <c r="R11" s="6" t="s">
        <v>28</v>
      </c>
      <c r="S11" s="5">
        <f>SQRT(S10)</f>
        <v>30.381930867561305</v>
      </c>
      <c r="U11" s="3" t="s">
        <v>29</v>
      </c>
      <c r="V11" s="5">
        <f>MAX($S$7)</f>
        <v>-241.39442776845863</v>
      </c>
      <c r="AA11" s="5">
        <f t="shared" si="8"/>
        <v>50</v>
      </c>
      <c r="AB11" s="5">
        <f t="shared" si="9"/>
        <v>150</v>
      </c>
      <c r="AD11" s="14">
        <v>50</v>
      </c>
      <c r="AE11" s="15">
        <v>2</v>
      </c>
      <c r="AF11" s="5">
        <f t="shared" si="2"/>
        <v>30</v>
      </c>
      <c r="AG11" s="5">
        <f t="shared" si="3"/>
        <v>1.6063681243439876E-2</v>
      </c>
      <c r="AH11" s="5">
        <f t="shared" si="4"/>
        <v>4.1765571232943675</v>
      </c>
      <c r="AJ11" s="14">
        <v>150</v>
      </c>
      <c r="AK11" s="15">
        <v>0</v>
      </c>
      <c r="AL11" s="5">
        <f t="shared" si="5"/>
        <v>90</v>
      </c>
      <c r="AM11" s="5">
        <f t="shared" si="6"/>
        <v>0</v>
      </c>
      <c r="AN11" s="5">
        <f>AM11*$AK$16*5</f>
        <v>0</v>
      </c>
    </row>
    <row r="12" spans="1:40" x14ac:dyDescent="0.25">
      <c r="A12">
        <f t="shared" si="7"/>
        <v>1981</v>
      </c>
      <c r="B12" s="1">
        <v>44.4</v>
      </c>
      <c r="C12" s="1">
        <v>24.2</v>
      </c>
      <c r="D12" s="1">
        <v>32.799999999999997</v>
      </c>
      <c r="E12" s="1">
        <v>4.8</v>
      </c>
      <c r="F12" s="1">
        <v>92.2</v>
      </c>
      <c r="G12" s="1">
        <v>46.6</v>
      </c>
      <c r="H12" s="1">
        <v>61</v>
      </c>
      <c r="I12" s="1">
        <v>77.599999999999994</v>
      </c>
      <c r="J12" s="1">
        <v>10.6</v>
      </c>
      <c r="K12" s="1">
        <v>53.6</v>
      </c>
      <c r="L12" s="1">
        <v>48.4</v>
      </c>
      <c r="M12" s="1">
        <v>24.4</v>
      </c>
      <c r="N12" s="1"/>
      <c r="O12">
        <f t="shared" si="0"/>
        <v>-4.4142649616150544</v>
      </c>
      <c r="P12">
        <f t="shared" si="1"/>
        <v>-4.2728314689504137</v>
      </c>
      <c r="AA12" s="5">
        <f t="shared" si="8"/>
        <v>55</v>
      </c>
      <c r="AB12" s="5">
        <f t="shared" si="9"/>
        <v>165</v>
      </c>
      <c r="AD12" s="14">
        <v>55</v>
      </c>
      <c r="AE12" s="15">
        <v>4</v>
      </c>
      <c r="AF12" s="5">
        <f t="shared" si="2"/>
        <v>32.5</v>
      </c>
      <c r="AG12" s="5">
        <f t="shared" si="3"/>
        <v>1.5473650216271508E-2</v>
      </c>
      <c r="AH12" s="5">
        <f t="shared" si="4"/>
        <v>4.0231490562305918</v>
      </c>
      <c r="AJ12" s="14">
        <v>165</v>
      </c>
      <c r="AK12" s="15">
        <v>0</v>
      </c>
      <c r="AL12" s="5">
        <f t="shared" si="5"/>
        <v>97.5</v>
      </c>
      <c r="AM12" s="5">
        <f t="shared" si="6"/>
        <v>0</v>
      </c>
      <c r="AN12" s="5">
        <f>AM12*$AK$16*5</f>
        <v>0</v>
      </c>
    </row>
    <row r="13" spans="1:40" x14ac:dyDescent="0.25">
      <c r="A13">
        <f t="shared" si="7"/>
        <v>1982</v>
      </c>
      <c r="B13" s="1">
        <v>49.4</v>
      </c>
      <c r="C13" s="1">
        <v>6.4</v>
      </c>
      <c r="D13" s="1">
        <v>40</v>
      </c>
      <c r="E13" s="1">
        <v>14.8</v>
      </c>
      <c r="F13" s="1">
        <v>23.6</v>
      </c>
      <c r="G13" s="1">
        <v>25.4</v>
      </c>
      <c r="H13" s="1">
        <v>9.6</v>
      </c>
      <c r="I13" s="1">
        <v>24.6</v>
      </c>
      <c r="J13" s="1">
        <v>32.200000000000003</v>
      </c>
      <c r="K13" s="1">
        <v>30.2</v>
      </c>
      <c r="L13" s="1">
        <v>58.6</v>
      </c>
      <c r="M13" s="1">
        <v>60</v>
      </c>
      <c r="N13" s="1"/>
      <c r="O13">
        <f t="shared" si="0"/>
        <v>-4.5413347554011088</v>
      </c>
      <c r="P13">
        <f t="shared" si="1"/>
        <v>-3.8716197758143851</v>
      </c>
      <c r="R13" s="16" t="s">
        <v>31</v>
      </c>
      <c r="S13" s="16"/>
      <c r="T13" s="16"/>
      <c r="U13" s="16"/>
      <c r="V13" s="16"/>
      <c r="W13" s="16"/>
      <c r="X13" s="16"/>
      <c r="Y13" s="16"/>
      <c r="AA13" s="5">
        <f t="shared" si="8"/>
        <v>60</v>
      </c>
      <c r="AB13" s="5">
        <f t="shared" si="9"/>
        <v>180</v>
      </c>
      <c r="AD13" s="14">
        <v>60</v>
      </c>
      <c r="AE13" s="15">
        <v>3</v>
      </c>
      <c r="AF13" s="5">
        <f t="shared" si="2"/>
        <v>35</v>
      </c>
      <c r="AG13" s="5">
        <f t="shared" si="3"/>
        <v>1.4818988071230832E-2</v>
      </c>
      <c r="AH13" s="5">
        <f t="shared" si="4"/>
        <v>3.8529368985200163</v>
      </c>
      <c r="AJ13" s="14">
        <v>180</v>
      </c>
      <c r="AK13" s="15">
        <v>1</v>
      </c>
      <c r="AL13" s="5">
        <f t="shared" si="5"/>
        <v>105</v>
      </c>
      <c r="AM13" s="5">
        <f t="shared" si="6"/>
        <v>2.1925794259581761E-2</v>
      </c>
      <c r="AN13" s="5">
        <f>AM13*$AK$16*5</f>
        <v>5.7007065074912582</v>
      </c>
    </row>
    <row r="14" spans="1:40" x14ac:dyDescent="0.25">
      <c r="A14">
        <f t="shared" si="7"/>
        <v>1983</v>
      </c>
      <c r="B14" s="1">
        <v>41.4</v>
      </c>
      <c r="C14" s="1">
        <v>8.1999999999999993</v>
      </c>
      <c r="D14" s="1">
        <v>38.4</v>
      </c>
      <c r="E14" s="1">
        <v>41.6</v>
      </c>
      <c r="F14" s="1">
        <v>52</v>
      </c>
      <c r="G14" s="1">
        <v>35.200000000000003</v>
      </c>
      <c r="H14" s="1">
        <v>60.6</v>
      </c>
      <c r="I14" s="1">
        <v>64.8</v>
      </c>
      <c r="J14" s="1">
        <v>66</v>
      </c>
      <c r="K14" s="1">
        <v>123.8</v>
      </c>
      <c r="L14" s="1">
        <v>67.2</v>
      </c>
      <c r="M14" s="1">
        <v>22.8</v>
      </c>
      <c r="N14" s="1"/>
      <c r="O14">
        <f t="shared" si="0"/>
        <v>-4.3438273700225594</v>
      </c>
      <c r="P14">
        <f t="shared" si="1"/>
        <v>-3.9067162391752639</v>
      </c>
      <c r="R14" s="17" t="s">
        <v>13</v>
      </c>
      <c r="S14" s="17"/>
      <c r="U14" s="17" t="s">
        <v>14</v>
      </c>
      <c r="V14" s="17"/>
      <c r="X14" s="3" t="s">
        <v>15</v>
      </c>
      <c r="Y14" s="4">
        <f>MIN($C$2:$C$53)</f>
        <v>1</v>
      </c>
      <c r="AA14" s="5">
        <f t="shared" si="8"/>
        <v>65</v>
      </c>
      <c r="AB14" s="5">
        <f t="shared" si="9"/>
        <v>195</v>
      </c>
      <c r="AD14" s="14">
        <v>65</v>
      </c>
      <c r="AE14" s="15">
        <v>1</v>
      </c>
      <c r="AF14" s="5">
        <f t="shared" si="2"/>
        <v>37.5</v>
      </c>
      <c r="AG14" s="5">
        <f t="shared" si="3"/>
        <v>1.4121170446132007E-2</v>
      </c>
      <c r="AH14" s="5">
        <f t="shared" si="4"/>
        <v>3.6715043159943219</v>
      </c>
      <c r="AJ14" s="14">
        <v>195</v>
      </c>
      <c r="AK14" s="15">
        <v>0</v>
      </c>
      <c r="AL14" s="5">
        <f t="shared" si="5"/>
        <v>112.5</v>
      </c>
      <c r="AM14" s="5">
        <f t="shared" si="6"/>
        <v>0</v>
      </c>
      <c r="AN14" s="5">
        <f>AM14*$AK$16*5</f>
        <v>0</v>
      </c>
    </row>
    <row r="15" spans="1:40" x14ac:dyDescent="0.25">
      <c r="A15">
        <f t="shared" si="7"/>
        <v>1984</v>
      </c>
      <c r="B15" s="1">
        <v>51.2</v>
      </c>
      <c r="C15" s="1">
        <v>17.600000000000001</v>
      </c>
      <c r="D15" s="1">
        <v>41.4</v>
      </c>
      <c r="E15" s="1">
        <v>49.8</v>
      </c>
      <c r="F15" s="1">
        <v>11.8</v>
      </c>
      <c r="G15" s="1">
        <v>19</v>
      </c>
      <c r="H15" s="1">
        <v>44.6</v>
      </c>
      <c r="I15" s="1">
        <v>42.9</v>
      </c>
      <c r="J15" s="1">
        <v>76.8</v>
      </c>
      <c r="K15" s="1">
        <v>25</v>
      </c>
      <c r="L15" s="1">
        <v>43.4</v>
      </c>
      <c r="M15" s="1">
        <v>21</v>
      </c>
      <c r="N15" s="1"/>
      <c r="O15">
        <f t="shared" si="0"/>
        <v>-4.5896501547056809</v>
      </c>
      <c r="P15">
        <f t="shared" si="1"/>
        <v>-4.1156268609600097</v>
      </c>
      <c r="R15" s="3" t="s">
        <v>16</v>
      </c>
      <c r="S15" s="5">
        <v>1.0483120388058396</v>
      </c>
      <c r="U15" s="3" t="s">
        <v>17</v>
      </c>
      <c r="V15" s="5">
        <f>V17/V16</f>
        <v>0.87181513106797792</v>
      </c>
      <c r="X15" s="3" t="s">
        <v>18</v>
      </c>
      <c r="Y15" s="4">
        <f>MAX($C$2:$C$53)</f>
        <v>200.6</v>
      </c>
      <c r="AA15" s="5">
        <f t="shared" si="8"/>
        <v>70</v>
      </c>
      <c r="AB15" s="5">
        <f t="shared" si="9"/>
        <v>210</v>
      </c>
      <c r="AD15" s="14">
        <v>70</v>
      </c>
      <c r="AE15" s="15">
        <v>1</v>
      </c>
      <c r="AF15" s="5">
        <f t="shared" si="2"/>
        <v>40</v>
      </c>
      <c r="AG15" s="5">
        <f t="shared" si="3"/>
        <v>1.3397692216767945E-2</v>
      </c>
      <c r="AH15" s="5">
        <f t="shared" si="4"/>
        <v>3.4833999763596655</v>
      </c>
      <c r="AJ15" s="14">
        <v>210</v>
      </c>
      <c r="AK15" s="15">
        <v>1</v>
      </c>
      <c r="AL15" s="5">
        <f t="shared" si="5"/>
        <v>120</v>
      </c>
      <c r="AM15" s="5">
        <f t="shared" si="6"/>
        <v>2.1925794259581761E-2</v>
      </c>
      <c r="AN15" s="5">
        <f>AM15*$AK$16*5</f>
        <v>5.7007065074912582</v>
      </c>
    </row>
    <row r="16" spans="1:40" ht="14.4" thickBot="1" x14ac:dyDescent="0.3">
      <c r="A16">
        <f t="shared" si="7"/>
        <v>1985</v>
      </c>
      <c r="B16" s="1">
        <v>17.8</v>
      </c>
      <c r="C16" s="1">
        <v>5.2</v>
      </c>
      <c r="D16" s="1">
        <v>57.6</v>
      </c>
      <c r="E16" s="1">
        <v>32.799999999999997</v>
      </c>
      <c r="F16" s="1">
        <v>51.8</v>
      </c>
      <c r="G16" s="1">
        <v>53.4</v>
      </c>
      <c r="H16" s="1">
        <v>35.4</v>
      </c>
      <c r="I16" s="1">
        <v>60</v>
      </c>
      <c r="J16" s="1">
        <v>48.8</v>
      </c>
      <c r="K16" s="1">
        <v>44.6</v>
      </c>
      <c r="L16" s="1">
        <v>101.6</v>
      </c>
      <c r="M16" s="1">
        <v>130.19999999999999</v>
      </c>
      <c r="N16" s="1"/>
      <c r="O16">
        <f t="shared" si="0"/>
        <v>-4.0771348559510292</v>
      </c>
      <c r="P16">
        <f t="shared" si="1"/>
        <v>-3.8502713010438869</v>
      </c>
      <c r="R16" s="3" t="s">
        <v>19</v>
      </c>
      <c r="S16" s="5">
        <v>38.24097162248173</v>
      </c>
      <c r="U16" s="3" t="s">
        <v>20</v>
      </c>
      <c r="V16" s="5">
        <f>V18^2/V17</f>
        <v>45.982754955575246</v>
      </c>
      <c r="AA16" s="5">
        <f t="shared" si="8"/>
        <v>75</v>
      </c>
      <c r="AB16" s="5">
        <v>15</v>
      </c>
      <c r="AD16" s="14">
        <v>75</v>
      </c>
      <c r="AE16" s="15">
        <v>2</v>
      </c>
      <c r="AF16" s="5">
        <f t="shared" si="2"/>
        <v>42.5</v>
      </c>
      <c r="AG16" s="5">
        <f t="shared" si="3"/>
        <v>1.2662694050259328E-2</v>
      </c>
      <c r="AH16" s="5">
        <f t="shared" si="4"/>
        <v>3.2923004530674254</v>
      </c>
      <c r="AJ16" s="11"/>
      <c r="AK16" s="11">
        <v>52</v>
      </c>
    </row>
    <row r="17" spans="1:37" x14ac:dyDescent="0.25">
      <c r="A17">
        <f t="shared" si="7"/>
        <v>1986</v>
      </c>
      <c r="B17" s="1">
        <v>14.6</v>
      </c>
      <c r="C17" s="1">
        <v>10.199999999999999</v>
      </c>
      <c r="D17" s="1">
        <v>9.4</v>
      </c>
      <c r="E17" s="1">
        <v>32.799999999999997</v>
      </c>
      <c r="F17" s="1">
        <v>47.4</v>
      </c>
      <c r="G17" s="1">
        <v>18.2</v>
      </c>
      <c r="H17" s="1">
        <v>53.2</v>
      </c>
      <c r="I17" s="1">
        <v>41.2</v>
      </c>
      <c r="J17" s="1">
        <v>41</v>
      </c>
      <c r="K17" s="1">
        <v>51.6</v>
      </c>
      <c r="L17" s="1">
        <v>37.200000000000003</v>
      </c>
      <c r="M17" s="1">
        <v>56.2</v>
      </c>
      <c r="N17" s="1"/>
      <c r="O17">
        <f t="shared" si="0"/>
        <v>-4.1228954242797302</v>
      </c>
      <c r="P17">
        <f t="shared" si="1"/>
        <v>-3.9484718907896665</v>
      </c>
      <c r="R17" s="3" t="s">
        <v>21</v>
      </c>
      <c r="S17" s="5">
        <f>GAMMALN(S15)</f>
        <v>-2.6010544778373997E-2</v>
      </c>
      <c r="U17" s="3" t="s">
        <v>22</v>
      </c>
      <c r="V17" s="5">
        <f>AVERAGE($C$2:$C$53)</f>
        <v>40.088461538461544</v>
      </c>
      <c r="AA17" s="5">
        <f t="shared" si="8"/>
        <v>80</v>
      </c>
      <c r="AB17" s="5">
        <v>15</v>
      </c>
      <c r="AD17" s="14">
        <v>80</v>
      </c>
      <c r="AE17" s="15">
        <v>1</v>
      </c>
      <c r="AF17" s="5">
        <f t="shared" si="2"/>
        <v>45</v>
      </c>
      <c r="AG17" s="5">
        <f t="shared" si="3"/>
        <v>1.1927496287238094E-2</v>
      </c>
      <c r="AH17" s="5">
        <f t="shared" si="4"/>
        <v>3.1011490346819044</v>
      </c>
      <c r="AJ17" s="9"/>
      <c r="AK17" s="10"/>
    </row>
    <row r="18" spans="1:37" x14ac:dyDescent="0.25">
      <c r="A18">
        <f t="shared" si="7"/>
        <v>1987</v>
      </c>
      <c r="B18" s="1">
        <v>89.8</v>
      </c>
      <c r="C18" s="1">
        <v>48.2</v>
      </c>
      <c r="D18" s="1">
        <v>36.799999999999997</v>
      </c>
      <c r="E18" s="1">
        <v>19.8</v>
      </c>
      <c r="F18" s="1">
        <v>51.6</v>
      </c>
      <c r="G18" s="1">
        <v>58.8</v>
      </c>
      <c r="H18" s="1">
        <v>94.4</v>
      </c>
      <c r="I18" s="1">
        <v>16.399999999999999</v>
      </c>
      <c r="J18" s="1">
        <v>28.6</v>
      </c>
      <c r="K18" s="1">
        <v>34.4</v>
      </c>
      <c r="L18" s="1">
        <v>54.2</v>
      </c>
      <c r="M18" s="1">
        <v>93.8</v>
      </c>
      <c r="N18" s="1"/>
      <c r="O18">
        <f t="shared" si="0"/>
        <v>-5.8269513715660199</v>
      </c>
      <c r="P18">
        <f t="shared" si="1"/>
        <v>-4.8671432819867073</v>
      </c>
      <c r="U18" s="3" t="s">
        <v>23</v>
      </c>
      <c r="V18" s="5">
        <f>STDEV($C$2:$C$53)</f>
        <v>42.934577015141073</v>
      </c>
      <c r="AA18" s="5">
        <f t="shared" si="8"/>
        <v>85</v>
      </c>
      <c r="AB18" s="5">
        <v>15</v>
      </c>
      <c r="AD18" s="14">
        <v>85</v>
      </c>
      <c r="AE18" s="15">
        <v>0</v>
      </c>
      <c r="AF18" s="5">
        <f t="shared" si="2"/>
        <v>47.5</v>
      </c>
      <c r="AG18" s="5">
        <f t="shared" si="3"/>
        <v>1.1201053859932253E-2</v>
      </c>
      <c r="AH18" s="5">
        <f t="shared" si="4"/>
        <v>2.912274003582386</v>
      </c>
      <c r="AJ18" s="9"/>
      <c r="AK18" s="10"/>
    </row>
    <row r="19" spans="1:37" ht="14.4" x14ac:dyDescent="0.3">
      <c r="A19">
        <f t="shared" si="7"/>
        <v>1988</v>
      </c>
      <c r="B19" s="1">
        <v>55.8</v>
      </c>
      <c r="C19" s="1">
        <v>7.6</v>
      </c>
      <c r="D19" s="1">
        <v>27</v>
      </c>
      <c r="E19" s="1">
        <v>13.6</v>
      </c>
      <c r="F19" s="1">
        <v>56.6</v>
      </c>
      <c r="G19" s="1">
        <v>43</v>
      </c>
      <c r="H19" s="1">
        <v>41.8</v>
      </c>
      <c r="I19" s="1">
        <v>40.200000000000003</v>
      </c>
      <c r="J19" s="1">
        <v>33</v>
      </c>
      <c r="K19" s="1">
        <v>22.4</v>
      </c>
      <c r="L19" s="1">
        <v>158</v>
      </c>
      <c r="M19" s="1">
        <v>65</v>
      </c>
      <c r="N19" s="1"/>
      <c r="O19">
        <f t="shared" si="0"/>
        <v>-4.7184327071607512</v>
      </c>
      <c r="P19">
        <f t="shared" si="1"/>
        <v>-3.8946972953522359</v>
      </c>
      <c r="R19" s="6" t="s">
        <v>33</v>
      </c>
      <c r="S19" s="5">
        <f>SUM(P2:P53)</f>
        <v>-243.90005977098127</v>
      </c>
      <c r="AA19" s="5">
        <f t="shared" si="8"/>
        <v>90</v>
      </c>
      <c r="AB19" s="5">
        <v>15</v>
      </c>
      <c r="AD19" s="14">
        <v>90</v>
      </c>
      <c r="AE19" s="15">
        <v>2</v>
      </c>
      <c r="AF19" s="5">
        <f t="shared" si="2"/>
        <v>50</v>
      </c>
      <c r="AG19" s="5">
        <f t="shared" si="3"/>
        <v>1.0490343764567669E-2</v>
      </c>
      <c r="AH19" s="5">
        <f t="shared" si="4"/>
        <v>2.7274893787875936</v>
      </c>
      <c r="AJ19" s="9"/>
      <c r="AK19" s="10"/>
    </row>
    <row r="20" spans="1:37" x14ac:dyDescent="0.25">
      <c r="A20">
        <f t="shared" si="7"/>
        <v>1989</v>
      </c>
      <c r="B20" s="1">
        <v>53.4</v>
      </c>
      <c r="C20" s="1">
        <v>16</v>
      </c>
      <c r="D20" s="1">
        <v>85.8</v>
      </c>
      <c r="E20" s="1">
        <v>74.400000000000006</v>
      </c>
      <c r="F20" s="1">
        <v>45.8</v>
      </c>
      <c r="G20" s="1">
        <v>83</v>
      </c>
      <c r="H20" s="1">
        <v>44</v>
      </c>
      <c r="I20" s="1">
        <v>56</v>
      </c>
      <c r="J20" s="1">
        <v>28.2</v>
      </c>
      <c r="K20" s="1">
        <v>72</v>
      </c>
      <c r="L20" s="1">
        <v>22.8</v>
      </c>
      <c r="M20" s="1">
        <v>16.8</v>
      </c>
      <c r="N20" s="1"/>
      <c r="O20">
        <f t="shared" si="0"/>
        <v>-4.6503373570036137</v>
      </c>
      <c r="P20">
        <f t="shared" si="1"/>
        <v>-4.0783915489729283</v>
      </c>
      <c r="U20" s="3" t="s">
        <v>24</v>
      </c>
      <c r="V20" s="5">
        <f>COUNT($S$3:$S$4)</f>
        <v>2</v>
      </c>
      <c r="AA20" s="5">
        <f t="shared" si="8"/>
        <v>95</v>
      </c>
      <c r="AB20" s="5">
        <v>15</v>
      </c>
      <c r="AD20" s="14">
        <v>95</v>
      </c>
      <c r="AE20" s="15">
        <v>0</v>
      </c>
      <c r="AF20" s="5">
        <f t="shared" si="2"/>
        <v>52.5</v>
      </c>
      <c r="AG20" s="5">
        <f t="shared" si="3"/>
        <v>9.8006948382668782E-3</v>
      </c>
      <c r="AH20" s="5">
        <f t="shared" si="4"/>
        <v>2.5481806579493882</v>
      </c>
      <c r="AJ20" s="9"/>
      <c r="AK20" s="10"/>
    </row>
    <row r="21" spans="1:37" ht="14.4" x14ac:dyDescent="0.3">
      <c r="A21">
        <f t="shared" si="7"/>
        <v>1990</v>
      </c>
      <c r="B21" s="1">
        <v>4.4000000000000004</v>
      </c>
      <c r="C21" s="1">
        <v>119.4</v>
      </c>
      <c r="D21" s="1">
        <v>29.6</v>
      </c>
      <c r="E21" s="1">
        <v>80.599999999999994</v>
      </c>
      <c r="F21" s="1">
        <v>9.4</v>
      </c>
      <c r="G21" s="1">
        <v>38.799999999999997</v>
      </c>
      <c r="H21" s="1">
        <v>68.5</v>
      </c>
      <c r="I21" s="1">
        <v>41</v>
      </c>
      <c r="J21" s="1">
        <v>41.2</v>
      </c>
      <c r="K21" s="1">
        <v>65.2</v>
      </c>
      <c r="L21" s="1">
        <v>26</v>
      </c>
      <c r="M21" s="1">
        <v>36.200000000000003</v>
      </c>
      <c r="N21" s="1"/>
      <c r="O21">
        <f t="shared" si="0"/>
        <v>-4.8242606652456175</v>
      </c>
      <c r="P21">
        <f t="shared" si="1"/>
        <v>-6.6851958352646212</v>
      </c>
      <c r="R21" s="6" t="s">
        <v>25</v>
      </c>
      <c r="S21" s="5">
        <f>S15*S16</f>
        <v>40.088470927480074</v>
      </c>
      <c r="U21" s="3" t="s">
        <v>26</v>
      </c>
      <c r="V21" s="5" t="b">
        <f>AND($S$15&gt;=0.00001, $S$16 &gt;= 0.00001)</f>
        <v>1</v>
      </c>
      <c r="AA21" s="5">
        <f t="shared" si="8"/>
        <v>100</v>
      </c>
      <c r="AB21" s="5">
        <f t="shared" ref="AB4:AB22" si="10">AB20+10</f>
        <v>25</v>
      </c>
      <c r="AD21" s="14">
        <v>100</v>
      </c>
      <c r="AE21" s="15">
        <v>2</v>
      </c>
      <c r="AF21" s="5">
        <f t="shared" si="2"/>
        <v>55</v>
      </c>
      <c r="AG21" s="5">
        <f t="shared" si="3"/>
        <v>9.1360681364891418E-3</v>
      </c>
      <c r="AH21" s="5">
        <f t="shared" si="4"/>
        <v>2.3753777154871769</v>
      </c>
      <c r="AJ21" s="9"/>
      <c r="AK21" s="10"/>
    </row>
    <row r="22" spans="1:37" x14ac:dyDescent="0.25">
      <c r="A22">
        <f t="shared" si="7"/>
        <v>1991</v>
      </c>
      <c r="B22" s="1">
        <v>101.6</v>
      </c>
      <c r="C22" s="1">
        <v>1</v>
      </c>
      <c r="D22" s="1">
        <v>19.399999999999999</v>
      </c>
      <c r="E22" s="1">
        <v>45</v>
      </c>
      <c r="F22" s="1">
        <v>20.399999999999999</v>
      </c>
      <c r="G22" s="1">
        <v>105.4</v>
      </c>
      <c r="H22" s="1">
        <v>48.2</v>
      </c>
      <c r="I22" s="1">
        <v>42.6</v>
      </c>
      <c r="J22" s="1">
        <v>58.6</v>
      </c>
      <c r="K22" s="1">
        <v>26</v>
      </c>
      <c r="L22" s="1">
        <v>20.399999999999999</v>
      </c>
      <c r="M22" s="1">
        <v>75.8</v>
      </c>
      <c r="N22" s="1"/>
      <c r="O22">
        <f t="shared" si="0"/>
        <v>-6.2524510523406764</v>
      </c>
      <c r="P22">
        <f t="shared" si="1"/>
        <v>-3.8200915151733499</v>
      </c>
      <c r="R22" s="3" t="s">
        <v>27</v>
      </c>
      <c r="S22" s="5">
        <f>S15*S16^2</f>
        <v>1533.0220791264494</v>
      </c>
      <c r="U22" s="3"/>
      <c r="V22" s="5">
        <f>{100,100,0.000001,0.05,FALSE,FALSE,FALSE,1,1,1,0.0001,FALSE}</f>
        <v>100</v>
      </c>
      <c r="AA22" s="5">
        <f t="shared" si="8"/>
        <v>105</v>
      </c>
      <c r="AB22" s="5">
        <f t="shared" si="10"/>
        <v>35</v>
      </c>
      <c r="AD22" s="14">
        <v>105</v>
      </c>
      <c r="AE22" s="15">
        <v>1</v>
      </c>
      <c r="AF22" s="5">
        <f t="shared" si="2"/>
        <v>57.5</v>
      </c>
      <c r="AG22" s="5">
        <f t="shared" si="3"/>
        <v>8.4992949956192131E-3</v>
      </c>
      <c r="AH22" s="5">
        <f t="shared" si="4"/>
        <v>2.2098166988609953</v>
      </c>
      <c r="AJ22" s="9"/>
      <c r="AK22" s="10"/>
    </row>
    <row r="23" spans="1:37" ht="14.4" x14ac:dyDescent="0.3">
      <c r="A23">
        <f t="shared" si="7"/>
        <v>1992</v>
      </c>
      <c r="B23" s="1">
        <v>34.799999999999997</v>
      </c>
      <c r="C23" s="1">
        <v>20.8</v>
      </c>
      <c r="D23" s="1">
        <v>23.6</v>
      </c>
      <c r="E23" s="1">
        <v>48.6</v>
      </c>
      <c r="F23" s="1">
        <v>46.2</v>
      </c>
      <c r="G23" s="1">
        <v>32.799999999999997</v>
      </c>
      <c r="H23" s="1">
        <v>32.200000000000003</v>
      </c>
      <c r="I23" s="1">
        <v>60.4</v>
      </c>
      <c r="J23" s="1">
        <v>119.8</v>
      </c>
      <c r="K23" s="1">
        <v>90</v>
      </c>
      <c r="L23" s="1">
        <v>93.2</v>
      </c>
      <c r="M23" s="1">
        <v>62.4</v>
      </c>
      <c r="N23" s="1"/>
      <c r="O23">
        <f t="shared" si="0"/>
        <v>-4.2081939019119332</v>
      </c>
      <c r="P23">
        <f t="shared" si="1"/>
        <v>-4.1912360197238483</v>
      </c>
      <c r="R23" s="6" t="s">
        <v>28</v>
      </c>
      <c r="S23" s="5">
        <f>SQRT(S22)</f>
        <v>39.153825855546344</v>
      </c>
      <c r="U23" s="3" t="s">
        <v>29</v>
      </c>
      <c r="V23" s="5">
        <f>MAX($S$7)</f>
        <v>-241.39442776845863</v>
      </c>
      <c r="AA23" s="5">
        <f>AA22+5</f>
        <v>110</v>
      </c>
      <c r="AB23" s="5"/>
      <c r="AD23" s="14">
        <v>110</v>
      </c>
      <c r="AE23" s="15">
        <v>1</v>
      </c>
      <c r="AF23" s="5">
        <f t="shared" si="2"/>
        <v>60</v>
      </c>
      <c r="AG23" s="5">
        <f t="shared" si="3"/>
        <v>7.8922788464231113E-3</v>
      </c>
      <c r="AH23" s="5">
        <f t="shared" si="4"/>
        <v>2.0519925000700088</v>
      </c>
      <c r="AJ23" s="9"/>
      <c r="AK23" s="10"/>
    </row>
    <row r="24" spans="1:37" ht="14.4" thickBot="1" x14ac:dyDescent="0.3">
      <c r="A24">
        <f t="shared" si="7"/>
        <v>1993</v>
      </c>
      <c r="B24" s="1">
        <v>66.599999999999994</v>
      </c>
      <c r="C24" s="1">
        <v>40</v>
      </c>
      <c r="D24" s="1">
        <v>63</v>
      </c>
      <c r="E24" s="1">
        <v>16.399999999999999</v>
      </c>
      <c r="F24" s="1">
        <v>25.8</v>
      </c>
      <c r="G24" s="1">
        <v>29.6</v>
      </c>
      <c r="H24" s="1">
        <v>45</v>
      </c>
      <c r="I24" s="1">
        <v>35.200000000000003</v>
      </c>
      <c r="J24" s="1">
        <v>127</v>
      </c>
      <c r="K24" s="1">
        <v>52.8</v>
      </c>
      <c r="L24" s="1">
        <v>69.2</v>
      </c>
      <c r="M24" s="1">
        <v>79.8</v>
      </c>
      <c r="N24" s="1"/>
      <c r="O24">
        <f t="shared" si="0"/>
        <v>-5.045315028972766</v>
      </c>
      <c r="P24">
        <f t="shared" si="1"/>
        <v>-4.6617227919628883</v>
      </c>
      <c r="AD24" s="11"/>
      <c r="AE24" s="11">
        <f>SUM(AE2:AE23)</f>
        <v>52</v>
      </c>
      <c r="AJ24" s="9"/>
      <c r="AK24" s="10"/>
    </row>
    <row r="25" spans="1:37" x14ac:dyDescent="0.25">
      <c r="A25">
        <f t="shared" si="7"/>
        <v>1994</v>
      </c>
      <c r="B25" s="1">
        <v>27</v>
      </c>
      <c r="C25" s="1">
        <v>94.4</v>
      </c>
      <c r="D25" s="1">
        <v>26.2</v>
      </c>
      <c r="E25" s="1">
        <v>37.799999999999997</v>
      </c>
      <c r="F25" s="1">
        <v>23</v>
      </c>
      <c r="G25" s="1">
        <v>46</v>
      </c>
      <c r="H25" s="1">
        <v>7</v>
      </c>
      <c r="I25" s="1">
        <v>22.8</v>
      </c>
      <c r="J25" s="1">
        <v>31.8</v>
      </c>
      <c r="K25" s="1">
        <v>29</v>
      </c>
      <c r="L25" s="1">
        <v>22.4</v>
      </c>
      <c r="M25" s="1">
        <v>15.4</v>
      </c>
      <c r="N25" s="1"/>
      <c r="O25">
        <f t="shared" si="0"/>
        <v>-4.0953964223746286</v>
      </c>
      <c r="P25">
        <f t="shared" si="1"/>
        <v>-6.0427970956437731</v>
      </c>
      <c r="AJ25" s="9"/>
      <c r="AK25" s="10"/>
    </row>
    <row r="26" spans="1:37" x14ac:dyDescent="0.25">
      <c r="A26">
        <f t="shared" si="7"/>
        <v>1995</v>
      </c>
      <c r="B26" s="1">
        <v>90</v>
      </c>
      <c r="C26" s="1">
        <v>25.8</v>
      </c>
      <c r="D26" s="1">
        <v>50.4</v>
      </c>
      <c r="E26" s="1">
        <v>74.2</v>
      </c>
      <c r="F26" s="1">
        <v>61</v>
      </c>
      <c r="G26" s="1">
        <v>41.8</v>
      </c>
      <c r="H26" s="1">
        <v>39.4</v>
      </c>
      <c r="I26" s="1">
        <v>39.4</v>
      </c>
      <c r="J26" s="1">
        <v>37.799999999999997</v>
      </c>
      <c r="K26" s="1">
        <v>97.6</v>
      </c>
      <c r="L26" s="1">
        <v>90.8</v>
      </c>
      <c r="M26" s="1">
        <v>32.799999999999997</v>
      </c>
      <c r="N26" s="1"/>
      <c r="O26">
        <f t="shared" si="0"/>
        <v>-5.8340338996047114</v>
      </c>
      <c r="P26">
        <f t="shared" si="1"/>
        <v>-4.3115783835177197</v>
      </c>
      <c r="AJ26" s="9"/>
      <c r="AK26" s="10"/>
    </row>
    <row r="27" spans="1:37" x14ac:dyDescent="0.25">
      <c r="A27">
        <f t="shared" si="7"/>
        <v>1996</v>
      </c>
      <c r="B27" s="1">
        <v>71</v>
      </c>
      <c r="C27" s="1">
        <v>97.2</v>
      </c>
      <c r="D27" s="1">
        <v>35.6</v>
      </c>
      <c r="E27" s="1">
        <v>54</v>
      </c>
      <c r="F27" s="1">
        <v>40.200000000000003</v>
      </c>
      <c r="G27" s="1">
        <v>55.8</v>
      </c>
      <c r="H27" s="1">
        <v>57.4</v>
      </c>
      <c r="I27" s="1">
        <v>36.200000000000003</v>
      </c>
      <c r="J27" s="1">
        <v>55.2</v>
      </c>
      <c r="K27" s="1">
        <v>25.6</v>
      </c>
      <c r="L27" s="1">
        <v>55.6</v>
      </c>
      <c r="M27" s="1">
        <v>12</v>
      </c>
      <c r="N27" s="1"/>
      <c r="O27">
        <f t="shared" si="0"/>
        <v>-5.1864223134104135</v>
      </c>
      <c r="P27">
        <f t="shared" si="1"/>
        <v>-6.1146048491348859</v>
      </c>
      <c r="AJ27" s="9"/>
      <c r="AK27" s="10"/>
    </row>
    <row r="28" spans="1:37" x14ac:dyDescent="0.25">
      <c r="A28">
        <f t="shared" si="7"/>
        <v>1997</v>
      </c>
      <c r="B28" s="1">
        <v>23</v>
      </c>
      <c r="C28" s="1">
        <v>4.4000000000000004</v>
      </c>
      <c r="D28" s="1">
        <v>5.6</v>
      </c>
      <c r="E28" s="1">
        <v>10.6</v>
      </c>
      <c r="F28" s="1">
        <v>38.799999999999997</v>
      </c>
      <c r="G28" s="1">
        <v>32.200000000000003</v>
      </c>
      <c r="H28" s="1">
        <v>19.2</v>
      </c>
      <c r="I28" s="1">
        <v>19.399999999999999</v>
      </c>
      <c r="J28" s="1">
        <v>55.2</v>
      </c>
      <c r="K28" s="1">
        <v>30</v>
      </c>
      <c r="L28" s="1">
        <v>65.8</v>
      </c>
      <c r="M28" s="1">
        <v>6</v>
      </c>
      <c r="N28" s="1"/>
      <c r="O28">
        <f t="shared" si="0"/>
        <v>-4.0671000991036186</v>
      </c>
      <c r="P28">
        <f t="shared" si="1"/>
        <v>-3.8374220539186181</v>
      </c>
      <c r="AJ28" s="9"/>
      <c r="AK28" s="10"/>
    </row>
    <row r="29" spans="1:37" x14ac:dyDescent="0.25">
      <c r="A29">
        <f t="shared" si="7"/>
        <v>1998</v>
      </c>
      <c r="B29" s="1">
        <v>42.8</v>
      </c>
      <c r="C29" s="1">
        <v>53.8</v>
      </c>
      <c r="D29" s="1">
        <v>4.4000000000000004</v>
      </c>
      <c r="E29" s="1">
        <v>33.6</v>
      </c>
      <c r="F29" s="1">
        <v>33</v>
      </c>
      <c r="G29" s="1">
        <v>49.2</v>
      </c>
      <c r="H29" s="1">
        <v>35.6</v>
      </c>
      <c r="I29" s="1">
        <v>25</v>
      </c>
      <c r="J29" s="1">
        <v>23.4</v>
      </c>
      <c r="K29" s="1">
        <v>47.8</v>
      </c>
      <c r="L29" s="1">
        <v>51.2</v>
      </c>
      <c r="M29" s="1">
        <v>62</v>
      </c>
      <c r="N29" s="1"/>
      <c r="O29">
        <f t="shared" si="0"/>
        <v>-4.3761014979366815</v>
      </c>
      <c r="P29">
        <f t="shared" si="1"/>
        <v>-5.0082728848241898</v>
      </c>
      <c r="AJ29" s="9"/>
      <c r="AK29" s="10"/>
    </row>
    <row r="30" spans="1:37" x14ac:dyDescent="0.25">
      <c r="A30">
        <f t="shared" si="7"/>
        <v>1999</v>
      </c>
      <c r="B30" s="1">
        <v>34.200000000000003</v>
      </c>
      <c r="C30" s="1">
        <v>45.4</v>
      </c>
      <c r="D30" s="1">
        <v>69.599999999999994</v>
      </c>
      <c r="E30" s="1">
        <v>14</v>
      </c>
      <c r="F30" s="1">
        <v>27.8</v>
      </c>
      <c r="G30" s="1">
        <v>28.2</v>
      </c>
      <c r="H30" s="1">
        <v>12.2</v>
      </c>
      <c r="I30" s="1">
        <v>71.8</v>
      </c>
      <c r="J30" s="1">
        <v>28.6</v>
      </c>
      <c r="K30" s="1">
        <v>54.4</v>
      </c>
      <c r="L30" s="1">
        <v>29.4</v>
      </c>
      <c r="M30" s="1">
        <v>139</v>
      </c>
      <c r="N30" s="1"/>
      <c r="O30">
        <f t="shared" si="0"/>
        <v>-4.1974331975772561</v>
      </c>
      <c r="P30">
        <f t="shared" si="1"/>
        <v>-4.796814711603691</v>
      </c>
      <c r="AJ30" s="9"/>
      <c r="AK30" s="10"/>
    </row>
    <row r="31" spans="1:37" x14ac:dyDescent="0.25">
      <c r="A31">
        <f t="shared" si="7"/>
        <v>2000</v>
      </c>
      <c r="B31" s="1">
        <v>41.2</v>
      </c>
      <c r="C31" s="1">
        <v>34.6</v>
      </c>
      <c r="D31" s="1">
        <v>24.6</v>
      </c>
      <c r="E31" s="1">
        <v>39.6</v>
      </c>
      <c r="F31" s="1">
        <v>78.400000000000006</v>
      </c>
      <c r="G31" s="1">
        <v>27.6</v>
      </c>
      <c r="H31" s="1">
        <v>35</v>
      </c>
      <c r="I31" s="1">
        <v>31</v>
      </c>
      <c r="J31" s="1">
        <v>65.2</v>
      </c>
      <c r="K31" s="1">
        <v>124.4</v>
      </c>
      <c r="L31" s="1">
        <v>38.200000000000003</v>
      </c>
      <c r="M31" s="1">
        <v>18.399999999999999</v>
      </c>
      <c r="N31" s="1"/>
      <c r="O31">
        <f t="shared" si="0"/>
        <v>-4.3393064008957936</v>
      </c>
      <c r="P31">
        <f t="shared" si="1"/>
        <v>-4.527519481503246</v>
      </c>
      <c r="AJ31" s="9"/>
      <c r="AK31" s="10"/>
    </row>
    <row r="32" spans="1:37" x14ac:dyDescent="0.25">
      <c r="A32">
        <f t="shared" si="7"/>
        <v>2001</v>
      </c>
      <c r="B32" s="1">
        <v>7.2</v>
      </c>
      <c r="C32" s="1">
        <v>11.4</v>
      </c>
      <c r="D32" s="1">
        <v>142.19999999999999</v>
      </c>
      <c r="E32" s="1">
        <v>96.8</v>
      </c>
      <c r="F32" s="1">
        <v>13.4</v>
      </c>
      <c r="G32" s="1">
        <v>35.6</v>
      </c>
      <c r="H32" s="1">
        <v>10</v>
      </c>
      <c r="I32" s="1">
        <v>43.4</v>
      </c>
      <c r="J32" s="1">
        <v>20.8</v>
      </c>
      <c r="K32" s="1">
        <v>51</v>
      </c>
      <c r="L32" s="1">
        <v>56.6</v>
      </c>
      <c r="M32" s="1">
        <v>50</v>
      </c>
      <c r="N32" s="1"/>
      <c r="O32">
        <f t="shared" si="0"/>
        <v>-4.4720189032102979</v>
      </c>
      <c r="P32">
        <f t="shared" si="1"/>
        <v>-3.9744783094093021</v>
      </c>
      <c r="AJ32" s="9"/>
      <c r="AK32" s="10"/>
    </row>
    <row r="33" spans="1:38" x14ac:dyDescent="0.25">
      <c r="A33">
        <f t="shared" si="7"/>
        <v>2002</v>
      </c>
      <c r="B33" s="1">
        <v>33.6</v>
      </c>
      <c r="C33" s="1">
        <v>52</v>
      </c>
      <c r="D33" s="1">
        <v>41</v>
      </c>
      <c r="E33" s="1">
        <v>41</v>
      </c>
      <c r="F33" s="1">
        <v>18.8</v>
      </c>
      <c r="G33" s="1">
        <v>30.6</v>
      </c>
      <c r="H33" s="1">
        <v>31.6</v>
      </c>
      <c r="I33" s="1">
        <v>22.6</v>
      </c>
      <c r="J33" s="1">
        <v>28</v>
      </c>
      <c r="K33" s="1">
        <v>25.4</v>
      </c>
      <c r="L33" s="1">
        <v>18.2</v>
      </c>
      <c r="M33" s="1">
        <v>10.199999999999999</v>
      </c>
      <c r="N33" s="1"/>
      <c r="O33">
        <f t="shared" si="0"/>
        <v>-4.1869736991890072</v>
      </c>
      <c r="P33">
        <f t="shared" si="1"/>
        <v>-4.9628469976295175</v>
      </c>
      <c r="AJ33" s="9"/>
      <c r="AK33" s="10"/>
    </row>
    <row r="34" spans="1:38" x14ac:dyDescent="0.25">
      <c r="A34">
        <f t="shared" si="7"/>
        <v>2003</v>
      </c>
      <c r="B34" s="1">
        <v>7.6</v>
      </c>
      <c r="C34" s="1">
        <v>17.8</v>
      </c>
      <c r="D34" s="1">
        <v>23</v>
      </c>
      <c r="E34" s="1">
        <v>57</v>
      </c>
      <c r="F34" s="1">
        <v>13</v>
      </c>
      <c r="G34" s="1">
        <v>36.6</v>
      </c>
      <c r="H34" s="1">
        <v>61.2</v>
      </c>
      <c r="I34" s="1">
        <v>50.6</v>
      </c>
      <c r="J34" s="1">
        <v>25.4</v>
      </c>
      <c r="K34" s="1">
        <v>69.8</v>
      </c>
      <c r="L34" s="1">
        <v>26.8</v>
      </c>
      <c r="M34" s="1">
        <v>30.6</v>
      </c>
      <c r="N34" s="1"/>
      <c r="O34">
        <f t="shared" si="0"/>
        <v>-4.437634523553653</v>
      </c>
      <c r="P34">
        <f t="shared" si="1"/>
        <v>-4.120310949044641</v>
      </c>
      <c r="AJ34" s="9"/>
      <c r="AK34" s="10"/>
    </row>
    <row r="35" spans="1:38" x14ac:dyDescent="0.25">
      <c r="A35">
        <f t="shared" si="7"/>
        <v>2004</v>
      </c>
      <c r="B35" s="1">
        <v>24.4</v>
      </c>
      <c r="C35" s="1">
        <v>9.8000000000000007</v>
      </c>
      <c r="D35" s="1">
        <v>20.2</v>
      </c>
      <c r="E35" s="1">
        <v>49</v>
      </c>
      <c r="F35" s="1">
        <v>18.2</v>
      </c>
      <c r="G35" s="1">
        <v>24.2</v>
      </c>
      <c r="H35" s="1">
        <v>27.8</v>
      </c>
      <c r="I35" s="1">
        <v>69.400000000000006</v>
      </c>
      <c r="J35" s="1">
        <v>47.8</v>
      </c>
      <c r="K35" s="1">
        <v>45.2</v>
      </c>
      <c r="L35" s="1">
        <v>113</v>
      </c>
      <c r="M35" s="1">
        <v>59.2</v>
      </c>
      <c r="N35" s="1"/>
      <c r="O35">
        <f t="shared" si="0"/>
        <v>-4.0740987531295989</v>
      </c>
      <c r="P35">
        <f t="shared" si="1"/>
        <v>-3.9399446447948692</v>
      </c>
      <c r="AJ35" s="9"/>
      <c r="AK35" s="10"/>
    </row>
    <row r="36" spans="1:38" ht="14.4" thickBot="1" x14ac:dyDescent="0.3">
      <c r="A36">
        <f t="shared" si="7"/>
        <v>2005</v>
      </c>
      <c r="B36" s="1">
        <v>24</v>
      </c>
      <c r="C36" s="1">
        <v>200.6</v>
      </c>
      <c r="D36" s="1">
        <v>7.8</v>
      </c>
      <c r="E36" s="1">
        <v>26</v>
      </c>
      <c r="F36" s="1">
        <v>8</v>
      </c>
      <c r="G36" s="1">
        <v>31</v>
      </c>
      <c r="H36" s="1">
        <v>21.8</v>
      </c>
      <c r="I36" s="1">
        <v>57.6</v>
      </c>
      <c r="J36" s="1">
        <v>39.4</v>
      </c>
      <c r="K36" s="1">
        <v>69</v>
      </c>
      <c r="L36" s="1">
        <v>64.599999999999994</v>
      </c>
      <c r="M36" s="1">
        <v>48</v>
      </c>
      <c r="N36" s="1"/>
      <c r="O36">
        <f t="shared" si="0"/>
        <v>-4.0717534983677783</v>
      </c>
      <c r="P36">
        <f t="shared" si="1"/>
        <v>-8.7835069330833218</v>
      </c>
      <c r="AJ36" s="11"/>
      <c r="AK36" s="11"/>
      <c r="AL36" s="10"/>
    </row>
    <row r="37" spans="1:38" x14ac:dyDescent="0.25">
      <c r="A37">
        <f t="shared" si="7"/>
        <v>2006</v>
      </c>
      <c r="B37" s="1">
        <v>50.6</v>
      </c>
      <c r="C37" s="1">
        <v>58.8</v>
      </c>
      <c r="D37" s="1">
        <v>13.2</v>
      </c>
      <c r="E37" s="1">
        <v>43.2</v>
      </c>
      <c r="F37" s="1">
        <v>40.4</v>
      </c>
      <c r="G37" s="1">
        <v>10.4</v>
      </c>
      <c r="H37" s="1">
        <v>39.4</v>
      </c>
      <c r="I37" s="1">
        <v>27.2</v>
      </c>
      <c r="J37" s="1">
        <v>38.4</v>
      </c>
      <c r="K37" s="1">
        <v>8.4</v>
      </c>
      <c r="L37" s="1">
        <v>39</v>
      </c>
      <c r="M37" s="1">
        <v>15.8</v>
      </c>
      <c r="N37" s="1"/>
      <c r="O37">
        <f t="shared" si="0"/>
        <v>-4.5734063269020666</v>
      </c>
      <c r="P37">
        <f t="shared" si="1"/>
        <v>-5.1347292877409219</v>
      </c>
    </row>
    <row r="38" spans="1:38" x14ac:dyDescent="0.25">
      <c r="A38">
        <f t="shared" si="7"/>
        <v>2007</v>
      </c>
      <c r="B38" s="1">
        <v>24.2</v>
      </c>
      <c r="C38" s="1">
        <v>13</v>
      </c>
      <c r="D38" s="1">
        <v>39.4</v>
      </c>
      <c r="E38" s="1">
        <v>29.2</v>
      </c>
      <c r="F38" s="1">
        <v>41</v>
      </c>
      <c r="G38" s="1">
        <v>45.4</v>
      </c>
      <c r="H38" s="1">
        <v>41.2</v>
      </c>
      <c r="I38" s="1">
        <v>17.600000000000001</v>
      </c>
      <c r="J38" s="1">
        <v>8.1999999999999993</v>
      </c>
      <c r="K38" s="1">
        <v>5.6</v>
      </c>
      <c r="L38" s="1">
        <v>74.599999999999994</v>
      </c>
      <c r="M38" s="1">
        <v>83.2</v>
      </c>
      <c r="N38" s="1"/>
      <c r="O38">
        <f t="shared" si="0"/>
        <v>-4.0728927092837575</v>
      </c>
      <c r="P38">
        <f t="shared" si="1"/>
        <v>-4.0099731404735026</v>
      </c>
    </row>
    <row r="39" spans="1:38" x14ac:dyDescent="0.25">
      <c r="A39">
        <f t="shared" si="7"/>
        <v>2008</v>
      </c>
      <c r="B39" s="1">
        <v>38.799999999999997</v>
      </c>
      <c r="C39" s="1">
        <v>31.2</v>
      </c>
      <c r="D39" s="1">
        <v>23.2</v>
      </c>
      <c r="E39" s="1">
        <v>9.8000000000000007</v>
      </c>
      <c r="F39" s="1">
        <v>36.200000000000003</v>
      </c>
      <c r="G39" s="1">
        <v>12.6</v>
      </c>
      <c r="H39" s="1">
        <v>38.200000000000003</v>
      </c>
      <c r="I39" s="1">
        <v>46</v>
      </c>
      <c r="J39" s="1">
        <v>16.8</v>
      </c>
      <c r="K39" s="1">
        <v>11.4</v>
      </c>
      <c r="L39" s="1">
        <v>46.8</v>
      </c>
      <c r="M39" s="1">
        <v>94.6</v>
      </c>
      <c r="N39" s="1"/>
      <c r="O39">
        <f t="shared" si="0"/>
        <v>-4.2869202353528966</v>
      </c>
      <c r="P39">
        <f t="shared" si="1"/>
        <v>-4.4436067907869807</v>
      </c>
    </row>
    <row r="40" spans="1:38" x14ac:dyDescent="0.25">
      <c r="A40">
        <f t="shared" si="7"/>
        <v>2009</v>
      </c>
      <c r="B40" s="1">
        <v>1.6</v>
      </c>
      <c r="C40" s="1">
        <v>6</v>
      </c>
      <c r="D40" s="1">
        <v>35.799999999999997</v>
      </c>
      <c r="E40" s="1">
        <v>33.4</v>
      </c>
      <c r="F40" s="1">
        <v>11.2</v>
      </c>
      <c r="G40" s="1">
        <v>19.399999999999999</v>
      </c>
      <c r="H40" s="1">
        <v>25.2</v>
      </c>
      <c r="I40" s="1">
        <v>35.6</v>
      </c>
      <c r="J40" s="1">
        <v>55</v>
      </c>
      <c r="K40" s="1">
        <v>20.2</v>
      </c>
      <c r="L40" s="1">
        <v>117</v>
      </c>
      <c r="M40" s="1">
        <v>37.4</v>
      </c>
      <c r="N40" s="1"/>
      <c r="O40">
        <f t="shared" si="0"/>
        <v>-5.6844488119469689</v>
      </c>
      <c r="P40">
        <f t="shared" si="1"/>
        <v>-3.8642777780789603</v>
      </c>
    </row>
    <row r="41" spans="1:38" x14ac:dyDescent="0.25">
      <c r="A41">
        <f t="shared" si="7"/>
        <v>2010</v>
      </c>
      <c r="B41" s="1">
        <v>26.8</v>
      </c>
      <c r="C41" s="1">
        <v>36.6</v>
      </c>
      <c r="D41" s="1">
        <v>88</v>
      </c>
      <c r="E41" s="1">
        <v>18</v>
      </c>
      <c r="F41" s="1">
        <v>31.4</v>
      </c>
      <c r="G41" s="1">
        <v>47</v>
      </c>
      <c r="H41" s="1">
        <v>27.4</v>
      </c>
      <c r="I41" s="1">
        <v>64.8</v>
      </c>
      <c r="J41" s="1">
        <v>42</v>
      </c>
      <c r="K41" s="1">
        <v>131.19999999999999</v>
      </c>
      <c r="L41" s="1">
        <v>130</v>
      </c>
      <c r="M41" s="1">
        <v>84.2</v>
      </c>
      <c r="N41" s="1"/>
      <c r="O41">
        <f>(S$3-1)*LN(B41)-B41/$S$4-$S$3*LN($S$4)-$S$5</f>
        <v>-4.0934119874208079</v>
      </c>
      <c r="P41">
        <f t="shared" si="1"/>
        <v>-4.577104534185346</v>
      </c>
    </row>
    <row r="42" spans="1:38" x14ac:dyDescent="0.25">
      <c r="A42">
        <f t="shared" si="7"/>
        <v>2011</v>
      </c>
      <c r="B42" s="1">
        <v>97.2</v>
      </c>
      <c r="C42" s="1">
        <v>87.4</v>
      </c>
      <c r="D42" s="1">
        <v>27.4</v>
      </c>
      <c r="E42" s="1">
        <v>44.4</v>
      </c>
      <c r="F42" s="1">
        <v>42.8</v>
      </c>
      <c r="G42" s="1">
        <v>20.2</v>
      </c>
      <c r="H42" s="1">
        <v>22.2</v>
      </c>
      <c r="I42" s="1">
        <v>15.4</v>
      </c>
      <c r="J42" s="1">
        <v>76</v>
      </c>
      <c r="K42" s="1">
        <v>72.8</v>
      </c>
      <c r="L42" s="1">
        <v>112</v>
      </c>
      <c r="M42" s="1">
        <v>60.6</v>
      </c>
      <c r="N42" s="1"/>
      <c r="O42">
        <f t="shared" si="0"/>
        <v>-6.0920655354643731</v>
      </c>
      <c r="P42">
        <f t="shared" si="1"/>
        <v>-5.8634695925845906</v>
      </c>
    </row>
    <row r="43" spans="1:38" x14ac:dyDescent="0.25">
      <c r="A43">
        <f t="shared" si="7"/>
        <v>2012</v>
      </c>
      <c r="B43" s="1">
        <v>10.6</v>
      </c>
      <c r="C43" s="1">
        <v>81.599999999999994</v>
      </c>
      <c r="D43" s="1">
        <v>64</v>
      </c>
      <c r="E43" s="1">
        <v>35.4</v>
      </c>
      <c r="F43" s="1">
        <v>54</v>
      </c>
      <c r="G43" s="1">
        <v>55.4</v>
      </c>
      <c r="H43" s="1">
        <v>34.200000000000003</v>
      </c>
      <c r="I43" s="1">
        <v>50.4</v>
      </c>
      <c r="J43" s="1">
        <v>29.8</v>
      </c>
      <c r="K43" s="1">
        <v>25</v>
      </c>
      <c r="L43" s="1">
        <v>23.6</v>
      </c>
      <c r="M43" s="1">
        <v>18.8</v>
      </c>
      <c r="N43" s="1"/>
      <c r="O43">
        <f t="shared" si="0"/>
        <v>-4.250982550832596</v>
      </c>
      <c r="P43">
        <f t="shared" si="1"/>
        <v>-5.7151172015810001</v>
      </c>
    </row>
    <row r="44" spans="1:38" x14ac:dyDescent="0.25">
      <c r="A44">
        <f t="shared" si="7"/>
        <v>2013</v>
      </c>
      <c r="B44" s="1">
        <v>9.8000000000000007</v>
      </c>
      <c r="C44" s="1">
        <v>55.2</v>
      </c>
      <c r="D44" s="1">
        <v>44.2</v>
      </c>
      <c r="E44" s="1">
        <v>24.2</v>
      </c>
      <c r="F44" s="1">
        <v>26</v>
      </c>
      <c r="G44" s="1">
        <v>126</v>
      </c>
      <c r="H44" s="1">
        <v>35</v>
      </c>
      <c r="I44" s="1">
        <v>38.200000000000003</v>
      </c>
      <c r="J44" s="1">
        <v>66</v>
      </c>
      <c r="K44" s="1">
        <v>42.6</v>
      </c>
      <c r="L44" s="1">
        <v>56.8</v>
      </c>
      <c r="M44" s="1">
        <v>35.799999999999997</v>
      </c>
      <c r="N44" s="1"/>
      <c r="O44">
        <f t="shared" si="0"/>
        <v>-4.2907271975970289</v>
      </c>
      <c r="P44">
        <f t="shared" si="1"/>
        <v>-5.0436417218299177</v>
      </c>
    </row>
    <row r="45" spans="1:38" x14ac:dyDescent="0.25">
      <c r="A45">
        <f t="shared" si="7"/>
        <v>2014</v>
      </c>
      <c r="B45" s="1">
        <v>8.4</v>
      </c>
      <c r="C45" s="1">
        <v>14</v>
      </c>
      <c r="D45" s="1">
        <v>25.4</v>
      </c>
      <c r="E45" s="1">
        <v>65.599999999999994</v>
      </c>
      <c r="F45" s="1">
        <v>17.8</v>
      </c>
      <c r="G45" s="1">
        <v>44.4</v>
      </c>
      <c r="H45" s="1">
        <v>20.6</v>
      </c>
      <c r="I45" s="1">
        <v>31.2</v>
      </c>
      <c r="J45" s="1">
        <v>47.2</v>
      </c>
      <c r="K45" s="1">
        <v>36.4</v>
      </c>
      <c r="L45" s="1">
        <v>50.2</v>
      </c>
      <c r="M45" s="1">
        <v>41.4</v>
      </c>
      <c r="N45" s="1"/>
      <c r="O45">
        <f t="shared" si="0"/>
        <v>-4.3767433904857569</v>
      </c>
      <c r="P45">
        <f t="shared" si="1"/>
        <v>-4.0325427964297278</v>
      </c>
    </row>
    <row r="46" spans="1:38" x14ac:dyDescent="0.25">
      <c r="A46">
        <f t="shared" si="7"/>
        <v>2015</v>
      </c>
      <c r="B46" s="1">
        <v>30</v>
      </c>
      <c r="C46" s="1">
        <v>38.799999999999997</v>
      </c>
      <c r="D46" s="1">
        <v>22.2</v>
      </c>
      <c r="E46" s="1">
        <v>35.200000000000003</v>
      </c>
      <c r="F46" s="1">
        <v>25.4</v>
      </c>
      <c r="G46" s="1">
        <v>23.4</v>
      </c>
      <c r="H46" s="1">
        <v>63.6</v>
      </c>
      <c r="I46" s="1">
        <v>19.399999999999999</v>
      </c>
      <c r="J46" s="1">
        <v>27.8</v>
      </c>
      <c r="K46" s="1">
        <v>16.600000000000001</v>
      </c>
      <c r="L46" s="1">
        <v>54.2</v>
      </c>
      <c r="M46" s="1">
        <v>44.8</v>
      </c>
      <c r="N46" s="1"/>
      <c r="O46">
        <f t="shared" si="0"/>
        <v>-4.1311943785830465</v>
      </c>
      <c r="P46">
        <f t="shared" si="1"/>
        <v>-4.6318143825576001</v>
      </c>
    </row>
    <row r="47" spans="1:38" x14ac:dyDescent="0.25">
      <c r="A47">
        <f t="shared" si="7"/>
        <v>2016</v>
      </c>
      <c r="B47" s="1">
        <v>44.8</v>
      </c>
      <c r="C47" s="1">
        <v>4.4000000000000004</v>
      </c>
      <c r="D47" s="1">
        <v>27.2</v>
      </c>
      <c r="E47" s="1">
        <v>36.4</v>
      </c>
      <c r="F47" s="1">
        <v>47</v>
      </c>
      <c r="G47" s="1">
        <v>66.400000000000006</v>
      </c>
      <c r="H47" s="1">
        <v>63.4</v>
      </c>
      <c r="I47" s="1">
        <v>30.6</v>
      </c>
      <c r="J47" s="1">
        <v>99.8</v>
      </c>
      <c r="K47" s="1">
        <v>77.400000000000006</v>
      </c>
      <c r="L47" s="1">
        <v>39.799999999999997</v>
      </c>
      <c r="M47" s="1">
        <v>77.400000000000006</v>
      </c>
      <c r="N47" s="1"/>
      <c r="O47">
        <f t="shared" si="0"/>
        <v>-4.4240080491073828</v>
      </c>
      <c r="P47">
        <f t="shared" si="1"/>
        <v>-3.8374220539186181</v>
      </c>
    </row>
    <row r="48" spans="1:38" x14ac:dyDescent="0.25">
      <c r="A48">
        <f t="shared" si="7"/>
        <v>2017</v>
      </c>
      <c r="B48" s="1">
        <v>25.6</v>
      </c>
      <c r="C48" s="1">
        <v>32.4</v>
      </c>
      <c r="D48" s="1">
        <v>33.4</v>
      </c>
      <c r="E48" s="1">
        <v>103.2</v>
      </c>
      <c r="F48" s="1">
        <v>19.399999999999999</v>
      </c>
      <c r="G48" s="1">
        <v>16.399999999999999</v>
      </c>
      <c r="H48" s="1">
        <v>17.8</v>
      </c>
      <c r="I48" s="1">
        <v>40</v>
      </c>
      <c r="J48" s="1">
        <v>28</v>
      </c>
      <c r="K48" s="1">
        <v>33.200000000000003</v>
      </c>
      <c r="L48" s="1">
        <v>51.6</v>
      </c>
      <c r="M48" s="1">
        <v>124.4</v>
      </c>
      <c r="N48" s="1"/>
      <c r="O48">
        <f t="shared" si="0"/>
        <v>-4.0826792110262673</v>
      </c>
      <c r="P48">
        <f t="shared" si="1"/>
        <v>-4.4731634344162137</v>
      </c>
    </row>
    <row r="49" spans="1:16" x14ac:dyDescent="0.25">
      <c r="A49">
        <f t="shared" si="7"/>
        <v>2018</v>
      </c>
      <c r="B49" s="1">
        <v>70.2</v>
      </c>
      <c r="C49" s="1">
        <v>2.2000000000000002</v>
      </c>
      <c r="D49" s="1">
        <v>30</v>
      </c>
      <c r="E49" s="1">
        <v>7</v>
      </c>
      <c r="F49" s="1">
        <v>60</v>
      </c>
      <c r="G49" s="1">
        <v>71.400000000000006</v>
      </c>
      <c r="H49" s="1">
        <v>16.2</v>
      </c>
      <c r="I49" s="1">
        <v>21.6</v>
      </c>
      <c r="J49" s="1">
        <v>16.399999999999999</v>
      </c>
      <c r="K49" s="1">
        <v>38.4</v>
      </c>
      <c r="L49" s="1">
        <v>98.6</v>
      </c>
      <c r="M49" s="1">
        <v>116.8</v>
      </c>
      <c r="N49" s="1"/>
      <c r="O49">
        <f t="shared" si="0"/>
        <v>-5.1604726032364052</v>
      </c>
      <c r="P49">
        <f t="shared" si="1"/>
        <v>-3.8133794884019663</v>
      </c>
    </row>
    <row r="50" spans="1:16" x14ac:dyDescent="0.25">
      <c r="A50">
        <f t="shared" si="7"/>
        <v>2019</v>
      </c>
      <c r="B50" s="1">
        <v>11.2</v>
      </c>
      <c r="C50" s="1">
        <v>15.2</v>
      </c>
      <c r="D50" s="1">
        <v>6.4</v>
      </c>
      <c r="E50" s="1">
        <v>5</v>
      </c>
      <c r="F50" s="1">
        <v>59.8</v>
      </c>
      <c r="G50" s="1">
        <v>58.4</v>
      </c>
      <c r="H50" s="1">
        <v>26.6</v>
      </c>
      <c r="I50" s="1">
        <v>47.2</v>
      </c>
      <c r="J50" s="1">
        <v>38.4</v>
      </c>
      <c r="K50" s="1">
        <v>33.200000000000003</v>
      </c>
      <c r="L50" s="1">
        <v>49.6</v>
      </c>
      <c r="M50" s="1">
        <v>7.8</v>
      </c>
      <c r="N50" s="1"/>
      <c r="O50">
        <f t="shared" si="0"/>
        <v>-4.2248863073000233</v>
      </c>
      <c r="P50">
        <f t="shared" si="1"/>
        <v>-4.0599496620556694</v>
      </c>
    </row>
    <row r="51" spans="1:16" x14ac:dyDescent="0.25">
      <c r="A51">
        <f t="shared" si="7"/>
        <v>2020</v>
      </c>
      <c r="B51" s="1">
        <v>100</v>
      </c>
      <c r="C51" s="1">
        <v>56.6</v>
      </c>
      <c r="D51" s="1">
        <v>89.8</v>
      </c>
      <c r="E51" s="1">
        <v>130.80000000000001</v>
      </c>
      <c r="F51" s="1">
        <v>49.8</v>
      </c>
      <c r="G51" s="1">
        <v>22.8</v>
      </c>
      <c r="H51" s="1">
        <v>28</v>
      </c>
      <c r="I51" s="1">
        <v>66.8</v>
      </c>
      <c r="J51" s="1">
        <v>27.8</v>
      </c>
      <c r="K51" s="1">
        <v>64.400000000000006</v>
      </c>
      <c r="L51" s="1">
        <v>44.8</v>
      </c>
      <c r="M51" s="1">
        <v>30.8</v>
      </c>
      <c r="N51" s="1"/>
      <c r="O51">
        <f t="shared" si="0"/>
        <v>-6.1939080500665531</v>
      </c>
      <c r="P51">
        <f t="shared" si="1"/>
        <v>-5.0790416454194043</v>
      </c>
    </row>
    <row r="52" spans="1:16" x14ac:dyDescent="0.25">
      <c r="A52">
        <f t="shared" si="7"/>
        <v>2021</v>
      </c>
      <c r="B52" s="1">
        <v>106.4</v>
      </c>
      <c r="C52" s="1">
        <v>5.2</v>
      </c>
      <c r="D52" s="1">
        <v>49</v>
      </c>
      <c r="E52" s="1">
        <v>13.2</v>
      </c>
      <c r="F52" s="1">
        <v>67.599999999999994</v>
      </c>
      <c r="G52" s="1">
        <v>50.4</v>
      </c>
      <c r="H52" s="1">
        <v>24</v>
      </c>
      <c r="I52" s="1">
        <v>35.200000000000003</v>
      </c>
      <c r="J52" s="1">
        <v>66.599999999999994</v>
      </c>
      <c r="K52" s="1">
        <v>126.8</v>
      </c>
      <c r="L52" s="1">
        <v>86</v>
      </c>
      <c r="M52" s="1">
        <v>34.799999999999997</v>
      </c>
      <c r="N52" s="1"/>
      <c r="O52">
        <f t="shared" si="0"/>
        <v>-6.4295066703743791</v>
      </c>
      <c r="P52">
        <f t="shared" si="1"/>
        <v>-3.8502713010438869</v>
      </c>
    </row>
    <row r="53" spans="1:16" x14ac:dyDescent="0.25">
      <c r="A53">
        <f t="shared" si="7"/>
        <v>2022</v>
      </c>
      <c r="B53" s="1">
        <v>58.2</v>
      </c>
      <c r="C53" s="1">
        <v>4.8</v>
      </c>
      <c r="D53" s="1">
        <v>67</v>
      </c>
      <c r="E53" s="1">
        <v>68.2</v>
      </c>
      <c r="F53" s="1">
        <v>17.2</v>
      </c>
      <c r="G53" s="1">
        <v>30.6</v>
      </c>
      <c r="H53" s="1">
        <v>38.200000000000003</v>
      </c>
      <c r="I53" s="1">
        <v>62</v>
      </c>
      <c r="J53" s="1">
        <v>49</v>
      </c>
      <c r="K53" s="1">
        <v>146</v>
      </c>
      <c r="L53" s="1">
        <v>74.8</v>
      </c>
      <c r="M53" s="1">
        <v>94.2</v>
      </c>
      <c r="N53" s="1"/>
      <c r="O53">
        <f t="shared" si="0"/>
        <v>-4.7883398250092384</v>
      </c>
      <c r="P53">
        <f t="shared" si="1"/>
        <v>-3.8436783421700405</v>
      </c>
    </row>
  </sheetData>
  <sortState ref="AJ2:AJ15">
    <sortCondition ref="AJ2"/>
  </sortState>
  <mergeCells count="6">
    <mergeCell ref="R1:Y1"/>
    <mergeCell ref="R13:Y13"/>
    <mergeCell ref="R14:S14"/>
    <mergeCell ref="U14:V14"/>
    <mergeCell ref="R2:S2"/>
    <mergeCell ref="U2:V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王海越</cp:lastModifiedBy>
  <dcterms:created xsi:type="dcterms:W3CDTF">2023-09-04T04:34:46Z</dcterms:created>
  <dcterms:modified xsi:type="dcterms:W3CDTF">2023-10-07T01:15:05Z</dcterms:modified>
</cp:coreProperties>
</file>