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base\0000 PDAC 2021\COG exercise\"/>
    </mc:Choice>
  </mc:AlternateContent>
  <xr:revisionPtr revIDLastSave="0" documentId="8_{F4AEDDC4-7B63-41FD-A349-B4819CE0D3A1}" xr6:coauthVersionLast="45" xr6:coauthVersionMax="45" xr10:uidLastSave="{00000000-0000-0000-0000-000000000000}"/>
  <bookViews>
    <workbookView xWindow="28680" yWindow="45" windowWidth="29040" windowHeight="15840" xr2:uid="{00000000-000D-0000-FFFF-FFFF00000000}"/>
  </bookViews>
  <sheets>
    <sheet name="Exercise" sheetId="2" r:id="rId1"/>
    <sheet name="Table 1" sheetId="1" r:id="rId2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2" l="1"/>
  <c r="C9" i="2"/>
  <c r="C11" i="2" s="1"/>
  <c r="C13" i="2" l="1"/>
  <c r="C24" i="2"/>
  <c r="C15" i="2" l="1"/>
  <c r="C25" i="2" s="1"/>
  <c r="C16" i="2"/>
  <c r="E11" i="1"/>
  <c r="D11" i="1"/>
  <c r="E10" i="1"/>
  <c r="E12" i="1" s="1"/>
  <c r="E25" i="1" s="1"/>
  <c r="D10" i="1"/>
  <c r="D12" i="1" s="1"/>
  <c r="D25" i="1" s="1"/>
  <c r="C26" i="2" l="1"/>
  <c r="C21" i="2"/>
  <c r="C20" i="2"/>
  <c r="D14" i="1"/>
  <c r="E14" i="1"/>
  <c r="D17" i="1"/>
  <c r="E17" i="1"/>
  <c r="D16" i="1"/>
  <c r="E16" i="1"/>
  <c r="C22" i="2" l="1"/>
  <c r="C27" i="2" s="1"/>
  <c r="D27" i="1"/>
  <c r="D22" i="1"/>
  <c r="E21" i="1"/>
  <c r="E26" i="1"/>
  <c r="D26" i="1"/>
  <c r="D21" i="1"/>
  <c r="E27" i="1"/>
  <c r="E22" i="1"/>
  <c r="C29" i="2" l="1"/>
  <c r="C32" i="2" s="1"/>
  <c r="C30" i="2"/>
  <c r="C33" i="2" s="1"/>
  <c r="D23" i="1"/>
  <c r="D28" i="1" s="1"/>
  <c r="D42" i="1" s="1"/>
  <c r="E23" i="1"/>
  <c r="E28" i="1" s="1"/>
  <c r="E42" i="1" s="1"/>
  <c r="D31" i="1" l="1"/>
  <c r="D34" i="1" s="1"/>
  <c r="E30" i="1"/>
  <c r="E33" i="1" s="1"/>
  <c r="D30" i="1"/>
  <c r="D33" i="1" s="1"/>
  <c r="E31" i="1"/>
  <c r="E34" i="1" s="1"/>
  <c r="E35" i="1" l="1"/>
  <c r="E36" i="1" s="1"/>
  <c r="D35" i="1"/>
  <c r="D36" i="1" s="1"/>
</calcChain>
</file>

<file path=xl/sharedStrings.xml><?xml version="1.0" encoding="utf-8"?>
<sst xmlns="http://schemas.openxmlformats.org/spreadsheetml/2006/main" count="146" uniqueCount="53">
  <si>
    <t>Au</t>
  </si>
  <si>
    <t>US$/lb</t>
  </si>
  <si>
    <t>US$/oz</t>
  </si>
  <si>
    <t>tonnes</t>
  </si>
  <si>
    <t>Cu</t>
  </si>
  <si>
    <t>%</t>
  </si>
  <si>
    <t>g/t</t>
  </si>
  <si>
    <t>000 lbs</t>
  </si>
  <si>
    <t>oz</t>
  </si>
  <si>
    <t>dry tonnes</t>
  </si>
  <si>
    <t>US$ '000</t>
  </si>
  <si>
    <t>Total</t>
  </si>
  <si>
    <t>% CuEq</t>
  </si>
  <si>
    <t>G&amp;A</t>
  </si>
  <si>
    <t>Factor Ley Equivalente</t>
  </si>
  <si>
    <t>Ley Equivalente</t>
  </si>
  <si>
    <t>COSTOS OPERACIONALES</t>
  </si>
  <si>
    <t>Mina</t>
  </si>
  <si>
    <t>Proceso</t>
  </si>
  <si>
    <t>Flujo de Caja Operacional</t>
  </si>
  <si>
    <t>US$ per %</t>
  </si>
  <si>
    <t>US$ per g</t>
  </si>
  <si>
    <t>US$/ t moved</t>
  </si>
  <si>
    <t>US$/ t milled</t>
  </si>
  <si>
    <t>Ingreso = Costos</t>
  </si>
  <si>
    <t>Para Ley CuEq</t>
  </si>
  <si>
    <t>=Ley Cu+(0.48xLey Au)</t>
  </si>
  <si>
    <t>CuEq COG</t>
  </si>
  <si>
    <t>Resource COG</t>
  </si>
  <si>
    <t>Production</t>
  </si>
  <si>
    <t>PRODUCTION</t>
  </si>
  <si>
    <t>Resources</t>
  </si>
  <si>
    <t>Studies</t>
  </si>
  <si>
    <t>Payable %</t>
  </si>
  <si>
    <t>Metallurgical Recovery</t>
  </si>
  <si>
    <t>Metal Production</t>
  </si>
  <si>
    <t>Concentrate</t>
  </si>
  <si>
    <t>Payable Metal</t>
  </si>
  <si>
    <t>REVENUE</t>
  </si>
  <si>
    <t>Gross Revenue</t>
  </si>
  <si>
    <t>SMELTER CHARGES</t>
  </si>
  <si>
    <t>Treatment Charges</t>
  </si>
  <si>
    <t>Refining Charges - Cu</t>
  </si>
  <si>
    <t>Refining Charges - Au</t>
  </si>
  <si>
    <t>Net Revenue</t>
  </si>
  <si>
    <t>Revenue by Metal</t>
  </si>
  <si>
    <t>Revenue by Metal unit</t>
  </si>
  <si>
    <t>Metal Price - Cu</t>
  </si>
  <si>
    <t>Metal Price - Au</t>
  </si>
  <si>
    <t>Revenue - Cu</t>
  </si>
  <si>
    <t>Revenue - Au</t>
  </si>
  <si>
    <t>Units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</si>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</sst>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0.000000%"/>
    <numFmt numFmtId="166" formatCode="&quot;US&quot;&quot;$&quot;#00.00\ &quot;/ dmt conc&quot;"/>
    <numFmt numFmtId="167" formatCode="&quot;US&quot;&quot;$&quot;#0.00\ &quot;/ lb Cu&quot;"/>
    <numFmt numFmtId="168" formatCode="&quot;US&quot;&quot;$&quot;#0.00\ &quot;/ oz Au&quot;"/>
  </numFmts>
  <fonts count="13" x14ac:knownFonts="1">
    <font>
      <sz val="10"/>
      <color rgb="FF000000"/>
      <name val="Times New Roman"/>
      <charset val="204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9"/>
      <color rgb="FF0000FF"/>
      <name val="Arial"/>
      <family val="2"/>
    </font>
    <font>
      <b/>
      <sz val="9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rgb="FF000000"/>
      <name val="Times New Roman"/>
      <charset val="204"/>
    </font>
    <font>
      <sz val="10"/>
      <color rgb="FFFF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69">
    <xf numFmtId="0" fontId="0" fillId="0" borderId="0" xfId="0" applyFill="1" applyBorder="1" applyAlignment="1">
      <alignment horizontal="left" vertical="top"/>
    </xf>
    <xf numFmtId="9" fontId="1" fillId="0" borderId="0" xfId="0" applyNumberFormat="1" applyFont="1" applyFill="1" applyBorder="1" applyAlignment="1">
      <alignment horizontal="right" vertical="top" wrapText="1"/>
    </xf>
    <xf numFmtId="2" fontId="1" fillId="0" borderId="0" xfId="0" applyNumberFormat="1" applyFont="1" applyFill="1" applyBorder="1" applyAlignment="1">
      <alignment horizontal="right" vertical="top" wrapText="1"/>
    </xf>
    <xf numFmtId="3" fontId="2" fillId="0" borderId="0" xfId="0" applyNumberFormat="1" applyFont="1" applyFill="1" applyBorder="1" applyAlignment="1">
      <alignment horizontal="right" vertical="top" wrapText="1"/>
    </xf>
    <xf numFmtId="0" fontId="7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center" vertical="top" wrapText="1"/>
    </xf>
    <xf numFmtId="0" fontId="7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vertical="top" wrapText="1"/>
    </xf>
    <xf numFmtId="164" fontId="2" fillId="0" borderId="0" xfId="1" applyNumberFormat="1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center" vertical="top"/>
    </xf>
    <xf numFmtId="2" fontId="1" fillId="0" borderId="0" xfId="0" applyNumberFormat="1" applyFont="1" applyFill="1" applyBorder="1" applyAlignment="1">
      <alignment horizontal="center" vertical="top" wrapText="1"/>
    </xf>
    <xf numFmtId="9" fontId="1" fillId="0" borderId="0" xfId="0" applyNumberFormat="1" applyFont="1" applyFill="1" applyBorder="1" applyAlignment="1">
      <alignment horizontal="center" vertical="top" wrapText="1"/>
    </xf>
    <xf numFmtId="164" fontId="2" fillId="0" borderId="0" xfId="1" applyNumberFormat="1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right" vertical="top"/>
    </xf>
    <xf numFmtId="164" fontId="12" fillId="0" borderId="0" xfId="0" applyNumberFormat="1" applyFont="1" applyFill="1" applyBorder="1" applyAlignment="1">
      <alignment horizontal="right" vertical="top"/>
    </xf>
    <xf numFmtId="2" fontId="3" fillId="0" borderId="0" xfId="0" applyNumberFormat="1" applyFont="1" applyFill="1" applyBorder="1" applyAlignment="1">
      <alignment vertical="top" wrapText="1"/>
    </xf>
    <xf numFmtId="0" fontId="9" fillId="0" borderId="0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vertical="top" wrapText="1"/>
    </xf>
    <xf numFmtId="9" fontId="2" fillId="0" borderId="0" xfId="0" applyNumberFormat="1" applyFont="1" applyFill="1" applyBorder="1" applyAlignment="1">
      <alignment vertical="top" wrapText="1"/>
    </xf>
    <xf numFmtId="2" fontId="2" fillId="0" borderId="0" xfId="0" applyNumberFormat="1" applyFont="1" applyFill="1" applyBorder="1" applyAlignment="1">
      <alignment vertical="top" wrapText="1"/>
    </xf>
    <xf numFmtId="2" fontId="4" fillId="0" borderId="0" xfId="0" applyNumberFormat="1" applyFont="1" applyFill="1" applyBorder="1" applyAlignment="1">
      <alignment vertical="top" wrapText="1"/>
    </xf>
    <xf numFmtId="0" fontId="8" fillId="0" borderId="0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top" wrapText="1"/>
    </xf>
    <xf numFmtId="164" fontId="7" fillId="0" borderId="0" xfId="1" applyNumberFormat="1" applyFont="1" applyFill="1" applyBorder="1" applyAlignment="1">
      <alignment horizontal="center" vertical="top" wrapText="1"/>
    </xf>
    <xf numFmtId="43" fontId="7" fillId="0" borderId="0" xfId="0" applyNumberFormat="1" applyFont="1" applyFill="1" applyBorder="1" applyAlignment="1">
      <alignment horizontal="center" vertical="top" wrapText="1"/>
    </xf>
    <xf numFmtId="164" fontId="12" fillId="0" borderId="0" xfId="1" applyNumberFormat="1" applyFont="1" applyFill="1" applyBorder="1" applyAlignment="1">
      <alignment horizontal="left" vertical="top"/>
    </xf>
    <xf numFmtId="165" fontId="7" fillId="0" borderId="0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vertical="top" wrapText="1"/>
    </xf>
    <xf numFmtId="167" fontId="1" fillId="0" borderId="0" xfId="0" applyNumberFormat="1" applyFont="1" applyBorder="1" applyAlignment="1">
      <alignment horizontal="center"/>
    </xf>
    <xf numFmtId="168" fontId="1" fillId="0" borderId="0" xfId="0" applyNumberFormat="1" applyFont="1" applyBorder="1" applyAlignment="1">
      <alignment horizontal="center"/>
    </xf>
    <xf numFmtId="166" fontId="1" fillId="0" borderId="0" xfId="2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center" vertical="top" wrapText="1"/>
    </xf>
    <xf numFmtId="2" fontId="11" fillId="0" borderId="0" xfId="0" applyNumberFormat="1" applyFont="1" applyFill="1" applyBorder="1" applyAlignment="1">
      <alignment vertical="top" wrapText="1"/>
    </xf>
    <xf numFmtId="0" fontId="11" fillId="0" borderId="0" xfId="0" quotePrefix="1" applyFont="1" applyFill="1" applyBorder="1" applyAlignment="1">
      <alignment horizontal="left" vertical="top"/>
    </xf>
    <xf numFmtId="0" fontId="2" fillId="0" borderId="0" xfId="0" quotePrefix="1" applyFont="1" applyFill="1" applyBorder="1" applyAlignment="1">
      <alignment horizontal="center" vertical="top"/>
    </xf>
    <xf numFmtId="2" fontId="12" fillId="0" borderId="0" xfId="1" applyNumberFormat="1" applyFont="1" applyFill="1" applyBorder="1" applyAlignment="1">
      <alignment horizontal="center" vertical="top"/>
    </xf>
    <xf numFmtId="0" fontId="12" fillId="0" borderId="0" xfId="0" applyFont="1" applyFill="1" applyBorder="1" applyAlignment="1">
      <alignment horizontal="right" vertical="top"/>
    </xf>
    <xf numFmtId="3" fontId="1" fillId="0" borderId="0" xfId="0" applyNumberFormat="1" applyFont="1" applyFill="1" applyBorder="1" applyAlignment="1">
      <alignment horizontal="right" vertical="top" wrapText="1"/>
    </xf>
    <xf numFmtId="164" fontId="7" fillId="0" borderId="0" xfId="1" applyNumberFormat="1" applyFont="1" applyFill="1" applyBorder="1" applyAlignment="1">
      <alignment horizontal="right" vertical="top" wrapText="1"/>
    </xf>
    <xf numFmtId="43" fontId="7" fillId="0" borderId="0" xfId="0" applyNumberFormat="1" applyFont="1" applyFill="1" applyBorder="1" applyAlignment="1">
      <alignment horizontal="right" vertical="top" wrapText="1"/>
    </xf>
    <xf numFmtId="2" fontId="2" fillId="0" borderId="0" xfId="1" applyNumberFormat="1" applyFont="1" applyFill="1" applyBorder="1" applyAlignment="1">
      <alignment horizontal="right" vertical="top"/>
    </xf>
    <xf numFmtId="164" fontId="2" fillId="0" borderId="0" xfId="1" applyNumberFormat="1" applyFont="1" applyFill="1" applyBorder="1" applyAlignment="1">
      <alignment horizontal="right" vertical="top"/>
    </xf>
    <xf numFmtId="164" fontId="12" fillId="0" borderId="0" xfId="1" applyNumberFormat="1" applyFont="1" applyFill="1" applyBorder="1" applyAlignment="1">
      <alignment horizontal="right" vertical="top"/>
    </xf>
    <xf numFmtId="9" fontId="2" fillId="0" borderId="0" xfId="0" applyNumberFormat="1" applyFont="1" applyFill="1" applyBorder="1" applyAlignment="1">
      <alignment horizontal="right" vertical="top" wrapText="1"/>
    </xf>
    <xf numFmtId="165" fontId="7" fillId="0" borderId="0" xfId="0" applyNumberFormat="1" applyFont="1" applyFill="1" applyBorder="1" applyAlignment="1">
      <alignment horizontal="right" vertical="top" wrapText="1"/>
    </xf>
    <xf numFmtId="2" fontId="11" fillId="0" borderId="0" xfId="0" applyNumberFormat="1" applyFont="1" applyFill="1" applyBorder="1" applyAlignment="1">
      <alignment horizontal="right" vertical="top" wrapText="1"/>
    </xf>
    <xf numFmtId="43" fontId="6" fillId="0" borderId="0" xfId="0" applyNumberFormat="1" applyFont="1" applyFill="1" applyBorder="1" applyAlignment="1">
      <alignment horizontal="right" vertical="top" wrapText="1"/>
    </xf>
    <xf numFmtId="0" fontId="7" fillId="0" borderId="0" xfId="0" applyFont="1" applyFill="1" applyBorder="1" applyAlignment="1">
      <alignment horizontal="left" vertical="top" wrapText="1" indent="1"/>
    </xf>
    <xf numFmtId="0" fontId="7" fillId="0" borderId="0" xfId="0" applyFont="1" applyFill="1" applyBorder="1" applyAlignment="1">
      <alignment horizontal="left" vertical="top" indent="1"/>
    </xf>
    <xf numFmtId="0" fontId="2" fillId="0" borderId="0" xfId="0" applyFont="1" applyFill="1" applyBorder="1" applyAlignment="1">
      <alignment horizontal="left" vertical="top" indent="1"/>
    </xf>
    <xf numFmtId="2" fontId="12" fillId="0" borderId="0" xfId="0" applyNumberFormat="1" applyFont="1" applyFill="1" applyBorder="1" applyAlignment="1">
      <alignment vertical="top" wrapText="1"/>
    </xf>
    <xf numFmtId="0" fontId="7" fillId="0" borderId="0" xfId="0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center" vertical="top" wrapText="1"/>
    </xf>
    <xf numFmtId="2" fontId="2" fillId="0" borderId="0" xfId="1" applyNumberFormat="1" applyFont="1" applyFill="1" applyBorder="1" applyAlignment="1">
      <alignment horizontal="center" vertical="top"/>
    </xf>
    <xf numFmtId="0" fontId="2" fillId="0" borderId="0" xfId="1" applyNumberFormat="1" applyFont="1" applyFill="1" applyBorder="1" applyAlignment="1">
      <alignment horizontal="center" vertical="top"/>
    </xf>
    <xf numFmtId="2" fontId="4" fillId="0" borderId="0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2" fontId="5" fillId="0" borderId="0" xfId="0" applyNumberFormat="1" applyFont="1" applyFill="1" applyBorder="1" applyAlignment="1">
      <alignment horizontal="center" vertical="top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40</xdr:row>
      <xdr:rowOff>45753</xdr:rowOff>
    </xdr:from>
    <xdr:ext cx="1443227" cy="153923"/>
    <xdr:pic>
      <xdr:nvPicPr>
        <xdr:cNvPr id="2" name="image1.png">
          <a:extLst>
            <a:ext uri="{FF2B5EF4-FFF2-40B4-BE49-F238E27FC236}">
              <a16:creationId xmlns:a16="http://schemas.microsoft.com/office/drawing/2014/main" id="{CA5C860E-3CC4-4716-BD52-F42098067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86633"/>
          <a:ext cx="1443227" cy="153923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45</xdr:row>
      <xdr:rowOff>19931</xdr:rowOff>
    </xdr:from>
    <xdr:to>
      <xdr:col>0</xdr:col>
      <xdr:colOff>1028401</xdr:colOff>
      <xdr:row>46</xdr:row>
      <xdr:rowOff>1242</xdr:rowOff>
    </xdr:to>
    <xdr:pic>
      <xdr:nvPicPr>
        <xdr:cNvPr id="3" name="image2.png">
          <a:extLst>
            <a:ext uri="{FF2B5EF4-FFF2-40B4-BE49-F238E27FC236}">
              <a16:creationId xmlns:a16="http://schemas.microsoft.com/office/drawing/2014/main" id="{1BF4919E-64DE-43BE-9260-279CCE96C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99011"/>
          <a:ext cx="1033640" cy="1403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42</xdr:row>
      <xdr:rowOff>45753</xdr:rowOff>
    </xdr:from>
    <xdr:ext cx="1443227" cy="153923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43227" cy="153923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47</xdr:row>
      <xdr:rowOff>19931</xdr:rowOff>
    </xdr:from>
    <xdr:to>
      <xdr:col>1</xdr:col>
      <xdr:colOff>782180</xdr:colOff>
      <xdr:row>47</xdr:row>
      <xdr:rowOff>160309</xdr:rowOff>
    </xdr:to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8855" cy="1539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E74A6-7366-4146-AD58-2A3AB1A03816}">
  <dimension ref="A1:F40"/>
  <sheetViews>
    <sheetView tabSelected="1" zoomScale="80" zoomScaleNormal="80" workbookViewId="0">
      <selection activeCell="G17" sqref="G17"/>
    </sheetView>
  </sheetViews>
  <sheetFormatPr defaultRowHeight="13.2" x14ac:dyDescent="0.25"/>
  <cols>
    <col min="1" max="1" width="20.77734375" style="7" bestFit="1" customWidth="1"/>
    <col min="2" max="2" width="10.21875" style="6" bestFit="1" customWidth="1"/>
    <col min="3" max="3" width="15.21875" style="20" bestFit="1" customWidth="1"/>
    <col min="4" max="4" width="18.88671875" style="7" bestFit="1" customWidth="1"/>
    <col min="5" max="5" width="10" style="7" bestFit="1" customWidth="1"/>
    <col min="6" max="16384" width="8.88671875" style="7"/>
  </cols>
  <sheetData>
    <row r="1" spans="1:6" x14ac:dyDescent="0.25">
      <c r="A1" s="5" t="s">
        <v>30</v>
      </c>
      <c r="B1" s="6" t="s">
        <v>51</v>
      </c>
      <c r="C1" s="47" t="s">
        <v>28</v>
      </c>
      <c r="D1" s="7" t="s">
        <v>52</v>
      </c>
    </row>
    <row r="2" spans="1:6" x14ac:dyDescent="0.25">
      <c r="A2" s="8" t="s">
        <v>29</v>
      </c>
      <c r="B2" s="9" t="s">
        <v>3</v>
      </c>
      <c r="C2" s="48">
        <v>5000000</v>
      </c>
      <c r="D2" s="62" t="s">
        <v>31</v>
      </c>
      <c r="E2" s="10"/>
      <c r="F2" s="10"/>
    </row>
    <row r="3" spans="1:6" x14ac:dyDescent="0.25">
      <c r="A3" s="9" t="s">
        <v>4</v>
      </c>
      <c r="B3" s="9" t="s">
        <v>5</v>
      </c>
      <c r="C3" s="2">
        <v>1</v>
      </c>
      <c r="D3" s="62"/>
      <c r="E3" s="13"/>
      <c r="F3" s="13"/>
    </row>
    <row r="4" spans="1:6" x14ac:dyDescent="0.25">
      <c r="A4" s="9" t="s">
        <v>0</v>
      </c>
      <c r="B4" s="9" t="s">
        <v>6</v>
      </c>
      <c r="C4" s="2">
        <v>0.5</v>
      </c>
      <c r="D4" s="62"/>
      <c r="E4" s="13"/>
      <c r="F4" s="13"/>
    </row>
    <row r="5" spans="1:6" x14ac:dyDescent="0.25">
      <c r="A5" s="8" t="s">
        <v>34</v>
      </c>
      <c r="B5" s="12"/>
      <c r="C5" s="19"/>
      <c r="D5" s="11"/>
      <c r="E5" s="13"/>
      <c r="F5" s="13"/>
    </row>
    <row r="6" spans="1:6" x14ac:dyDescent="0.25">
      <c r="A6" s="9" t="s">
        <v>4</v>
      </c>
      <c r="B6" s="9" t="s">
        <v>5</v>
      </c>
      <c r="C6" s="1">
        <v>0.87</v>
      </c>
      <c r="D6" s="62" t="s">
        <v>32</v>
      </c>
      <c r="E6" s="13"/>
      <c r="F6" s="13"/>
    </row>
    <row r="7" spans="1:6" x14ac:dyDescent="0.25">
      <c r="A7" s="9" t="s">
        <v>0</v>
      </c>
      <c r="B7" s="9" t="s">
        <v>5</v>
      </c>
      <c r="C7" s="1">
        <v>0.9</v>
      </c>
      <c r="D7" s="62"/>
      <c r="E7" s="13"/>
      <c r="F7" s="13"/>
    </row>
    <row r="8" spans="1:6" x14ac:dyDescent="0.25">
      <c r="A8" s="8" t="s">
        <v>35</v>
      </c>
      <c r="B8" s="12"/>
      <c r="C8" s="19"/>
      <c r="D8" s="11"/>
      <c r="E8" s="13"/>
      <c r="F8" s="13"/>
    </row>
    <row r="9" spans="1:6" x14ac:dyDescent="0.25">
      <c r="A9" s="9" t="s">
        <v>4</v>
      </c>
      <c r="B9" s="9" t="s">
        <v>7</v>
      </c>
      <c r="C9" s="49">
        <f>$C$2*C3%*C6*2.20462</f>
        <v>95900.969999999987</v>
      </c>
      <c r="D9" s="11"/>
      <c r="E9" s="13"/>
      <c r="F9" s="13"/>
    </row>
    <row r="10" spans="1:6" x14ac:dyDescent="0.25">
      <c r="A10" s="9" t="s">
        <v>0</v>
      </c>
      <c r="B10" s="9" t="s">
        <v>8</v>
      </c>
      <c r="C10" s="49">
        <f>$C$2*C4%*C7*2.20462</f>
        <v>49603.95</v>
      </c>
      <c r="D10" s="11"/>
      <c r="E10" s="13"/>
      <c r="F10" s="13"/>
    </row>
    <row r="11" spans="1:6" x14ac:dyDescent="0.25">
      <c r="A11" s="8" t="s">
        <v>36</v>
      </c>
      <c r="B11" s="9" t="s">
        <v>9</v>
      </c>
      <c r="C11" s="3">
        <f>C9*1000/2204.62/C12%</f>
        <v>173999.99999999997</v>
      </c>
      <c r="D11" s="11"/>
      <c r="E11" s="13"/>
      <c r="F11" s="13"/>
    </row>
    <row r="12" spans="1:6" x14ac:dyDescent="0.25">
      <c r="A12" s="9" t="s">
        <v>4</v>
      </c>
      <c r="B12" s="9" t="s">
        <v>5</v>
      </c>
      <c r="C12" s="2">
        <v>25</v>
      </c>
      <c r="D12" s="62" t="s">
        <v>32</v>
      </c>
      <c r="E12" s="13"/>
      <c r="F12" s="13"/>
    </row>
    <row r="13" spans="1:6" x14ac:dyDescent="0.25">
      <c r="A13" s="9" t="s">
        <v>0</v>
      </c>
      <c r="B13" s="9" t="s">
        <v>6</v>
      </c>
      <c r="C13" s="50">
        <f>C10*31.1035/C11</f>
        <v>8.8669911426724148</v>
      </c>
      <c r="D13" s="62"/>
      <c r="E13" s="13"/>
      <c r="F13" s="13"/>
    </row>
    <row r="14" spans="1:6" x14ac:dyDescent="0.25">
      <c r="A14" s="8" t="s">
        <v>37</v>
      </c>
      <c r="B14" s="12"/>
      <c r="C14" s="19"/>
      <c r="D14" s="9" t="s">
        <v>33</v>
      </c>
      <c r="E14" s="10"/>
      <c r="F14" s="10"/>
    </row>
    <row r="15" spans="1:6" x14ac:dyDescent="0.25">
      <c r="A15" s="9" t="s">
        <v>4</v>
      </c>
      <c r="B15" s="9" t="s">
        <v>7</v>
      </c>
      <c r="C15" s="3">
        <f>C9*D15</f>
        <v>86310.872999999992</v>
      </c>
      <c r="D15" s="17">
        <v>0.9</v>
      </c>
      <c r="E15" s="13"/>
      <c r="F15" s="13"/>
    </row>
    <row r="16" spans="1:6" x14ac:dyDescent="0.25">
      <c r="A16" s="9" t="s">
        <v>0</v>
      </c>
      <c r="B16" s="9" t="s">
        <v>8</v>
      </c>
      <c r="C16" s="3">
        <f>C10*D16</f>
        <v>49107.910499999998</v>
      </c>
      <c r="D16" s="17">
        <v>0.99</v>
      </c>
      <c r="E16" s="13"/>
      <c r="F16" s="13"/>
    </row>
    <row r="17" spans="1:5" x14ac:dyDescent="0.25">
      <c r="A17" s="30" t="s">
        <v>38</v>
      </c>
    </row>
    <row r="18" spans="1:5" x14ac:dyDescent="0.25">
      <c r="A18" s="58" t="s">
        <v>47</v>
      </c>
      <c r="B18" s="6" t="s">
        <v>1</v>
      </c>
      <c r="C18" s="51">
        <v>3.25</v>
      </c>
    </row>
    <row r="19" spans="1:5" x14ac:dyDescent="0.25">
      <c r="A19" s="58" t="s">
        <v>48</v>
      </c>
      <c r="B19" s="6" t="s">
        <v>2</v>
      </c>
      <c r="C19" s="52">
        <v>1500</v>
      </c>
    </row>
    <row r="20" spans="1:5" x14ac:dyDescent="0.25">
      <c r="A20" s="58" t="s">
        <v>49</v>
      </c>
      <c r="B20" s="6" t="s">
        <v>10</v>
      </c>
      <c r="C20" s="52">
        <f>C15*$C$18</f>
        <v>280510.33724999998</v>
      </c>
    </row>
    <row r="21" spans="1:5" x14ac:dyDescent="0.25">
      <c r="A21" s="58" t="s">
        <v>50</v>
      </c>
      <c r="B21" s="6" t="s">
        <v>10</v>
      </c>
      <c r="C21" s="52">
        <f>C16*$C$19/1000</f>
        <v>73661.865749999997</v>
      </c>
    </row>
    <row r="22" spans="1:5" x14ac:dyDescent="0.25">
      <c r="A22" s="30" t="s">
        <v>39</v>
      </c>
      <c r="B22" s="15" t="s">
        <v>10</v>
      </c>
      <c r="C22" s="21">
        <f>SUM(C20:C21)</f>
        <v>354172.20299999998</v>
      </c>
    </row>
    <row r="23" spans="1:5" x14ac:dyDescent="0.25">
      <c r="A23" s="5" t="s">
        <v>40</v>
      </c>
    </row>
    <row r="24" spans="1:5" x14ac:dyDescent="0.25">
      <c r="A24" s="59" t="s">
        <v>41</v>
      </c>
      <c r="B24" s="6" t="s">
        <v>10</v>
      </c>
      <c r="C24" s="52">
        <f>$D$24*C11/1000</f>
        <v>1565.9999999999998</v>
      </c>
      <c r="D24" s="40">
        <v>9</v>
      </c>
    </row>
    <row r="25" spans="1:5" x14ac:dyDescent="0.25">
      <c r="A25" s="60" t="s">
        <v>42</v>
      </c>
      <c r="B25" s="6" t="s">
        <v>10</v>
      </c>
      <c r="C25" s="52">
        <f>($D$25*C15)</f>
        <v>7767.9785699999993</v>
      </c>
      <c r="D25" s="38">
        <v>0.09</v>
      </c>
    </row>
    <row r="26" spans="1:5" x14ac:dyDescent="0.25">
      <c r="A26" s="60" t="s">
        <v>43</v>
      </c>
      <c r="B26" s="6" t="s">
        <v>10</v>
      </c>
      <c r="C26" s="52">
        <f>($D$26*C16/1000)</f>
        <v>245.53955249999999</v>
      </c>
      <c r="D26" s="39">
        <v>5</v>
      </c>
    </row>
    <row r="27" spans="1:5" x14ac:dyDescent="0.25">
      <c r="A27" s="5" t="s">
        <v>44</v>
      </c>
      <c r="B27" s="15" t="s">
        <v>10</v>
      </c>
      <c r="C27" s="53">
        <f>C22-C24-C25-C26</f>
        <v>344592.6848775</v>
      </c>
    </row>
    <row r="28" spans="1:5" x14ac:dyDescent="0.25">
      <c r="A28" s="8" t="s">
        <v>45</v>
      </c>
      <c r="B28" s="13"/>
      <c r="C28" s="19"/>
      <c r="D28" s="13"/>
    </row>
    <row r="29" spans="1:5" x14ac:dyDescent="0.25">
      <c r="A29" s="9" t="s">
        <v>4</v>
      </c>
      <c r="B29" s="9" t="s">
        <v>5</v>
      </c>
      <c r="C29" s="54">
        <f>(C20-C24-$D25*C15/1000)/$C$27</f>
        <v>0.80946747134400066</v>
      </c>
      <c r="E29" s="25"/>
    </row>
    <row r="30" spans="1:5" x14ac:dyDescent="0.25">
      <c r="A30" s="9" t="s">
        <v>0</v>
      </c>
      <c r="B30" s="9" t="s">
        <v>5</v>
      </c>
      <c r="C30" s="54">
        <f>(C21-$D26*C16/1000)/$C$27</f>
        <v>0.21305248027420814</v>
      </c>
      <c r="E30" s="25"/>
    </row>
    <row r="31" spans="1:5" x14ac:dyDescent="0.25">
      <c r="A31" s="8" t="s">
        <v>46</v>
      </c>
      <c r="B31" s="9"/>
      <c r="C31" s="55"/>
      <c r="E31" s="13"/>
    </row>
    <row r="32" spans="1:5" x14ac:dyDescent="0.25">
      <c r="A32" s="9" t="s">
        <v>4</v>
      </c>
      <c r="B32" s="9" t="s">
        <v>20</v>
      </c>
      <c r="C32" s="57">
        <f>C29*C27*1000/(C2*C3%)/100</f>
        <v>55.787313854285998</v>
      </c>
      <c r="E32" s="26"/>
    </row>
    <row r="33" spans="1:5" x14ac:dyDescent="0.25">
      <c r="A33" s="9" t="s">
        <v>0</v>
      </c>
      <c r="B33" s="9" t="s">
        <v>21</v>
      </c>
      <c r="C33" s="61">
        <f>C30*C27*1000/(C2*C4)</f>
        <v>29.366530478999998</v>
      </c>
    </row>
    <row r="34" spans="1:5" x14ac:dyDescent="0.25">
      <c r="A34" s="41"/>
      <c r="B34" s="42"/>
      <c r="C34" s="56"/>
      <c r="D34" s="44"/>
      <c r="E34" s="26"/>
    </row>
    <row r="35" spans="1:5" x14ac:dyDescent="0.25">
      <c r="A35" s="41"/>
      <c r="B35" s="42"/>
      <c r="C35" s="56"/>
      <c r="D35" s="44"/>
    </row>
    <row r="36" spans="1:5" x14ac:dyDescent="0.25">
      <c r="A36" s="41"/>
      <c r="B36" s="42"/>
      <c r="C36" s="56"/>
      <c r="D36" s="44"/>
      <c r="E36" s="27"/>
    </row>
    <row r="37" spans="1:5" x14ac:dyDescent="0.25">
      <c r="A37" s="41"/>
      <c r="B37" s="42"/>
      <c r="C37" s="56"/>
      <c r="D37" s="44"/>
      <c r="E37" s="27"/>
    </row>
    <row r="38" spans="1:5" x14ac:dyDescent="0.25">
      <c r="A38" s="41"/>
      <c r="B38" s="42"/>
      <c r="C38" s="56"/>
      <c r="D38" s="44"/>
      <c r="E38" s="27"/>
    </row>
    <row r="39" spans="1:5" x14ac:dyDescent="0.25">
      <c r="A39" s="41"/>
      <c r="B39" s="42"/>
      <c r="C39" s="56"/>
      <c r="D39" s="44"/>
      <c r="E39" s="22"/>
    </row>
    <row r="40" spans="1:5" x14ac:dyDescent="0.25">
      <c r="A40" s="41"/>
      <c r="B40" s="42"/>
      <c r="C40" s="56"/>
      <c r="D40" s="44"/>
    </row>
  </sheetData>
  <mergeCells count="3">
    <mergeCell ref="D2:D4"/>
    <mergeCell ref="D6:D7"/>
    <mergeCell ref="D12:D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42"/>
  <sheetViews>
    <sheetView topLeftCell="A13" zoomScale="90" zoomScaleNormal="90" workbookViewId="0">
      <selection activeCell="I16" sqref="I16"/>
    </sheetView>
  </sheetViews>
  <sheetFormatPr defaultRowHeight="13.2" x14ac:dyDescent="0.25"/>
  <cols>
    <col min="1" max="1" width="3.6640625" style="7" customWidth="1"/>
    <col min="2" max="2" width="25.44140625" style="7" customWidth="1"/>
    <col min="3" max="3" width="11.21875" style="6" bestFit="1" customWidth="1"/>
    <col min="4" max="4" width="18.109375" style="6" customWidth="1"/>
    <col min="5" max="5" width="18.5546875" style="7" customWidth="1"/>
    <col min="6" max="6" width="22.6640625" style="7" customWidth="1"/>
    <col min="7" max="7" width="10" style="7" bestFit="1" customWidth="1"/>
    <col min="8" max="16384" width="8.88671875" style="7"/>
  </cols>
  <sheetData>
    <row r="2" spans="2:8" x14ac:dyDescent="0.25">
      <c r="B2" s="5" t="s">
        <v>30</v>
      </c>
      <c r="D2" s="15" t="s">
        <v>28</v>
      </c>
      <c r="E2" s="15" t="s">
        <v>27</v>
      </c>
    </row>
    <row r="3" spans="2:8" x14ac:dyDescent="0.25">
      <c r="B3" s="8" t="s">
        <v>29</v>
      </c>
      <c r="C3" s="9" t="s">
        <v>3</v>
      </c>
      <c r="D3" s="63">
        <v>100000000</v>
      </c>
      <c r="E3" s="63"/>
      <c r="F3" s="62" t="s">
        <v>31</v>
      </c>
      <c r="G3" s="10"/>
      <c r="H3" s="10"/>
    </row>
    <row r="4" spans="2:8" x14ac:dyDescent="0.25">
      <c r="B4" s="9" t="s">
        <v>4</v>
      </c>
      <c r="C4" s="9" t="s">
        <v>5</v>
      </c>
      <c r="D4" s="31">
        <v>0.75</v>
      </c>
      <c r="E4" s="16">
        <v>0.15</v>
      </c>
      <c r="F4" s="62"/>
      <c r="G4" s="13"/>
      <c r="H4" s="13"/>
    </row>
    <row r="5" spans="2:8" x14ac:dyDescent="0.25">
      <c r="B5" s="9" t="s">
        <v>0</v>
      </c>
      <c r="C5" s="9" t="s">
        <v>6</v>
      </c>
      <c r="D5" s="16">
        <v>0.3</v>
      </c>
      <c r="E5" s="16">
        <v>0.1</v>
      </c>
      <c r="F5" s="62"/>
      <c r="G5" s="13"/>
      <c r="H5" s="13"/>
    </row>
    <row r="6" spans="2:8" x14ac:dyDescent="0.25">
      <c r="B6" s="8" t="s">
        <v>34</v>
      </c>
      <c r="C6" s="12"/>
      <c r="D6" s="12"/>
      <c r="E6" s="19"/>
      <c r="F6" s="11"/>
      <c r="G6" s="13"/>
      <c r="H6" s="13"/>
    </row>
    <row r="7" spans="2:8" x14ac:dyDescent="0.25">
      <c r="B7" s="9" t="s">
        <v>4</v>
      </c>
      <c r="C7" s="9" t="s">
        <v>5</v>
      </c>
      <c r="D7" s="1">
        <v>0.86033231486800477</v>
      </c>
      <c r="E7" s="1">
        <v>0.86033231486800477</v>
      </c>
      <c r="F7" s="62" t="s">
        <v>32</v>
      </c>
      <c r="G7" s="13"/>
      <c r="H7" s="13"/>
    </row>
    <row r="8" spans="2:8" x14ac:dyDescent="0.25">
      <c r="B8" s="9" t="s">
        <v>0</v>
      </c>
      <c r="C8" s="9" t="s">
        <v>5</v>
      </c>
      <c r="D8" s="1">
        <v>0.9</v>
      </c>
      <c r="E8" s="1">
        <v>0.9</v>
      </c>
      <c r="F8" s="62"/>
      <c r="G8" s="13"/>
      <c r="H8" s="13"/>
    </row>
    <row r="9" spans="2:8" x14ac:dyDescent="0.25">
      <c r="B9" s="8" t="s">
        <v>35</v>
      </c>
      <c r="C9" s="12"/>
      <c r="D9" s="12"/>
      <c r="E9" s="19"/>
      <c r="F9" s="11"/>
      <c r="G9" s="13"/>
      <c r="H9" s="13"/>
    </row>
    <row r="10" spans="2:8" x14ac:dyDescent="0.25">
      <c r="B10" s="9" t="s">
        <v>4</v>
      </c>
      <c r="C10" s="9" t="s">
        <v>7</v>
      </c>
      <c r="D10" s="32">
        <f>$D$3*D4%*D7*2.20462</f>
        <v>1422529.3710032254</v>
      </c>
      <c r="E10" s="32">
        <f>$D$3*E4%*E7*2.20462</f>
        <v>284505.87420064508</v>
      </c>
      <c r="F10" s="11"/>
      <c r="G10" s="13"/>
      <c r="H10" s="13"/>
    </row>
    <row r="11" spans="2:8" x14ac:dyDescent="0.25">
      <c r="B11" s="9" t="s">
        <v>0</v>
      </c>
      <c r="C11" s="9" t="s">
        <v>8</v>
      </c>
      <c r="D11" s="32">
        <f>$D$3*D5%*D8*2.20462</f>
        <v>595247.39999999991</v>
      </c>
      <c r="E11" s="32">
        <f>$D$3*E5%*E8*2.20462</f>
        <v>198415.8</v>
      </c>
      <c r="F11" s="11"/>
      <c r="G11" s="13"/>
      <c r="H11" s="13"/>
    </row>
    <row r="12" spans="2:8" x14ac:dyDescent="0.25">
      <c r="B12" s="8" t="s">
        <v>36</v>
      </c>
      <c r="C12" s="9" t="s">
        <v>9</v>
      </c>
      <c r="D12" s="3">
        <f>D10*1000/2204.62/D13%</f>
        <v>2580996.944604014</v>
      </c>
      <c r="E12" s="3">
        <f>E10*1000/2204.62/E13%</f>
        <v>516199.38892080286</v>
      </c>
      <c r="F12" s="11"/>
      <c r="G12" s="13"/>
      <c r="H12" s="13"/>
    </row>
    <row r="13" spans="2:8" x14ac:dyDescent="0.25">
      <c r="B13" s="9" t="s">
        <v>4</v>
      </c>
      <c r="C13" s="9" t="s">
        <v>5</v>
      </c>
      <c r="D13" s="2">
        <v>25</v>
      </c>
      <c r="E13" s="2">
        <v>25</v>
      </c>
      <c r="F13" s="62" t="s">
        <v>32</v>
      </c>
      <c r="G13" s="13"/>
      <c r="H13" s="13"/>
    </row>
    <row r="14" spans="2:8" x14ac:dyDescent="0.25">
      <c r="B14" s="9" t="s">
        <v>0</v>
      </c>
      <c r="C14" s="9" t="s">
        <v>6</v>
      </c>
      <c r="D14" s="33">
        <f>D11*31.1035/D12</f>
        <v>7.1733046970888701</v>
      </c>
      <c r="E14" s="33">
        <f>E11*31.1035/E12</f>
        <v>11.955507828481451</v>
      </c>
      <c r="F14" s="62"/>
      <c r="G14" s="13"/>
      <c r="H14" s="13"/>
    </row>
    <row r="15" spans="2:8" x14ac:dyDescent="0.25">
      <c r="B15" s="8" t="s">
        <v>37</v>
      </c>
      <c r="C15" s="12"/>
      <c r="D15" s="12"/>
      <c r="E15" s="19"/>
      <c r="F15" s="9" t="s">
        <v>33</v>
      </c>
      <c r="G15" s="10"/>
      <c r="H15" s="10"/>
    </row>
    <row r="16" spans="2:8" x14ac:dyDescent="0.25">
      <c r="B16" s="9" t="s">
        <v>4</v>
      </c>
      <c r="C16" s="9" t="s">
        <v>7</v>
      </c>
      <c r="D16" s="3">
        <f>D10*F16</f>
        <v>1280276.433902903</v>
      </c>
      <c r="E16" s="3">
        <f>E10*F16</f>
        <v>256055.28678058059</v>
      </c>
      <c r="F16" s="17">
        <v>0.9</v>
      </c>
      <c r="G16" s="13"/>
      <c r="H16" s="13"/>
    </row>
    <row r="17" spans="2:8" x14ac:dyDescent="0.25">
      <c r="B17" s="9" t="s">
        <v>0</v>
      </c>
      <c r="C17" s="9" t="s">
        <v>8</v>
      </c>
      <c r="D17" s="3">
        <f>D11*F17</f>
        <v>547627.60799999989</v>
      </c>
      <c r="E17" s="3">
        <f>E11*F17</f>
        <v>182542.53599999999</v>
      </c>
      <c r="F17" s="17">
        <v>0.92</v>
      </c>
      <c r="G17" s="13"/>
      <c r="H17" s="13"/>
    </row>
    <row r="18" spans="2:8" x14ac:dyDescent="0.25">
      <c r="B18" s="30" t="s">
        <v>38</v>
      </c>
      <c r="E18" s="20"/>
    </row>
    <row r="19" spans="2:8" x14ac:dyDescent="0.25">
      <c r="B19" s="9" t="s">
        <v>4</v>
      </c>
      <c r="C19" s="6" t="s">
        <v>1</v>
      </c>
      <c r="D19" s="64">
        <v>3.5</v>
      </c>
      <c r="E19" s="64"/>
    </row>
    <row r="20" spans="2:8" x14ac:dyDescent="0.25">
      <c r="B20" s="9" t="s">
        <v>0</v>
      </c>
      <c r="C20" s="6" t="s">
        <v>2</v>
      </c>
      <c r="D20" s="65">
        <v>1500</v>
      </c>
      <c r="E20" s="65"/>
    </row>
    <row r="21" spans="2:8" x14ac:dyDescent="0.25">
      <c r="B21" s="9" t="s">
        <v>4</v>
      </c>
      <c r="C21" s="6" t="s">
        <v>10</v>
      </c>
      <c r="D21" s="18">
        <f>D16*$D$19</f>
        <v>4480967.5186601607</v>
      </c>
      <c r="E21" s="18">
        <f>E16*$D$19</f>
        <v>896193.50373203203</v>
      </c>
    </row>
    <row r="22" spans="2:8" x14ac:dyDescent="0.25">
      <c r="B22" s="9" t="s">
        <v>0</v>
      </c>
      <c r="C22" s="6" t="s">
        <v>10</v>
      </c>
      <c r="D22" s="18">
        <f>D17*$D$20/1000</f>
        <v>821441.41199999989</v>
      </c>
      <c r="E22" s="18">
        <f>E17*$D$20/1000</f>
        <v>273813.804</v>
      </c>
    </row>
    <row r="23" spans="2:8" x14ac:dyDescent="0.25">
      <c r="B23" s="30" t="s">
        <v>39</v>
      </c>
      <c r="C23" s="15" t="s">
        <v>10</v>
      </c>
      <c r="D23" s="21">
        <f>SUM(D21:D22)</f>
        <v>5302408.9306601603</v>
      </c>
      <c r="E23" s="21">
        <f>SUM(E21:E22)</f>
        <v>1170007.3077320321</v>
      </c>
    </row>
    <row r="24" spans="2:8" x14ac:dyDescent="0.25">
      <c r="B24" s="5" t="s">
        <v>40</v>
      </c>
      <c r="E24" s="20"/>
    </row>
    <row r="25" spans="2:8" x14ac:dyDescent="0.25">
      <c r="B25" s="4" t="s">
        <v>41</v>
      </c>
      <c r="C25" s="6" t="s">
        <v>10</v>
      </c>
      <c r="D25" s="14">
        <f>$F$25*D12/1000</f>
        <v>219384.74029134118</v>
      </c>
      <c r="E25" s="14">
        <f>$F$25*E12/1000</f>
        <v>43876.948058268244</v>
      </c>
      <c r="F25" s="40">
        <v>85</v>
      </c>
    </row>
    <row r="26" spans="2:8" x14ac:dyDescent="0.25">
      <c r="B26" s="7" t="s">
        <v>42</v>
      </c>
      <c r="C26" s="6" t="s">
        <v>10</v>
      </c>
      <c r="D26" s="14">
        <f>($F$26*D16/1000)</f>
        <v>1088.2349688174675</v>
      </c>
      <c r="E26" s="14">
        <f>($F$26*E16/1000)</f>
        <v>217.6469937634935</v>
      </c>
      <c r="F26" s="38">
        <v>0.85</v>
      </c>
    </row>
    <row r="27" spans="2:8" x14ac:dyDescent="0.25">
      <c r="B27" s="7" t="s">
        <v>43</v>
      </c>
      <c r="C27" s="6" t="s">
        <v>10</v>
      </c>
      <c r="D27" s="14">
        <f>($F$27*D17/1000)</f>
        <v>2738.1380399999994</v>
      </c>
      <c r="E27" s="14">
        <f>($F$27*E17/1000)</f>
        <v>912.71267999999998</v>
      </c>
      <c r="F27" s="39">
        <v>5</v>
      </c>
    </row>
    <row r="28" spans="2:8" x14ac:dyDescent="0.25">
      <c r="B28" s="5" t="s">
        <v>44</v>
      </c>
      <c r="C28" s="15" t="s">
        <v>10</v>
      </c>
      <c r="D28" s="34">
        <f>D23-D25-D26-D27</f>
        <v>5079197.8173600016</v>
      </c>
      <c r="E28" s="34">
        <f>E23-E25-E26-E27</f>
        <v>1125000.0000000002</v>
      </c>
    </row>
    <row r="29" spans="2:8" x14ac:dyDescent="0.25">
      <c r="B29" s="8" t="s">
        <v>45</v>
      </c>
      <c r="C29" s="13"/>
      <c r="D29" s="13"/>
      <c r="E29" s="13"/>
      <c r="F29" s="13"/>
    </row>
    <row r="30" spans="2:8" x14ac:dyDescent="0.25">
      <c r="B30" s="9" t="s">
        <v>4</v>
      </c>
      <c r="C30" s="9" t="s">
        <v>5</v>
      </c>
      <c r="D30" s="25">
        <f>(D21-D25-$F26*D16/1000)/$D$28</f>
        <v>0.83881248508144646</v>
      </c>
      <c r="E30" s="25">
        <f>(E21-E25-$F26*E16/1000)/$E$28</f>
        <v>0.75742125216</v>
      </c>
      <c r="G30" s="25"/>
    </row>
    <row r="31" spans="2:8" x14ac:dyDescent="0.25">
      <c r="B31" s="9" t="s">
        <v>0</v>
      </c>
      <c r="C31" s="9" t="s">
        <v>5</v>
      </c>
      <c r="D31" s="25">
        <f>(D22-$F27*D17/1000)/$D$28</f>
        <v>0.16118751491855354</v>
      </c>
      <c r="E31" s="25">
        <f>(E22-$F27*E17/1000)/$E$28</f>
        <v>0.24257874783999997</v>
      </c>
      <c r="G31" s="25"/>
    </row>
    <row r="32" spans="2:8" x14ac:dyDescent="0.25">
      <c r="B32" s="8" t="s">
        <v>46</v>
      </c>
      <c r="C32" s="9"/>
      <c r="D32" s="35"/>
      <c r="E32" s="35"/>
      <c r="G32" s="13"/>
    </row>
    <row r="33" spans="2:7" x14ac:dyDescent="0.25">
      <c r="B33" s="9" t="s">
        <v>4</v>
      </c>
      <c r="C33" s="9" t="s">
        <v>20</v>
      </c>
      <c r="D33" s="33">
        <f>D30*D28*1000/(D3*D4%)/100</f>
        <v>56.806593912000018</v>
      </c>
      <c r="E33" s="33">
        <f>E30*E28*1000/(D3*E4%)/100</f>
        <v>56.806593912000018</v>
      </c>
      <c r="G33" s="26"/>
    </row>
    <row r="34" spans="2:7" x14ac:dyDescent="0.25">
      <c r="B34" s="9" t="s">
        <v>0</v>
      </c>
      <c r="C34" s="9" t="s">
        <v>21</v>
      </c>
      <c r="D34" s="33">
        <f>D31*D28*1000/(D3*D5%)/100</f>
        <v>27.290109131999998</v>
      </c>
      <c r="E34" s="33">
        <f>E31*E28*1000/(D3*E5%)/100</f>
        <v>27.290109131999998</v>
      </c>
      <c r="G34" s="26"/>
    </row>
    <row r="35" spans="2:7" x14ac:dyDescent="0.25">
      <c r="B35" s="10" t="s">
        <v>14</v>
      </c>
      <c r="C35" s="9"/>
      <c r="D35" s="26">
        <f>D34/D33</f>
        <v>0.48040389772841391</v>
      </c>
      <c r="E35" s="26">
        <f>E34/E33</f>
        <v>0.48040389772841391</v>
      </c>
      <c r="G35" s="26"/>
    </row>
    <row r="36" spans="2:7" x14ac:dyDescent="0.25">
      <c r="B36" s="41" t="s">
        <v>15</v>
      </c>
      <c r="C36" s="42" t="s">
        <v>12</v>
      </c>
      <c r="D36" s="43">
        <f>D4+D5*D35</f>
        <v>0.89412116931852414</v>
      </c>
      <c r="E36" s="43">
        <f>E4+E5*E35</f>
        <v>0.19804038977284139</v>
      </c>
      <c r="F36" s="44" t="s">
        <v>26</v>
      </c>
      <c r="G36" s="26"/>
    </row>
    <row r="37" spans="2:7" x14ac:dyDescent="0.25">
      <c r="B37" s="5" t="s">
        <v>16</v>
      </c>
    </row>
    <row r="38" spans="2:7" x14ac:dyDescent="0.25">
      <c r="B38" s="23" t="s">
        <v>17</v>
      </c>
      <c r="C38" s="24" t="s">
        <v>22</v>
      </c>
      <c r="D38" s="66">
        <v>2.25</v>
      </c>
      <c r="E38" s="66"/>
      <c r="G38" s="27"/>
    </row>
    <row r="39" spans="2:7" x14ac:dyDescent="0.25">
      <c r="B39" s="23" t="s">
        <v>18</v>
      </c>
      <c r="C39" s="24" t="s">
        <v>23</v>
      </c>
      <c r="D39" s="66">
        <v>9</v>
      </c>
      <c r="E39" s="66"/>
      <c r="G39" s="27"/>
    </row>
    <row r="40" spans="2:7" x14ac:dyDescent="0.25">
      <c r="B40" s="36" t="s">
        <v>13</v>
      </c>
      <c r="C40" s="37" t="s">
        <v>23</v>
      </c>
      <c r="D40" s="67">
        <v>2.25</v>
      </c>
      <c r="E40" s="67"/>
      <c r="G40" s="27"/>
    </row>
    <row r="41" spans="2:7" x14ac:dyDescent="0.25">
      <c r="B41" s="28" t="s">
        <v>11</v>
      </c>
      <c r="C41" s="29" t="s">
        <v>23</v>
      </c>
      <c r="D41" s="68">
        <v>11.25</v>
      </c>
      <c r="E41" s="68"/>
      <c r="F41" s="45" t="s">
        <v>25</v>
      </c>
      <c r="G41" s="22"/>
    </row>
    <row r="42" spans="2:7" x14ac:dyDescent="0.25">
      <c r="B42" s="7" t="s">
        <v>19</v>
      </c>
      <c r="C42" s="6" t="s">
        <v>10</v>
      </c>
      <c r="D42" s="18">
        <f>D28-(D3/1000*D41)</f>
        <v>3954197.8173600016</v>
      </c>
      <c r="E42" s="46">
        <f>E28-(D3/1000*D41)</f>
        <v>0</v>
      </c>
      <c r="F42" s="45" t="s">
        <v>24</v>
      </c>
    </row>
  </sheetData>
  <mergeCells count="10">
    <mergeCell ref="D39:E39"/>
    <mergeCell ref="D40:E40"/>
    <mergeCell ref="F13:F14"/>
    <mergeCell ref="F7:F8"/>
    <mergeCell ref="D41:E41"/>
    <mergeCell ref="F3:F5"/>
    <mergeCell ref="D3:E3"/>
    <mergeCell ref="D19:E19"/>
    <mergeCell ref="D20:E20"/>
    <mergeCell ref="D38:E3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Weir</dc:creator>
  <cp:lastModifiedBy>Sean Horan</cp:lastModifiedBy>
  <dcterms:created xsi:type="dcterms:W3CDTF">2019-11-11T16:02:03Z</dcterms:created>
  <dcterms:modified xsi:type="dcterms:W3CDTF">2021-02-02T17:38:08Z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{57D93A01-4E85-4754-840A-767718156C54}</vt:lpwstr>
  </property>
</Properties>
</file>