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eankarkhanis/Documents/"/>
    </mc:Choice>
  </mc:AlternateContent>
  <xr:revisionPtr revIDLastSave="0" documentId="8_{BA3AEC24-6997-C440-9B53-2A20A40023A1}" xr6:coauthVersionLast="47" xr6:coauthVersionMax="47" xr10:uidLastSave="{00000000-0000-0000-0000-000000000000}"/>
  <bookViews>
    <workbookView xWindow="1460" yWindow="1580" windowWidth="27640" windowHeight="16500" xr2:uid="{6444FC2D-BA5C-9443-9534-AD0841A01563}"/>
  </bookViews>
  <sheets>
    <sheet name="Title" sheetId="8" r:id="rId1"/>
    <sheet name="Income Statement" sheetId="1" r:id="rId2"/>
    <sheet name="CapEx and Depreciation" sheetId="2" r:id="rId3"/>
    <sheet name="Balance Sheet" sheetId="3" r:id="rId4"/>
    <sheet name="Cash Flow Statement" sheetId="4" r:id="rId5"/>
    <sheet name="DCF MODEL" sheetId="5" r:id="rId6"/>
    <sheet name="Option Pricing Model" sheetId="6" r:id="rId7"/>
  </sheets>
  <definedNames>
    <definedName name="d1_">'Option Pricing Model'!$I$6</definedName>
    <definedName name="d2_">'Option Pricing Model'!$I$7</definedName>
    <definedName name="K">'Option Pricing Model'!$D$15</definedName>
    <definedName name="r_">'Option Pricing Model'!$D$17</definedName>
    <definedName name="S">'Option Pricing Model'!$D$14</definedName>
    <definedName name="T">'Option Pricing Model'!$D$16</definedName>
    <definedName name="σ">'Option Pricing Model'!$D$18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6" l="1"/>
  <c r="K4" i="6"/>
  <c r="I7" i="6"/>
  <c r="I8" i="6" s="1"/>
  <c r="I5" i="6" s="1"/>
  <c r="C4" i="6"/>
  <c r="I4" i="6" l="1"/>
  <c r="C4" i="5" l="1"/>
  <c r="D4" i="5"/>
  <c r="E4" i="5"/>
  <c r="B4" i="5"/>
  <c r="C13" i="5"/>
  <c r="D13" i="5"/>
  <c r="E13" i="5"/>
  <c r="B13" i="5"/>
  <c r="B23" i="5"/>
  <c r="L8" i="5"/>
  <c r="C14" i="5"/>
  <c r="B7" i="5"/>
  <c r="L7" i="5"/>
  <c r="D33" i="3"/>
  <c r="E33" i="3"/>
  <c r="F33" i="3"/>
  <c r="C33" i="3"/>
  <c r="D5" i="3"/>
  <c r="E5" i="3" s="1"/>
  <c r="C5" i="3"/>
  <c r="C22" i="4"/>
  <c r="D22" i="4"/>
  <c r="E22" i="4"/>
  <c r="B22" i="4"/>
  <c r="B20" i="4"/>
  <c r="C20" i="4"/>
  <c r="D20" i="4"/>
  <c r="E20" i="4"/>
  <c r="D19" i="4"/>
  <c r="C19" i="4"/>
  <c r="B19" i="4"/>
  <c r="E19" i="4"/>
  <c r="C18" i="4"/>
  <c r="D18" i="4"/>
  <c r="E18" i="4"/>
  <c r="B18" i="4"/>
  <c r="C15" i="4"/>
  <c r="D15" i="4"/>
  <c r="E15" i="4"/>
  <c r="B15" i="4"/>
  <c r="C13" i="4"/>
  <c r="D13" i="4"/>
  <c r="E13" i="4"/>
  <c r="B13" i="4"/>
  <c r="C10" i="4"/>
  <c r="D10" i="4"/>
  <c r="E10" i="4"/>
  <c r="B10" i="4"/>
  <c r="B9" i="4"/>
  <c r="C9" i="4"/>
  <c r="D9" i="4"/>
  <c r="E9" i="4"/>
  <c r="C8" i="4"/>
  <c r="D8" i="4"/>
  <c r="E8" i="4"/>
  <c r="B8" i="4"/>
  <c r="C7" i="4"/>
  <c r="D7" i="4"/>
  <c r="E7" i="4"/>
  <c r="B7" i="4"/>
  <c r="C6" i="4"/>
  <c r="D6" i="4"/>
  <c r="E6" i="4"/>
  <c r="B6" i="4"/>
  <c r="E3" i="4"/>
  <c r="D3" i="4"/>
  <c r="C3" i="4"/>
  <c r="B3" i="4"/>
  <c r="C23" i="3"/>
  <c r="D23" i="3"/>
  <c r="E23" i="3"/>
  <c r="F23" i="3"/>
  <c r="C31" i="3"/>
  <c r="D31" i="3"/>
  <c r="E31" i="3"/>
  <c r="F31" i="3"/>
  <c r="C29" i="3"/>
  <c r="D29" i="3"/>
  <c r="E29" i="3"/>
  <c r="F29" i="3"/>
  <c r="D28" i="3"/>
  <c r="E28" i="3" s="1"/>
  <c r="F28" i="3" s="1"/>
  <c r="C28" i="3"/>
  <c r="D45" i="3"/>
  <c r="E45" i="3"/>
  <c r="F45" i="3"/>
  <c r="C29" i="1"/>
  <c r="D29" i="1"/>
  <c r="E29" i="1"/>
  <c r="B29" i="1"/>
  <c r="C45" i="3"/>
  <c r="D27" i="3"/>
  <c r="E27" i="3" s="1"/>
  <c r="F27" i="3" s="1"/>
  <c r="C27" i="3"/>
  <c r="E21" i="3"/>
  <c r="F21" i="3" s="1"/>
  <c r="D21" i="3"/>
  <c r="C21" i="3"/>
  <c r="D13" i="3"/>
  <c r="C11" i="3"/>
  <c r="D11" i="3"/>
  <c r="E11" i="3"/>
  <c r="F11" i="3"/>
  <c r="D10" i="3"/>
  <c r="E10" i="3" s="1"/>
  <c r="F10" i="3" s="1"/>
  <c r="C10" i="3"/>
  <c r="D9" i="3"/>
  <c r="E9" i="3" s="1"/>
  <c r="F9" i="3" s="1"/>
  <c r="C9" i="3"/>
  <c r="C19" i="3"/>
  <c r="D19" i="3"/>
  <c r="E19" i="3"/>
  <c r="F19" i="3"/>
  <c r="D18" i="3"/>
  <c r="E18" i="3"/>
  <c r="F18" i="3"/>
  <c r="C18" i="3"/>
  <c r="D17" i="3"/>
  <c r="E17" i="3"/>
  <c r="F17" i="3"/>
  <c r="C17" i="3"/>
  <c r="C7" i="3"/>
  <c r="C13" i="3" s="1"/>
  <c r="D7" i="3"/>
  <c r="D6" i="3"/>
  <c r="E6" i="3"/>
  <c r="F6" i="3"/>
  <c r="C6" i="3"/>
  <c r="F37" i="3"/>
  <c r="D37" i="3"/>
  <c r="E37" i="3"/>
  <c r="C37" i="3"/>
  <c r="B29" i="3"/>
  <c r="B19" i="3"/>
  <c r="B23" i="3" s="1"/>
  <c r="B31" i="3" s="1"/>
  <c r="B11" i="3"/>
  <c r="B7" i="3"/>
  <c r="B13" i="3" s="1"/>
  <c r="B33" i="3" s="1"/>
  <c r="B9" i="5" l="1"/>
  <c r="B8" i="5"/>
  <c r="B10" i="5" s="1"/>
  <c r="E7" i="3"/>
  <c r="E13" i="3" s="1"/>
  <c r="F5" i="3"/>
  <c r="F7" i="3" s="1"/>
  <c r="F13" i="3" s="1"/>
  <c r="C23" i="1"/>
  <c r="D23" i="1"/>
  <c r="E23" i="1"/>
  <c r="B23" i="1"/>
  <c r="D13" i="2"/>
  <c r="E13" i="2"/>
  <c r="F13" i="2"/>
  <c r="C13" i="2"/>
  <c r="F12" i="2"/>
  <c r="E12" i="2"/>
  <c r="F11" i="2"/>
  <c r="E11" i="2"/>
  <c r="D11" i="2"/>
  <c r="C11" i="2"/>
  <c r="F10" i="2"/>
  <c r="D10" i="2"/>
  <c r="E10" i="2"/>
  <c r="C10" i="2"/>
  <c r="E7" i="2"/>
  <c r="D7" i="2"/>
  <c r="C7" i="2"/>
  <c r="E5" i="1"/>
  <c r="D5" i="1"/>
  <c r="C5" i="1"/>
  <c r="D6" i="1"/>
  <c r="E7" i="1"/>
  <c r="C6" i="1"/>
  <c r="C8" i="1" s="1"/>
  <c r="C7" i="1"/>
  <c r="D7" i="1"/>
  <c r="D8" i="1" s="1"/>
  <c r="B5" i="1"/>
  <c r="B6" i="1" s="1"/>
  <c r="E17" i="5" l="1"/>
  <c r="B17" i="5"/>
  <c r="B18" i="5" s="1"/>
  <c r="D17" i="5"/>
  <c r="D18" i="5" s="1"/>
  <c r="C17" i="5"/>
  <c r="C18" i="5" s="1"/>
  <c r="E18" i="5"/>
  <c r="E19" i="5"/>
  <c r="D12" i="1"/>
  <c r="D20" i="1"/>
  <c r="D11" i="1"/>
  <c r="D21" i="1"/>
  <c r="D22" i="1"/>
  <c r="D13" i="1"/>
  <c r="C20" i="1"/>
  <c r="C24" i="1" s="1"/>
  <c r="C11" i="1"/>
  <c r="C21" i="1"/>
  <c r="C12" i="1"/>
  <c r="C22" i="1"/>
  <c r="C13" i="1"/>
  <c r="B7" i="1"/>
  <c r="B8" i="1" s="1"/>
  <c r="E6" i="1"/>
  <c r="E8" i="1" s="1"/>
  <c r="B20" i="5" l="1"/>
  <c r="B27" i="5" s="1"/>
  <c r="B30" i="5" s="1"/>
  <c r="B20" i="1"/>
  <c r="B11" i="1"/>
  <c r="B21" i="1"/>
  <c r="B12" i="1"/>
  <c r="B22" i="1"/>
  <c r="B13" i="1"/>
  <c r="D14" i="1"/>
  <c r="D16" i="1" s="1"/>
  <c r="C14" i="1"/>
  <c r="C16" i="1" s="1"/>
  <c r="D24" i="1"/>
  <c r="E22" i="1"/>
  <c r="E13" i="1"/>
  <c r="E21" i="1"/>
  <c r="E12" i="1"/>
  <c r="E20" i="1"/>
  <c r="E24" i="1" s="1"/>
  <c r="E11" i="1"/>
  <c r="D27" i="1" l="1"/>
  <c r="D17" i="1"/>
  <c r="B14" i="1"/>
  <c r="B16" i="1" s="1"/>
  <c r="E14" i="1"/>
  <c r="E16" i="1" s="1"/>
  <c r="C27" i="1"/>
  <c r="C17" i="1"/>
  <c r="B24" i="1"/>
  <c r="C31" i="1" l="1"/>
  <c r="C38" i="1"/>
  <c r="D31" i="1"/>
  <c r="D38" i="1"/>
  <c r="B27" i="1"/>
  <c r="B17" i="1"/>
  <c r="E17" i="1"/>
  <c r="E27" i="1"/>
  <c r="D33" i="1" l="1"/>
  <c r="D35" i="1" s="1"/>
  <c r="D36" i="1" s="1"/>
  <c r="E31" i="1"/>
  <c r="E38" i="1"/>
  <c r="C33" i="1"/>
  <c r="C35" i="1"/>
  <c r="C36" i="1" s="1"/>
  <c r="B31" i="1"/>
  <c r="B38" i="1"/>
  <c r="E33" i="1" l="1"/>
  <c r="E35" i="1"/>
  <c r="E36" i="1" s="1"/>
  <c r="B33" i="1"/>
  <c r="B35" i="1"/>
  <c r="B36" i="1" s="1"/>
</calcChain>
</file>

<file path=xl/sharedStrings.xml><?xml version="1.0" encoding="utf-8"?>
<sst xmlns="http://schemas.openxmlformats.org/spreadsheetml/2006/main" count="188" uniqueCount="139">
  <si>
    <t>ASSUMPTIONS</t>
  </si>
  <si>
    <t>Revenue</t>
  </si>
  <si>
    <t>New Customers</t>
  </si>
  <si>
    <t>AOV</t>
  </si>
  <si>
    <t>Refunds (as % of rev)</t>
  </si>
  <si>
    <t>Discounts</t>
  </si>
  <si>
    <t>COGS</t>
  </si>
  <si>
    <t>Product</t>
  </si>
  <si>
    <t>Fulfillment</t>
  </si>
  <si>
    <t>Merchant Services</t>
  </si>
  <si>
    <t>Operating Expenses</t>
  </si>
  <si>
    <t>Personnel</t>
  </si>
  <si>
    <t>Marketing</t>
  </si>
  <si>
    <t>Other</t>
  </si>
  <si>
    <t>Depreciation</t>
  </si>
  <si>
    <t>other model</t>
  </si>
  <si>
    <t>Interest</t>
  </si>
  <si>
    <t>Tax Rate</t>
  </si>
  <si>
    <t>Income Statement</t>
  </si>
  <si>
    <t>Year 1</t>
  </si>
  <si>
    <t>Year 2</t>
  </si>
  <si>
    <t>Year 3</t>
  </si>
  <si>
    <t>Year 4</t>
  </si>
  <si>
    <t>Gross Revenue</t>
  </si>
  <si>
    <t>Refunds</t>
  </si>
  <si>
    <t>Net revenue</t>
  </si>
  <si>
    <t xml:space="preserve">Total COGS </t>
  </si>
  <si>
    <t>Gross Margin</t>
  </si>
  <si>
    <t>GM %</t>
  </si>
  <si>
    <t>Total OPEX</t>
  </si>
  <si>
    <t>Operating Income</t>
  </si>
  <si>
    <t>Interest Payments</t>
  </si>
  <si>
    <t>Net Income Before Taxes</t>
  </si>
  <si>
    <t>Taxes</t>
  </si>
  <si>
    <t>Net Income</t>
  </si>
  <si>
    <t>NI %</t>
  </si>
  <si>
    <t>EBITDA</t>
  </si>
  <si>
    <t>Capex &amp; Depreciation</t>
  </si>
  <si>
    <t>Useful Life (Years)</t>
  </si>
  <si>
    <t>Capex</t>
  </si>
  <si>
    <t>Software</t>
  </si>
  <si>
    <t>Forklift</t>
  </si>
  <si>
    <t>Workers</t>
  </si>
  <si>
    <t>Total Capex</t>
  </si>
  <si>
    <t>Total D&amp;A</t>
  </si>
  <si>
    <t>Net Revenue</t>
  </si>
  <si>
    <t>AR (% of revenue)</t>
  </si>
  <si>
    <t xml:space="preserve">AP </t>
  </si>
  <si>
    <t>Deferred Rev</t>
  </si>
  <si>
    <t>Net Borrowing</t>
  </si>
  <si>
    <t>Debt Payments</t>
  </si>
  <si>
    <t>Interest Rate</t>
  </si>
  <si>
    <t>Balance Sheet</t>
  </si>
  <si>
    <t>Dec 31, Year 0</t>
  </si>
  <si>
    <t>Historicals</t>
  </si>
  <si>
    <t>ASSETS</t>
  </si>
  <si>
    <t xml:space="preserve">Cash </t>
  </si>
  <si>
    <t>Accounts Receivable</t>
  </si>
  <si>
    <t>Total Current Assets</t>
  </si>
  <si>
    <t>Fixed Assets</t>
  </si>
  <si>
    <t>Accumulated Depreciation</t>
  </si>
  <si>
    <t>Net Fixed Assets</t>
  </si>
  <si>
    <t>Total Assets</t>
  </si>
  <si>
    <t>LIABILITIES</t>
  </si>
  <si>
    <t>Accounts Payable</t>
  </si>
  <si>
    <t>Deferred Revenue</t>
  </si>
  <si>
    <t>Long Term Debt</t>
  </si>
  <si>
    <t>Total Liabilities</t>
  </si>
  <si>
    <t>EQUITY</t>
  </si>
  <si>
    <t>Common Stock</t>
  </si>
  <si>
    <t>Retained Earnings</t>
  </si>
  <si>
    <t>Total Shareholders Equity</t>
  </si>
  <si>
    <t>Liabilities &amp; Shareholders Equity</t>
  </si>
  <si>
    <t>Balance Check</t>
  </si>
  <si>
    <t>Cash Flow Statement</t>
  </si>
  <si>
    <t>Operating Activities</t>
  </si>
  <si>
    <t>Chg in AR</t>
  </si>
  <si>
    <t>Chg in AP</t>
  </si>
  <si>
    <t>Chg in Def Rev</t>
  </si>
  <si>
    <t>Operating Cash Flow</t>
  </si>
  <si>
    <t>Investing Activities</t>
  </si>
  <si>
    <t>Free Cash Flow</t>
  </si>
  <si>
    <t>Financing Activities</t>
  </si>
  <si>
    <t>Debt Repayment</t>
  </si>
  <si>
    <t>Net Borrowings</t>
  </si>
  <si>
    <t>NCF from Financing</t>
  </si>
  <si>
    <t>Net Cash Flow</t>
  </si>
  <si>
    <t>DCF Model</t>
  </si>
  <si>
    <t>Total Current Liabilities</t>
  </si>
  <si>
    <t>Terminal Value</t>
  </si>
  <si>
    <t>Assumptions pt1</t>
  </si>
  <si>
    <t>Assumptions pt2</t>
  </si>
  <si>
    <t>Growth rate</t>
  </si>
  <si>
    <t>Beta</t>
  </si>
  <si>
    <t>EV/EBITDA Multiple</t>
  </si>
  <si>
    <t>Market Return</t>
  </si>
  <si>
    <t>Cost of Debt</t>
  </si>
  <si>
    <t>Equity value</t>
  </si>
  <si>
    <t>Debt value</t>
  </si>
  <si>
    <t>10y Treasury</t>
  </si>
  <si>
    <t>WACC</t>
  </si>
  <si>
    <t>Cost of Equity</t>
  </si>
  <si>
    <t>D/D+E</t>
  </si>
  <si>
    <t>E/D+E</t>
  </si>
  <si>
    <t>Exit Multiple (EV/EBITDA)</t>
  </si>
  <si>
    <t>Discounting</t>
  </si>
  <si>
    <t>Discount Factor</t>
  </si>
  <si>
    <t>PV of FCF</t>
  </si>
  <si>
    <t>PV of TV</t>
  </si>
  <si>
    <t>Enterprise Value</t>
  </si>
  <si>
    <t>Enterprise Value to Equity Value</t>
  </si>
  <si>
    <t>Cash</t>
  </si>
  <si>
    <t>Marketable Securities</t>
  </si>
  <si>
    <t>Equity Value</t>
  </si>
  <si>
    <t>Shares Outstanding</t>
  </si>
  <si>
    <t>Implied Share Price</t>
  </si>
  <si>
    <t>Year Number</t>
  </si>
  <si>
    <t>Debt</t>
  </si>
  <si>
    <t>Inputs</t>
  </si>
  <si>
    <t>S</t>
  </si>
  <si>
    <t>Strike Price</t>
  </si>
  <si>
    <t>K</t>
  </si>
  <si>
    <t>Time to Expiration</t>
  </si>
  <si>
    <t>Risk Free Rate</t>
  </si>
  <si>
    <t>r</t>
  </si>
  <si>
    <t>Volatility</t>
  </si>
  <si>
    <t>σ</t>
  </si>
  <si>
    <t>Underlying  Price</t>
  </si>
  <si>
    <t>Calculations</t>
  </si>
  <si>
    <t>c</t>
  </si>
  <si>
    <t>p</t>
  </si>
  <si>
    <t>d1</t>
  </si>
  <si>
    <t>d2</t>
  </si>
  <si>
    <t>Black Scholes Model Option Pricing</t>
  </si>
  <si>
    <t>Discounted Cash Flow Assumptions</t>
  </si>
  <si>
    <t>t</t>
  </si>
  <si>
    <t>Call Option (1 Share)</t>
  </si>
  <si>
    <t>100 Shares</t>
  </si>
  <si>
    <t>Put Option (1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</si>
</sst>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_);\(0.00\)"/>
    <numFmt numFmtId="167" formatCode="_([$$-409]* #,##0.00_);_([$$-409]* \(#,##0.00\);_([$$-409]* &quot;-&quot;??_);_(@_)"/>
    <numFmt numFmtId="173" formatCode="0.0000"/>
    <numFmt numFmtId="175" formatCode="0.0"/>
    <numFmt numFmtId="176" formatCode="0.0%"/>
    <numFmt numFmtId="177" formatCode="0.00\x"/>
    <numFmt numFmtId="178" formatCode="#,##0;\(#,##0\)"/>
    <numFmt numFmtId="179" formatCode="#,##0.00;\(#,##0.00\)"/>
  </numFmts>
  <fonts count="20" x14ac:knownFonts="1">
    <font>
      <sz val="12"/>
      <color theme="1"/>
      <name val="Aptos Narrow"/>
      <family val="2"/>
      <scheme val="minor"/>
    </font>
    <font>
      <sz val="12"/>
      <color theme="1"/>
      <name val="Aptos Narrow"/>
      <family val="2"/>
      <scheme val="minor"/>
    </font>
    <font>
      <sz val="12"/>
      <color rgb="FFFF0000"/>
      <name val="Aptos Narrow"/>
      <family val="2"/>
      <scheme val="minor"/>
    </font>
    <font>
      <b/>
      <sz val="12"/>
      <color theme="1"/>
      <name val="Aptos Narrow"/>
      <family val="2"/>
      <scheme val="minor"/>
    </font>
    <font>
      <u/>
      <sz val="12"/>
      <color theme="1"/>
      <name val="Aptos Narrow"/>
      <family val="2"/>
      <scheme val="minor"/>
    </font>
    <font>
      <sz val="12"/>
      <color rgb="FF0000FF"/>
      <name val="Aptos Narrow"/>
      <family val="2"/>
      <scheme val="minor"/>
    </font>
    <font>
      <b/>
      <u/>
      <sz val="12"/>
      <color theme="1"/>
      <name val="Aptos Narrow"/>
      <family val="2"/>
      <scheme val="minor"/>
    </font>
    <font>
      <b/>
      <sz val="12"/>
      <color theme="1"/>
      <name val="Aptos Narrow"/>
      <scheme val="minor"/>
    </font>
    <font>
      <b/>
      <u/>
      <sz val="12"/>
      <color theme="1"/>
      <name val="Aptos Narrow"/>
      <scheme val="minor"/>
    </font>
    <font>
      <b/>
      <i/>
      <sz val="12"/>
      <color theme="1"/>
      <name val="Aptos Narrow"/>
      <family val="2"/>
      <scheme val="minor"/>
    </font>
    <font>
      <sz val="12"/>
      <color rgb="FF000000"/>
      <name val="Aptos Narrow"/>
      <family val="2"/>
      <scheme val="minor"/>
    </font>
    <font>
      <sz val="12"/>
      <color rgb="FF0432FF"/>
      <name val="Aptos Narrow"/>
      <family val="2"/>
      <scheme val="minor"/>
    </font>
    <font>
      <sz val="12"/>
      <color rgb="FF002060"/>
      <name val="Aptos Narrow"/>
      <family val="2"/>
      <scheme val="minor"/>
    </font>
    <font>
      <b/>
      <sz val="12"/>
      <color rgb="FF000000"/>
      <name val="Aptos Narrow"/>
      <scheme val="minor"/>
    </font>
    <font>
      <b/>
      <sz val="12"/>
      <color theme="1"/>
      <name val="Calibri"/>
      <family val="2"/>
    </font>
    <font>
      <sz val="12"/>
      <name val="Arial"/>
      <family val="2"/>
    </font>
    <font>
      <sz val="12"/>
      <color theme="1"/>
      <name val="Calibri"/>
      <family val="2"/>
    </font>
    <font>
      <sz val="12"/>
      <color rgb="FF0432FF"/>
      <name val="Calibri"/>
      <family val="2"/>
    </font>
    <font>
      <sz val="12"/>
      <color rgb="FF000000"/>
      <name val="Calibri"/>
      <family val="2"/>
    </font>
    <font>
      <b/>
      <i/>
      <sz val="12"/>
      <color theme="1"/>
      <name val="Calibri"/>
      <family val="2"/>
    </font>
  </fonts>
  <fills count="4">
    <fill>
      <patternFill patternType="none"/>
    </fill>
    <fill>
      <patternFill patternType="gray125"/>
    </fill>
    <fill>
      <patternFill patternType="solid">
        <fgColor theme="2" tint="-0.249977111117893"/>
        <bgColor indexed="64"/>
      </patternFill>
    </fill>
    <fill>
      <patternFill patternType="solid">
        <fgColor theme="0" tint="-0.34998626667073579"/>
        <bgColor indexed="64"/>
      </patternFill>
    </fill>
  </fills>
  <borders count="23">
    <border>
      <left/>
      <right/>
      <top/>
      <bottom/>
      <diagonal/>
    </border>
    <border>
      <left/>
      <right/>
      <top/>
      <bottom style="thin">
        <color auto="1"/>
      </bottom>
      <diagonal/>
    </border>
    <border>
      <left style="thin">
        <color indexed="64"/>
      </left>
      <right/>
      <top/>
      <bottom/>
      <diagonal/>
    </border>
    <border>
      <left style="thin">
        <color indexed="64"/>
      </left>
      <right/>
      <top/>
      <bottom style="thin">
        <color auto="1"/>
      </bottom>
      <diagonal/>
    </border>
    <border>
      <left/>
      <right/>
      <top style="thin">
        <color auto="1"/>
      </top>
      <bottom style="double">
        <color auto="1"/>
      </bottom>
      <diagonal/>
    </border>
    <border>
      <left/>
      <right/>
      <top style="thin">
        <color auto="1"/>
      </top>
      <bottom style="thin">
        <color indexed="64"/>
      </bottom>
      <diagonal/>
    </border>
    <border>
      <left/>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0" fontId="0" fillId="2" borderId="0" xfId="0" applyFill="1"/>
    <xf numFmtId="0" fontId="4" fillId="0" borderId="0" xfId="0" applyFont="1"/>
    <xf numFmtId="164" fontId="5" fillId="0" borderId="0" xfId="1" applyNumberFormat="1" applyFont="1"/>
    <xf numFmtId="165" fontId="5" fillId="0" borderId="0" xfId="2" applyNumberFormat="1" applyFont="1"/>
    <xf numFmtId="9" fontId="5" fillId="0" borderId="0" xfId="3" applyFont="1"/>
    <xf numFmtId="0" fontId="3" fillId="0" borderId="0" xfId="0" applyFont="1"/>
    <xf numFmtId="0" fontId="6" fillId="0" borderId="0" xfId="0" applyFont="1" applyAlignment="1">
      <alignment horizontal="center"/>
    </xf>
    <xf numFmtId="0" fontId="7" fillId="0" borderId="0" xfId="0" applyFont="1"/>
    <xf numFmtId="0" fontId="8" fillId="0" borderId="0" xfId="0" applyFont="1"/>
    <xf numFmtId="44" fontId="0" fillId="0" borderId="0" xfId="2" applyFont="1"/>
    <xf numFmtId="44" fontId="0" fillId="0" borderId="0" xfId="0" applyNumberFormat="1"/>
    <xf numFmtId="44" fontId="7" fillId="0" borderId="0" xfId="0" applyNumberFormat="1" applyFont="1"/>
    <xf numFmtId="9" fontId="7" fillId="0" borderId="0" xfId="3" applyFont="1"/>
    <xf numFmtId="0" fontId="9" fillId="0" borderId="0" xfId="0" applyFont="1" applyAlignment="1">
      <alignment horizontal="center"/>
    </xf>
    <xf numFmtId="165" fontId="5" fillId="0" borderId="1" xfId="2" applyNumberFormat="1" applyFont="1" applyBorder="1"/>
    <xf numFmtId="165" fontId="0" fillId="0" borderId="0" xfId="0" applyNumberFormat="1"/>
    <xf numFmtId="165" fontId="7" fillId="0" borderId="0" xfId="0" applyNumberFormat="1" applyFont="1"/>
    <xf numFmtId="167" fontId="0" fillId="0" borderId="0" xfId="0" applyNumberFormat="1"/>
    <xf numFmtId="167" fontId="7" fillId="0" borderId="0" xfId="0" applyNumberFormat="1" applyFont="1"/>
    <xf numFmtId="44" fontId="0" fillId="0" borderId="0" xfId="2" applyFont="1" applyBorder="1"/>
    <xf numFmtId="166" fontId="0" fillId="0" borderId="0" xfId="2" applyNumberFormat="1" applyFont="1" applyBorder="1"/>
    <xf numFmtId="166" fontId="0" fillId="0" borderId="1" xfId="2" applyNumberFormat="1" applyFont="1" applyBorder="1"/>
    <xf numFmtId="44" fontId="0" fillId="0" borderId="0" xfId="0" applyNumberFormat="1" applyBorder="1"/>
    <xf numFmtId="44" fontId="0" fillId="0" borderId="1" xfId="0" applyNumberFormat="1" applyBorder="1"/>
    <xf numFmtId="167" fontId="0" fillId="0" borderId="0" xfId="0" applyNumberFormat="1" applyBorder="1"/>
    <xf numFmtId="167" fontId="0" fillId="0" borderId="1" xfId="0" applyNumberFormat="1" applyBorder="1"/>
    <xf numFmtId="0" fontId="6" fillId="0" borderId="2" xfId="0" applyFont="1" applyBorder="1" applyAlignment="1">
      <alignment horizontal="center"/>
    </xf>
    <xf numFmtId="0" fontId="0" fillId="0" borderId="2" xfId="0" applyBorder="1"/>
    <xf numFmtId="44" fontId="0" fillId="0" borderId="2" xfId="2" applyFont="1" applyBorder="1"/>
    <xf numFmtId="166" fontId="0" fillId="0" borderId="2" xfId="2" applyNumberFormat="1" applyFont="1" applyBorder="1"/>
    <xf numFmtId="166" fontId="0" fillId="0" borderId="3" xfId="2" applyNumberFormat="1" applyFont="1" applyBorder="1"/>
    <xf numFmtId="44" fontId="7" fillId="0" borderId="2" xfId="0" applyNumberFormat="1" applyFont="1" applyBorder="1"/>
    <xf numFmtId="44" fontId="0" fillId="0" borderId="2" xfId="0" applyNumberFormat="1" applyBorder="1"/>
    <xf numFmtId="44" fontId="0" fillId="0" borderId="3" xfId="0" applyNumberFormat="1" applyBorder="1"/>
    <xf numFmtId="9" fontId="7" fillId="0" borderId="2" xfId="3" applyFont="1" applyBorder="1"/>
    <xf numFmtId="167" fontId="0" fillId="0" borderId="2" xfId="0" applyNumberFormat="1" applyBorder="1"/>
    <xf numFmtId="167" fontId="0" fillId="0" borderId="3" xfId="0" applyNumberFormat="1" applyBorder="1"/>
    <xf numFmtId="0" fontId="0" fillId="2" borderId="2" xfId="0" applyFill="1" applyBorder="1"/>
    <xf numFmtId="164" fontId="5" fillId="0" borderId="2" xfId="1" applyNumberFormat="1" applyFont="1" applyBorder="1"/>
    <xf numFmtId="165" fontId="5" fillId="0" borderId="2" xfId="2" applyNumberFormat="1" applyFont="1" applyBorder="1"/>
    <xf numFmtId="9" fontId="5" fillId="0" borderId="2" xfId="3" applyFont="1" applyBorder="1"/>
    <xf numFmtId="167" fontId="10" fillId="0" borderId="0" xfId="0" applyNumberFormat="1" applyFont="1" applyBorder="1"/>
    <xf numFmtId="0" fontId="6" fillId="0" borderId="0" xfId="0" applyFont="1"/>
    <xf numFmtId="0" fontId="2" fillId="0" borderId="0" xfId="0" applyFont="1" applyAlignment="1">
      <alignment horizontal="center"/>
    </xf>
    <xf numFmtId="165" fontId="11" fillId="0" borderId="0" xfId="2" applyNumberFormat="1" applyFont="1"/>
    <xf numFmtId="165" fontId="11" fillId="0" borderId="1" xfId="2" applyNumberFormat="1" applyFont="1" applyBorder="1"/>
    <xf numFmtId="164" fontId="0" fillId="0" borderId="0" xfId="1" applyNumberFormat="1" applyFont="1"/>
    <xf numFmtId="164" fontId="0" fillId="0" borderId="0" xfId="0" applyNumberFormat="1"/>
    <xf numFmtId="164" fontId="0" fillId="0" borderId="4" xfId="0" applyNumberFormat="1" applyBorder="1"/>
    <xf numFmtId="164" fontId="0" fillId="0" borderId="0" xfId="1" applyNumberFormat="1" applyFont="1" applyBorder="1"/>
    <xf numFmtId="164" fontId="2" fillId="0" borderId="0" xfId="1" applyNumberFormat="1" applyFont="1"/>
    <xf numFmtId="0" fontId="0" fillId="0" borderId="1" xfId="0" applyBorder="1"/>
    <xf numFmtId="0" fontId="0" fillId="3" borderId="5" xfId="0" applyFill="1" applyBorder="1"/>
    <xf numFmtId="9" fontId="5" fillId="0" borderId="0" xfId="0" applyNumberFormat="1" applyFont="1"/>
    <xf numFmtId="164" fontId="7" fillId="0" borderId="4" xfId="1" applyNumberFormat="1" applyFont="1" applyBorder="1"/>
    <xf numFmtId="44" fontId="7" fillId="0" borderId="2" xfId="2" applyFont="1" applyBorder="1"/>
    <xf numFmtId="165" fontId="12" fillId="0" borderId="0" xfId="0" applyNumberFormat="1" applyFont="1"/>
    <xf numFmtId="44" fontId="7" fillId="0" borderId="0" xfId="2" applyFont="1"/>
    <xf numFmtId="44" fontId="7" fillId="0" borderId="6" xfId="0" applyNumberFormat="1" applyFont="1" applyBorder="1"/>
    <xf numFmtId="0" fontId="13" fillId="0" borderId="0" xfId="0" applyFont="1"/>
    <xf numFmtId="44" fontId="13" fillId="0" borderId="2" xfId="0" applyNumberFormat="1" applyFont="1" applyBorder="1"/>
    <xf numFmtId="44" fontId="13" fillId="0" borderId="0" xfId="0" applyNumberFormat="1" applyFont="1"/>
    <xf numFmtId="0" fontId="7" fillId="0" borderId="6" xfId="0" applyFont="1" applyBorder="1"/>
    <xf numFmtId="0" fontId="16" fillId="0" borderId="10" xfId="0" applyFont="1" applyBorder="1"/>
    <xf numFmtId="0" fontId="16" fillId="0" borderId="0" xfId="0" applyFont="1"/>
    <xf numFmtId="176" fontId="17" fillId="0" borderId="0" xfId="0" applyNumberFormat="1" applyFont="1"/>
    <xf numFmtId="175" fontId="17" fillId="0" borderId="0" xfId="0" applyNumberFormat="1" applyFont="1"/>
    <xf numFmtId="177" fontId="17" fillId="0" borderId="0" xfId="0" applyNumberFormat="1" applyFont="1"/>
    <xf numFmtId="9" fontId="17" fillId="0" borderId="0" xfId="0" applyNumberFormat="1" applyFont="1"/>
    <xf numFmtId="0" fontId="18" fillId="0" borderId="0" xfId="0" applyFont="1"/>
    <xf numFmtId="178" fontId="17" fillId="0" borderId="0" xfId="0" applyNumberFormat="1" applyFont="1"/>
    <xf numFmtId="0" fontId="0" fillId="0" borderId="0" xfId="0" applyFill="1"/>
    <xf numFmtId="0" fontId="14" fillId="0" borderId="7" xfId="0" applyFont="1" applyFill="1" applyBorder="1" applyAlignment="1">
      <alignment horizontal="center"/>
    </xf>
    <xf numFmtId="0" fontId="15" fillId="0" borderId="8" xfId="0" applyFont="1" applyFill="1" applyBorder="1"/>
    <xf numFmtId="0" fontId="15" fillId="0" borderId="9" xfId="0" applyFont="1" applyFill="1" applyBorder="1"/>
    <xf numFmtId="0" fontId="14" fillId="0" borderId="0" xfId="0" applyFont="1" applyFill="1" applyAlignment="1">
      <alignment horizontal="center"/>
    </xf>
    <xf numFmtId="0" fontId="19" fillId="0" borderId="0" xfId="0" applyFont="1" applyFill="1"/>
    <xf numFmtId="178" fontId="16" fillId="0" borderId="0" xfId="0" applyNumberFormat="1" applyFont="1" applyFill="1"/>
    <xf numFmtId="0" fontId="16" fillId="0" borderId="0" xfId="0" applyFont="1" applyFill="1" applyAlignment="1">
      <alignment horizontal="left"/>
    </xf>
    <xf numFmtId="10" fontId="16" fillId="0" borderId="0" xfId="0" applyNumberFormat="1" applyFont="1" applyFill="1"/>
    <xf numFmtId="0" fontId="14" fillId="0" borderId="11" xfId="0" applyFont="1" applyFill="1" applyBorder="1" applyAlignment="1">
      <alignment horizontal="left"/>
    </xf>
    <xf numFmtId="10" fontId="14" fillId="0" borderId="11" xfId="0" applyNumberFormat="1" applyFont="1" applyFill="1" applyBorder="1"/>
    <xf numFmtId="178" fontId="14" fillId="0" borderId="11" xfId="0" applyNumberFormat="1" applyFont="1" applyFill="1" applyBorder="1"/>
    <xf numFmtId="0" fontId="19" fillId="0" borderId="0" xfId="0" applyFont="1" applyFill="1" applyAlignment="1">
      <alignment horizontal="left"/>
    </xf>
    <xf numFmtId="179" fontId="16" fillId="0" borderId="0" xfId="0" applyNumberFormat="1" applyFont="1" applyFill="1"/>
    <xf numFmtId="178" fontId="17" fillId="0" borderId="0" xfId="0" applyNumberFormat="1" applyFont="1" applyFill="1"/>
    <xf numFmtId="44" fontId="14" fillId="0" borderId="11" xfId="2" applyFont="1" applyFill="1" applyBorder="1"/>
    <xf numFmtId="0" fontId="14" fillId="0" borderId="0" xfId="0" applyFont="1" applyFill="1"/>
    <xf numFmtId="178" fontId="14" fillId="0" borderId="0" xfId="0" applyNumberFormat="1" applyFont="1" applyFill="1" applyBorder="1"/>
    <xf numFmtId="0" fontId="0" fillId="0" borderId="0" xfId="0" applyFont="1"/>
    <xf numFmtId="0" fontId="0" fillId="0" borderId="0" xfId="0" applyFont="1" applyFill="1"/>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9" xfId="0" applyFont="1" applyFill="1" applyBorder="1" applyAlignment="1">
      <alignment horizontal="center"/>
    </xf>
    <xf numFmtId="0" fontId="0" fillId="0" borderId="0" xfId="0" applyFont="1" applyFill="1" applyAlignment="1">
      <alignment horizontal="center"/>
    </xf>
    <xf numFmtId="44" fontId="0" fillId="0" borderId="15" xfId="2" applyFont="1" applyFill="1" applyBorder="1" applyAlignment="1">
      <alignment horizontal="center"/>
    </xf>
    <xf numFmtId="0" fontId="0" fillId="0" borderId="15" xfId="0" applyFont="1" applyFill="1" applyBorder="1" applyAlignment="1">
      <alignment horizontal="center"/>
    </xf>
    <xf numFmtId="0" fontId="16" fillId="0" borderId="17" xfId="0" applyFont="1" applyFill="1" applyBorder="1" applyAlignment="1">
      <alignment horizontal="center"/>
    </xf>
    <xf numFmtId="0" fontId="0" fillId="0" borderId="18" xfId="0" applyFont="1" applyFill="1" applyBorder="1" applyAlignment="1">
      <alignment horizontal="center"/>
    </xf>
    <xf numFmtId="0" fontId="7" fillId="0" borderId="14" xfId="0" applyFont="1" applyFill="1" applyBorder="1" applyAlignment="1">
      <alignment horizontal="center"/>
    </xf>
    <xf numFmtId="0" fontId="7" fillId="0" borderId="0" xfId="0" applyFont="1" applyFill="1" applyBorder="1"/>
    <xf numFmtId="0" fontId="0" fillId="0" borderId="14" xfId="0" applyFont="1" applyFill="1" applyBorder="1"/>
    <xf numFmtId="44" fontId="0" fillId="0" borderId="15" xfId="0" applyNumberFormat="1" applyFont="1" applyFill="1" applyBorder="1"/>
    <xf numFmtId="44" fontId="0" fillId="0" borderId="15" xfId="2" applyFont="1" applyFill="1" applyBorder="1"/>
    <xf numFmtId="0" fontId="0" fillId="0" borderId="15" xfId="0" applyFont="1" applyFill="1" applyBorder="1"/>
    <xf numFmtId="173" fontId="0" fillId="0" borderId="15" xfId="0" applyNumberFormat="1" applyFont="1" applyFill="1" applyBorder="1"/>
    <xf numFmtId="0" fontId="0" fillId="0" borderId="16" xfId="0" applyFont="1" applyFill="1" applyBorder="1"/>
    <xf numFmtId="0" fontId="0" fillId="0" borderId="17" xfId="0" applyFont="1" applyFill="1" applyBorder="1"/>
    <xf numFmtId="173" fontId="0" fillId="0" borderId="18" xfId="0" applyNumberFormat="1" applyFont="1" applyFill="1" applyBorder="1"/>
    <xf numFmtId="0" fontId="0" fillId="0" borderId="0" xfId="0" applyFont="1" applyBorder="1"/>
    <xf numFmtId="0" fontId="0" fillId="0" borderId="6" xfId="0" applyFont="1" applyBorder="1"/>
    <xf numFmtId="0" fontId="0" fillId="0" borderId="20" xfId="0" applyFont="1" applyBorder="1"/>
    <xf numFmtId="44" fontId="0" fillId="0" borderId="21" xfId="0" applyNumberFormat="1" applyFont="1" applyFill="1" applyBorder="1"/>
    <xf numFmtId="0" fontId="0" fillId="0" borderId="1" xfId="0" applyFont="1" applyBorder="1"/>
    <xf numFmtId="0" fontId="0" fillId="0" borderId="22" xfId="0" applyFont="1" applyBorder="1"/>
    <xf numFmtId="44" fontId="0" fillId="0" borderId="21" xfId="0" applyNumberFormat="1" applyFont="1" applyBorder="1"/>
    <xf numFmtId="0" fontId="0" fillId="0" borderId="21" xfId="0"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12700</xdr:colOff>
      <xdr:row>3</xdr:row>
      <xdr:rowOff>0</xdr:rowOff>
    </xdr:from>
    <xdr:to>
      <xdr:col>14</xdr:col>
      <xdr:colOff>330200</xdr:colOff>
      <xdr:row>29</xdr:row>
      <xdr:rowOff>50800</xdr:rowOff>
    </xdr:to>
    <xdr:sp macro="" textlink="">
      <xdr:nvSpPr>
        <xdr:cNvPr id="2" name="TextBox 1">
          <a:extLst>
            <a:ext uri="{FF2B5EF4-FFF2-40B4-BE49-F238E27FC236}">
              <a16:creationId xmlns:a16="http://schemas.microsoft.com/office/drawing/2014/main" id="{10A8B337-2D79-9DC5-684F-DBDA04BD4984}"/>
            </a:ext>
          </a:extLst>
        </xdr:cNvPr>
        <xdr:cNvSpPr txBox="1"/>
      </xdr:nvSpPr>
      <xdr:spPr>
        <a:xfrm>
          <a:off x="1663700" y="609600"/>
          <a:ext cx="10223500" cy="533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p>
        <a:p>
          <a:pPr algn="ctr"/>
          <a:r>
            <a:rPr lang="en-US" sz="1500" b="1">
              <a:solidFill>
                <a:schemeClr val="tx1"/>
              </a:solidFill>
            </a:rPr>
            <a:t>Financial</a:t>
          </a:r>
          <a:r>
            <a:rPr lang="en-US" sz="1500" b="1" baseline="0">
              <a:solidFill>
                <a:schemeClr val="tx1"/>
              </a:solidFill>
            </a:rPr>
            <a:t> Analysis Projcet</a:t>
          </a:r>
        </a:p>
        <a:p>
          <a:pPr algn="ctr"/>
          <a:endParaRPr lang="en-US" sz="1500" baseline="0">
            <a:solidFill>
              <a:schemeClr val="tx1"/>
            </a:solidFill>
          </a:endParaRPr>
        </a:p>
        <a:p>
          <a:pPr algn="l"/>
          <a:endParaRPr lang="en-US" sz="1500" baseline="0">
            <a:solidFill>
              <a:schemeClr val="tx1"/>
            </a:solidFill>
          </a:endParaRPr>
        </a:p>
        <a:p>
          <a:pPr algn="l"/>
          <a:r>
            <a:rPr lang="en-US" sz="1500" baseline="0">
              <a:solidFill>
                <a:schemeClr val="tx1"/>
              </a:solidFill>
            </a:rPr>
            <a:t>	For my proejct, I used an example of a subsciption based coffee comapny to build a couple of financial models that derive key insights about the company using esitmated assumptions based on current market trends. </a:t>
          </a:r>
        </a:p>
        <a:p>
          <a:pPr algn="l"/>
          <a:endParaRPr lang="en-US" sz="1500" baseline="0">
            <a:solidFill>
              <a:schemeClr val="tx1"/>
            </a:solidFill>
          </a:endParaRPr>
        </a:p>
        <a:p>
          <a:pPr algn="l"/>
          <a:r>
            <a:rPr lang="en-US" sz="1500" baseline="0">
              <a:solidFill>
                <a:schemeClr val="tx1"/>
              </a:solidFill>
            </a:rPr>
            <a:t>I started my project by making a 3 statment financial model based on the company's revenue, expenses, and sales numbers. With these assumptions, I was able to create an Income Statement, Balance Sheet, and Cashflow Statement while also calculating Capital Expenditures and Depreciation. The balance sheet was able to perfectly balance, as the difference between Total Assets and (Liabilities + Shareholders Equity) equaled to 0. </a:t>
          </a:r>
        </a:p>
        <a:p>
          <a:pPr algn="l"/>
          <a:endParaRPr lang="en-US" sz="1500" baseline="0">
            <a:solidFill>
              <a:schemeClr val="tx1"/>
            </a:solidFill>
          </a:endParaRPr>
        </a:p>
        <a:p>
          <a:pPr algn="l"/>
          <a:r>
            <a:rPr lang="en-US" sz="1500" baseline="0">
              <a:solidFill>
                <a:schemeClr val="tx1"/>
              </a:solidFill>
            </a:rPr>
            <a:t>After finishing this model, I was able to take values from the 3 statement model such as Free Cash Flow and EBITDA along with a few more assumptions to create a Discounted Cash Flow Model. This Model was able to properly value the company based on the metrics and create a current stock price for the compay based on future predictions. </a:t>
          </a:r>
        </a:p>
        <a:p>
          <a:pPr algn="l"/>
          <a:endParaRPr lang="en-US" sz="1500" baseline="0">
            <a:solidFill>
              <a:schemeClr val="tx1"/>
            </a:solidFill>
          </a:endParaRPr>
        </a:p>
        <a:p>
          <a:pPr algn="l"/>
          <a:r>
            <a:rPr lang="en-US" sz="1500" baseline="0">
              <a:solidFill>
                <a:schemeClr val="tx1"/>
              </a:solidFill>
            </a:rPr>
            <a:t>After generating a current stock price, I created the Black Scholes Option Pricing Model using the stock price as my underlying price and tested different option prices based on the different assumptions in the formula to ultimatley help a trader decide if they want to excersize call or put options. </a:t>
          </a:r>
        </a:p>
        <a:p>
          <a:pPr algn="l"/>
          <a:endParaRPr lang="en-US" sz="1500" baseline="0">
            <a:solidFill>
              <a:schemeClr val="tx1"/>
            </a:solidFill>
          </a:endParaRPr>
        </a:p>
        <a:p>
          <a:pPr algn="l"/>
          <a:endParaRPr lang="en-US" sz="1500" baseline="0">
            <a:solidFill>
              <a:schemeClr val="tx1"/>
            </a:solidFill>
          </a:endParaRPr>
        </a:p>
        <a:p>
          <a:pPr algn="l"/>
          <a:endParaRPr lang="en-US" sz="15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9</xdr:row>
      <xdr:rowOff>165100</xdr:rowOff>
    </xdr:from>
    <xdr:to>
      <xdr:col>4</xdr:col>
      <xdr:colOff>130175</xdr:colOff>
      <xdr:row>18</xdr:row>
      <xdr:rowOff>202429</xdr:rowOff>
    </xdr:to>
    <xdr:pic>
      <xdr:nvPicPr>
        <xdr:cNvPr id="2" name="Picture 1">
          <a:extLst>
            <a:ext uri="{FF2B5EF4-FFF2-40B4-BE49-F238E27FC236}">
              <a16:creationId xmlns:a16="http://schemas.microsoft.com/office/drawing/2014/main" id="{F3451DB3-BE04-6347-B63A-BBBC35312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032000"/>
          <a:ext cx="3394075" cy="186612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407B-31B5-4D49-86E6-527305B9354F}">
  <dimension ref="A1"/>
  <sheetViews>
    <sheetView tabSelected="1" workbookViewId="0">
      <selection activeCell="F34" sqref="F34"/>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935F-3756-1547-A347-37D55064425C}">
  <dimension ref="A1:F61"/>
  <sheetViews>
    <sheetView workbookViewId="0">
      <pane xSplit="1" topLeftCell="B1" activePane="topRight" state="frozen"/>
      <selection pane="topRight" activeCell="B17" sqref="B17"/>
    </sheetView>
  </sheetViews>
  <sheetFormatPr baseColWidth="10" defaultRowHeight="16" x14ac:dyDescent="0.2"/>
  <cols>
    <col min="2" max="2" width="14" style="28" bestFit="1" customWidth="1"/>
    <col min="3" max="3" width="14" bestFit="1" customWidth="1"/>
    <col min="4" max="5" width="15" bestFit="1" customWidth="1"/>
  </cols>
  <sheetData>
    <row r="1" spans="1:5" x14ac:dyDescent="0.2">
      <c r="A1" s="6" t="s">
        <v>18</v>
      </c>
      <c r="B1" s="27" t="s">
        <v>19</v>
      </c>
      <c r="C1" s="7" t="s">
        <v>20</v>
      </c>
      <c r="D1" s="7" t="s">
        <v>21</v>
      </c>
      <c r="E1" s="7" t="s">
        <v>22</v>
      </c>
    </row>
    <row r="3" spans="1:5" x14ac:dyDescent="0.2">
      <c r="A3" s="9" t="s">
        <v>1</v>
      </c>
    </row>
    <row r="5" spans="1:5" x14ac:dyDescent="0.2">
      <c r="A5" t="s">
        <v>23</v>
      </c>
      <c r="B5" s="29">
        <f>B43*B44</f>
        <v>3000000</v>
      </c>
      <c r="C5" s="20">
        <f>C43*C44</f>
        <v>4800000</v>
      </c>
      <c r="D5" s="20">
        <f>D43*D44</f>
        <v>10000000</v>
      </c>
      <c r="E5" s="20">
        <f>E43*E44</f>
        <v>18000000</v>
      </c>
    </row>
    <row r="6" spans="1:5" x14ac:dyDescent="0.2">
      <c r="A6" t="s">
        <v>24</v>
      </c>
      <c r="B6" s="30">
        <f>-B5*B45</f>
        <v>-150000</v>
      </c>
      <c r="C6" s="21">
        <f t="shared" ref="C6:E6" si="0">-C5*C45</f>
        <v>-240000</v>
      </c>
      <c r="D6" s="21">
        <f t="shared" si="0"/>
        <v>-500000</v>
      </c>
      <c r="E6" s="21">
        <f t="shared" si="0"/>
        <v>-900000</v>
      </c>
    </row>
    <row r="7" spans="1:5" x14ac:dyDescent="0.2">
      <c r="A7" t="s">
        <v>5</v>
      </c>
      <c r="B7" s="31">
        <f>-B5*B46</f>
        <v>-240000</v>
      </c>
      <c r="C7" s="22">
        <f t="shared" ref="C7:E7" si="1">-C5*C46</f>
        <v>-384000</v>
      </c>
      <c r="D7" s="22">
        <f t="shared" si="1"/>
        <v>-800000</v>
      </c>
      <c r="E7" s="22">
        <f t="shared" si="1"/>
        <v>-1440000</v>
      </c>
    </row>
    <row r="8" spans="1:5" x14ac:dyDescent="0.2">
      <c r="A8" s="8" t="s">
        <v>25</v>
      </c>
      <c r="B8" s="32">
        <f>SUM(B5:B7)</f>
        <v>2610000</v>
      </c>
      <c r="C8" s="12">
        <f t="shared" ref="C8:E8" si="2">SUM(C5:C7)</f>
        <v>4176000</v>
      </c>
      <c r="D8" s="12">
        <f t="shared" si="2"/>
        <v>8700000</v>
      </c>
      <c r="E8" s="12">
        <f t="shared" si="2"/>
        <v>15660000</v>
      </c>
    </row>
    <row r="10" spans="1:5" x14ac:dyDescent="0.2">
      <c r="A10" s="9" t="s">
        <v>6</v>
      </c>
    </row>
    <row r="11" spans="1:5" x14ac:dyDescent="0.2">
      <c r="A11" t="s">
        <v>7</v>
      </c>
      <c r="B11" s="33">
        <f>B$8*B49</f>
        <v>913500</v>
      </c>
      <c r="C11" s="23">
        <f t="shared" ref="C11:E11" si="3">C$8*C49</f>
        <v>1461600</v>
      </c>
      <c r="D11" s="23">
        <f t="shared" si="3"/>
        <v>3045000</v>
      </c>
      <c r="E11" s="23">
        <f t="shared" si="3"/>
        <v>5481000</v>
      </c>
    </row>
    <row r="12" spans="1:5" x14ac:dyDescent="0.2">
      <c r="A12" t="s">
        <v>8</v>
      </c>
      <c r="B12" s="33">
        <f t="shared" ref="B12:E13" si="4">B$8*B50</f>
        <v>130500</v>
      </c>
      <c r="C12" s="23">
        <f t="shared" si="4"/>
        <v>208800</v>
      </c>
      <c r="D12" s="23">
        <f t="shared" si="4"/>
        <v>435000</v>
      </c>
      <c r="E12" s="23">
        <f t="shared" si="4"/>
        <v>783000</v>
      </c>
    </row>
    <row r="13" spans="1:5" x14ac:dyDescent="0.2">
      <c r="A13" t="s">
        <v>9</v>
      </c>
      <c r="B13" s="34">
        <f t="shared" si="4"/>
        <v>78300</v>
      </c>
      <c r="C13" s="24">
        <f t="shared" si="4"/>
        <v>125280</v>
      </c>
      <c r="D13" s="24">
        <f t="shared" si="4"/>
        <v>261000</v>
      </c>
      <c r="E13" s="24">
        <f t="shared" si="4"/>
        <v>469800</v>
      </c>
    </row>
    <row r="14" spans="1:5" x14ac:dyDescent="0.2">
      <c r="A14" s="8" t="s">
        <v>26</v>
      </c>
      <c r="B14" s="32">
        <f>SUM(B11:B13)</f>
        <v>1122300</v>
      </c>
      <c r="C14" s="12">
        <f t="shared" ref="C14:E14" si="5">SUM(C11:C13)</f>
        <v>1795680</v>
      </c>
      <c r="D14" s="12">
        <f t="shared" si="5"/>
        <v>3741000</v>
      </c>
      <c r="E14" s="12">
        <f t="shared" si="5"/>
        <v>6733800</v>
      </c>
    </row>
    <row r="15" spans="1:5" x14ac:dyDescent="0.2">
      <c r="A15" s="8"/>
    </row>
    <row r="16" spans="1:5" x14ac:dyDescent="0.2">
      <c r="A16" s="8" t="s">
        <v>27</v>
      </c>
      <c r="B16" s="32">
        <f>B8-B14</f>
        <v>1487700</v>
      </c>
      <c r="C16" s="12">
        <f t="shared" ref="C16:E16" si="6">C8-C14</f>
        <v>2380320</v>
      </c>
      <c r="D16" s="12">
        <f t="shared" si="6"/>
        <v>4959000</v>
      </c>
      <c r="E16" s="12">
        <f t="shared" si="6"/>
        <v>8926200</v>
      </c>
    </row>
    <row r="17" spans="1:5" x14ac:dyDescent="0.2">
      <c r="A17" s="8" t="s">
        <v>28</v>
      </c>
      <c r="B17" s="35">
        <f>B16/B8</f>
        <v>0.56999999999999995</v>
      </c>
      <c r="C17" s="13">
        <f t="shared" ref="C17:E17" si="7">C16/C8</f>
        <v>0.56999999999999995</v>
      </c>
      <c r="D17" s="13">
        <f t="shared" si="7"/>
        <v>0.56999999999999995</v>
      </c>
      <c r="E17" s="13">
        <f t="shared" si="7"/>
        <v>0.56999999999999995</v>
      </c>
    </row>
    <row r="19" spans="1:5" x14ac:dyDescent="0.2">
      <c r="A19" s="8" t="s">
        <v>10</v>
      </c>
    </row>
    <row r="20" spans="1:5" x14ac:dyDescent="0.2">
      <c r="A20" t="s">
        <v>11</v>
      </c>
      <c r="B20" s="36">
        <f>B$8*B54</f>
        <v>522000</v>
      </c>
      <c r="C20" s="25">
        <f t="shared" ref="C20:E20" si="8">C$8*C54</f>
        <v>835200</v>
      </c>
      <c r="D20" s="25">
        <f t="shared" si="8"/>
        <v>1740000</v>
      </c>
      <c r="E20" s="25">
        <f t="shared" si="8"/>
        <v>3132000</v>
      </c>
    </row>
    <row r="21" spans="1:5" x14ac:dyDescent="0.2">
      <c r="A21" t="s">
        <v>12</v>
      </c>
      <c r="B21" s="36">
        <f t="shared" ref="B21:E22" si="9">B$8*B55</f>
        <v>261000</v>
      </c>
      <c r="C21" s="25">
        <f t="shared" si="9"/>
        <v>417600</v>
      </c>
      <c r="D21" s="25">
        <f t="shared" si="9"/>
        <v>870000</v>
      </c>
      <c r="E21" s="25">
        <f t="shared" si="9"/>
        <v>1566000</v>
      </c>
    </row>
    <row r="22" spans="1:5" x14ac:dyDescent="0.2">
      <c r="A22" t="s">
        <v>13</v>
      </c>
      <c r="B22" s="36">
        <f t="shared" si="9"/>
        <v>130500</v>
      </c>
      <c r="C22" s="25">
        <f t="shared" si="9"/>
        <v>208800</v>
      </c>
      <c r="D22" s="25">
        <f t="shared" si="9"/>
        <v>435000</v>
      </c>
      <c r="E22" s="25">
        <f t="shared" si="9"/>
        <v>783000</v>
      </c>
    </row>
    <row r="23" spans="1:5" x14ac:dyDescent="0.2">
      <c r="A23" t="s">
        <v>14</v>
      </c>
      <c r="B23" s="37">
        <f>'CapEx and Depreciation'!C13</f>
        <v>31666.666666666668</v>
      </c>
      <c r="C23" s="26">
        <f>'CapEx and Depreciation'!D13</f>
        <v>65000</v>
      </c>
      <c r="D23" s="26">
        <f>'CapEx and Depreciation'!E13</f>
        <v>103333.33333333334</v>
      </c>
      <c r="E23" s="26">
        <f>'CapEx and Depreciation'!F13</f>
        <v>86666.666666666672</v>
      </c>
    </row>
    <row r="24" spans="1:5" x14ac:dyDescent="0.2">
      <c r="A24" s="8" t="s">
        <v>29</v>
      </c>
      <c r="B24" s="32">
        <f>SUM(B20:B23)</f>
        <v>945166.66666666663</v>
      </c>
      <c r="C24" s="12">
        <f t="shared" ref="C24:E24" si="10">SUM(C20:C23)</f>
        <v>1526600</v>
      </c>
      <c r="D24" s="12">
        <f t="shared" si="10"/>
        <v>3148333.3333333335</v>
      </c>
      <c r="E24" s="12">
        <f t="shared" si="10"/>
        <v>5567666.666666667</v>
      </c>
    </row>
    <row r="27" spans="1:5" x14ac:dyDescent="0.2">
      <c r="A27" s="8" t="s">
        <v>30</v>
      </c>
      <c r="B27" s="32">
        <f>B16-B24</f>
        <v>542533.33333333337</v>
      </c>
      <c r="C27" s="12">
        <f t="shared" ref="C27:E27" si="11">C16-C24</f>
        <v>853720</v>
      </c>
      <c r="D27" s="12">
        <f t="shared" si="11"/>
        <v>1810666.6666666665</v>
      </c>
      <c r="E27" s="12">
        <f t="shared" si="11"/>
        <v>3358533.333333333</v>
      </c>
    </row>
    <row r="29" spans="1:5" x14ac:dyDescent="0.2">
      <c r="A29" s="8" t="s">
        <v>31</v>
      </c>
      <c r="B29" s="56">
        <f>'Balance Sheet'!C45</f>
        <v>192000</v>
      </c>
      <c r="C29" s="56">
        <f>'Balance Sheet'!D45</f>
        <v>240000</v>
      </c>
      <c r="D29" s="56">
        <f>'Balance Sheet'!E45</f>
        <v>168000</v>
      </c>
      <c r="E29" s="56">
        <f>'Balance Sheet'!F45</f>
        <v>96000</v>
      </c>
    </row>
    <row r="31" spans="1:5" x14ac:dyDescent="0.2">
      <c r="A31" s="8" t="s">
        <v>32</v>
      </c>
      <c r="B31" s="32">
        <f>B27-B29</f>
        <v>350533.33333333337</v>
      </c>
      <c r="C31" s="12">
        <f t="shared" ref="C31:E31" si="12">C27-C29</f>
        <v>613720</v>
      </c>
      <c r="D31" s="12">
        <f t="shared" si="12"/>
        <v>1642666.6666666665</v>
      </c>
      <c r="E31" s="12">
        <f t="shared" si="12"/>
        <v>3262533.333333333</v>
      </c>
    </row>
    <row r="33" spans="1:6" x14ac:dyDescent="0.2">
      <c r="A33" s="8" t="s">
        <v>33</v>
      </c>
      <c r="B33" s="32">
        <f>B31*B61</f>
        <v>73612</v>
      </c>
      <c r="C33" s="12">
        <f t="shared" ref="C33:E33" si="13">C31*C61</f>
        <v>128881.2</v>
      </c>
      <c r="D33" s="12">
        <f t="shared" si="13"/>
        <v>344959.99999999994</v>
      </c>
      <c r="E33" s="12">
        <f t="shared" si="13"/>
        <v>685131.99999999988</v>
      </c>
    </row>
    <row r="35" spans="1:6" x14ac:dyDescent="0.2">
      <c r="A35" s="8" t="s">
        <v>34</v>
      </c>
      <c r="B35" s="32">
        <f>B31-B33</f>
        <v>276921.33333333337</v>
      </c>
      <c r="C35" s="12">
        <f t="shared" ref="C35:E35" si="14">C31-C33</f>
        <v>484838.8</v>
      </c>
      <c r="D35" s="12">
        <f t="shared" si="14"/>
        <v>1297706.6666666665</v>
      </c>
      <c r="E35" s="12">
        <f t="shared" si="14"/>
        <v>2577401.333333333</v>
      </c>
    </row>
    <row r="36" spans="1:6" x14ac:dyDescent="0.2">
      <c r="A36" s="8" t="s">
        <v>35</v>
      </c>
      <c r="B36" s="35">
        <f>B35/B8</f>
        <v>0.10610012771392083</v>
      </c>
      <c r="C36" s="13">
        <f t="shared" ref="C36:E36" si="15">C35/C8</f>
        <v>0.11610124521072797</v>
      </c>
      <c r="D36" s="13">
        <f t="shared" si="15"/>
        <v>0.14916168582375477</v>
      </c>
      <c r="E36" s="13">
        <f t="shared" si="15"/>
        <v>0.16458501489995742</v>
      </c>
    </row>
    <row r="38" spans="1:6" x14ac:dyDescent="0.2">
      <c r="A38" s="8" t="s">
        <v>36</v>
      </c>
      <c r="B38" s="32">
        <f>B27+B23</f>
        <v>574200</v>
      </c>
      <c r="C38" s="12">
        <f t="shared" ref="C38:E38" si="16">C27+C23</f>
        <v>918720</v>
      </c>
      <c r="D38" s="12">
        <f t="shared" si="16"/>
        <v>1913999.9999999998</v>
      </c>
      <c r="E38" s="12">
        <f t="shared" si="16"/>
        <v>3445199.9999999995</v>
      </c>
    </row>
    <row r="40" spans="1:6" x14ac:dyDescent="0.2">
      <c r="A40" s="1" t="s">
        <v>0</v>
      </c>
      <c r="B40" s="38"/>
      <c r="C40" s="1"/>
      <c r="D40" s="1"/>
      <c r="E40" s="1"/>
      <c r="F40" s="1"/>
    </row>
    <row r="42" spans="1:6" x14ac:dyDescent="0.2">
      <c r="A42" s="2" t="s">
        <v>1</v>
      </c>
    </row>
    <row r="43" spans="1:6" x14ac:dyDescent="0.2">
      <c r="A43" t="s">
        <v>2</v>
      </c>
      <c r="B43" s="39">
        <v>75000</v>
      </c>
      <c r="C43" s="3">
        <v>120000</v>
      </c>
      <c r="D43" s="3">
        <v>250000</v>
      </c>
      <c r="E43" s="3">
        <v>450000</v>
      </c>
    </row>
    <row r="44" spans="1:6" x14ac:dyDescent="0.2">
      <c r="A44" t="s">
        <v>3</v>
      </c>
      <c r="B44" s="40">
        <v>40</v>
      </c>
      <c r="C44" s="4">
        <v>40</v>
      </c>
      <c r="D44" s="4">
        <v>40</v>
      </c>
      <c r="E44" s="4">
        <v>40</v>
      </c>
    </row>
    <row r="45" spans="1:6" x14ac:dyDescent="0.2">
      <c r="A45" t="s">
        <v>4</v>
      </c>
      <c r="B45" s="41">
        <v>0.05</v>
      </c>
      <c r="C45" s="5">
        <v>0.05</v>
      </c>
      <c r="D45" s="5">
        <v>0.05</v>
      </c>
      <c r="E45" s="5">
        <v>0.05</v>
      </c>
    </row>
    <row r="46" spans="1:6" x14ac:dyDescent="0.2">
      <c r="A46" t="s">
        <v>5</v>
      </c>
      <c r="B46" s="41">
        <v>0.08</v>
      </c>
      <c r="C46" s="5">
        <v>0.08</v>
      </c>
      <c r="D46" s="5">
        <v>0.08</v>
      </c>
      <c r="E46" s="5">
        <v>0.08</v>
      </c>
    </row>
    <row r="48" spans="1:6" x14ac:dyDescent="0.2">
      <c r="A48" s="2" t="s">
        <v>6</v>
      </c>
    </row>
    <row r="49" spans="1:5" x14ac:dyDescent="0.2">
      <c r="A49" t="s">
        <v>7</v>
      </c>
      <c r="B49" s="41">
        <v>0.35</v>
      </c>
      <c r="C49" s="5">
        <v>0.35</v>
      </c>
      <c r="D49" s="5">
        <v>0.35</v>
      </c>
      <c r="E49" s="5">
        <v>0.35</v>
      </c>
    </row>
    <row r="50" spans="1:5" x14ac:dyDescent="0.2">
      <c r="A50" t="s">
        <v>8</v>
      </c>
      <c r="B50" s="41">
        <v>0.05</v>
      </c>
      <c r="C50" s="5">
        <v>0.05</v>
      </c>
      <c r="D50" s="5">
        <v>0.05</v>
      </c>
      <c r="E50" s="5">
        <v>0.05</v>
      </c>
    </row>
    <row r="51" spans="1:5" x14ac:dyDescent="0.2">
      <c r="A51" t="s">
        <v>9</v>
      </c>
      <c r="B51" s="41">
        <v>0.03</v>
      </c>
      <c r="C51" s="5">
        <v>0.03</v>
      </c>
      <c r="D51" s="5">
        <v>0.03</v>
      </c>
      <c r="E51" s="5">
        <v>0.03</v>
      </c>
    </row>
    <row r="53" spans="1:5" x14ac:dyDescent="0.2">
      <c r="A53" s="2" t="s">
        <v>10</v>
      </c>
    </row>
    <row r="54" spans="1:5" x14ac:dyDescent="0.2">
      <c r="A54" t="s">
        <v>11</v>
      </c>
      <c r="B54" s="41">
        <v>0.2</v>
      </c>
      <c r="C54" s="5">
        <v>0.2</v>
      </c>
      <c r="D54" s="5">
        <v>0.2</v>
      </c>
      <c r="E54" s="5">
        <v>0.2</v>
      </c>
    </row>
    <row r="55" spans="1:5" x14ac:dyDescent="0.2">
      <c r="A55" t="s">
        <v>12</v>
      </c>
      <c r="B55" s="41">
        <v>0.1</v>
      </c>
      <c r="C55" s="5">
        <v>0.1</v>
      </c>
      <c r="D55" s="5">
        <v>0.1</v>
      </c>
      <c r="E55" s="5">
        <v>0.1</v>
      </c>
    </row>
    <row r="56" spans="1:5" x14ac:dyDescent="0.2">
      <c r="A56" t="s">
        <v>13</v>
      </c>
      <c r="B56" s="41">
        <v>0.05</v>
      </c>
      <c r="C56" s="5">
        <v>0.05</v>
      </c>
      <c r="D56" s="5">
        <v>0.05</v>
      </c>
      <c r="E56" s="5">
        <v>0.05</v>
      </c>
    </row>
    <row r="57" spans="1:5" x14ac:dyDescent="0.2">
      <c r="A57" t="s">
        <v>14</v>
      </c>
      <c r="B57" s="28" t="s">
        <v>15</v>
      </c>
      <c r="C57" t="s">
        <v>15</v>
      </c>
      <c r="D57" t="s">
        <v>15</v>
      </c>
      <c r="E57" t="s">
        <v>15</v>
      </c>
    </row>
    <row r="59" spans="1:5" x14ac:dyDescent="0.2">
      <c r="A59" t="s">
        <v>16</v>
      </c>
      <c r="B59" s="28" t="s">
        <v>15</v>
      </c>
      <c r="C59" t="s">
        <v>15</v>
      </c>
      <c r="D59" t="s">
        <v>15</v>
      </c>
      <c r="E59" t="s">
        <v>15</v>
      </c>
    </row>
    <row r="61" spans="1:5" x14ac:dyDescent="0.2">
      <c r="A61" t="s">
        <v>17</v>
      </c>
      <c r="B61" s="41">
        <v>0.21</v>
      </c>
      <c r="C61" s="5">
        <v>0.21</v>
      </c>
      <c r="D61" s="5">
        <v>0.21</v>
      </c>
      <c r="E61" s="5">
        <v>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1FCA-F74B-FA4C-B98E-8203B210AA33}">
  <dimension ref="A1:F13"/>
  <sheetViews>
    <sheetView workbookViewId="0">
      <pane ySplit="1" topLeftCell="A2" activePane="bottomLeft" state="frozen"/>
      <selection pane="bottomLeft" activeCell="C7" sqref="C7"/>
    </sheetView>
  </sheetViews>
  <sheetFormatPr baseColWidth="10" defaultRowHeight="16" x14ac:dyDescent="0.2"/>
  <cols>
    <col min="3" max="3" width="11.83203125" bestFit="1" customWidth="1"/>
    <col min="4" max="4" width="11.5" bestFit="1" customWidth="1"/>
    <col min="5" max="5" width="12.5" bestFit="1" customWidth="1"/>
    <col min="6" max="6" width="11.5" bestFit="1" customWidth="1"/>
  </cols>
  <sheetData>
    <row r="1" spans="1:6" x14ac:dyDescent="0.2">
      <c r="A1" s="6" t="s">
        <v>37</v>
      </c>
      <c r="B1" s="14" t="s">
        <v>38</v>
      </c>
      <c r="C1" s="7" t="s">
        <v>19</v>
      </c>
      <c r="D1" s="7" t="s">
        <v>20</v>
      </c>
      <c r="E1" s="7" t="s">
        <v>21</v>
      </c>
      <c r="F1" s="7" t="s">
        <v>22</v>
      </c>
    </row>
    <row r="3" spans="1:6" x14ac:dyDescent="0.2">
      <c r="A3" s="2" t="s">
        <v>39</v>
      </c>
    </row>
    <row r="4" spans="1:6" x14ac:dyDescent="0.2">
      <c r="A4" t="s">
        <v>42</v>
      </c>
      <c r="B4" s="3">
        <v>5</v>
      </c>
      <c r="C4" s="4">
        <v>75000</v>
      </c>
      <c r="D4" s="4"/>
      <c r="E4" s="4"/>
      <c r="F4" s="4"/>
    </row>
    <row r="5" spans="1:6" x14ac:dyDescent="0.2">
      <c r="A5" t="s">
        <v>40</v>
      </c>
      <c r="B5" s="3">
        <v>3</v>
      </c>
      <c r="C5" s="4">
        <v>50000</v>
      </c>
      <c r="D5" s="4">
        <v>100000</v>
      </c>
      <c r="E5" s="4">
        <v>100000</v>
      </c>
      <c r="F5" s="4"/>
    </row>
    <row r="6" spans="1:6" x14ac:dyDescent="0.2">
      <c r="A6" t="s">
        <v>41</v>
      </c>
      <c r="B6" s="3">
        <v>6</v>
      </c>
      <c r="C6" s="15"/>
      <c r="D6" s="15"/>
      <c r="E6" s="15">
        <v>30000</v>
      </c>
      <c r="F6" s="15"/>
    </row>
    <row r="7" spans="1:6" x14ac:dyDescent="0.2">
      <c r="A7" s="8" t="s">
        <v>43</v>
      </c>
      <c r="B7" s="8"/>
      <c r="C7" s="17">
        <f>SUM(C4:C6)</f>
        <v>125000</v>
      </c>
      <c r="D7" s="17">
        <f>SUM(D4:D6)</f>
        <v>100000</v>
      </c>
      <c r="E7" s="17">
        <f>SUM(E4:E6)</f>
        <v>130000</v>
      </c>
      <c r="F7" s="8"/>
    </row>
    <row r="8" spans="1:6" x14ac:dyDescent="0.2">
      <c r="A8" s="8"/>
      <c r="B8" s="8"/>
      <c r="C8" s="8"/>
      <c r="D8" s="8"/>
      <c r="E8" s="8"/>
      <c r="F8" s="8"/>
    </row>
    <row r="9" spans="1:6" x14ac:dyDescent="0.2">
      <c r="A9" s="2" t="s">
        <v>14</v>
      </c>
      <c r="B9" s="18"/>
      <c r="C9" s="18"/>
      <c r="D9" s="18"/>
      <c r="E9" s="18"/>
      <c r="F9" s="18"/>
    </row>
    <row r="10" spans="1:6" x14ac:dyDescent="0.2">
      <c r="A10" t="s">
        <v>42</v>
      </c>
      <c r="B10" s="18"/>
      <c r="C10" s="25">
        <f>$C$4/$B$4</f>
        <v>15000</v>
      </c>
      <c r="D10" s="25">
        <f t="shared" ref="D10:F10" si="0">$C$4/$B$4</f>
        <v>15000</v>
      </c>
      <c r="E10" s="25">
        <f t="shared" si="0"/>
        <v>15000</v>
      </c>
      <c r="F10" s="25">
        <f t="shared" si="0"/>
        <v>15000</v>
      </c>
    </row>
    <row r="11" spans="1:6" x14ac:dyDescent="0.2">
      <c r="A11" t="s">
        <v>40</v>
      </c>
      <c r="B11" s="18"/>
      <c r="C11" s="25">
        <f>C5/B5</f>
        <v>16666.666666666668</v>
      </c>
      <c r="D11" s="42">
        <f>$C$5/$B$5+$D$5/$B$5</f>
        <v>50000</v>
      </c>
      <c r="E11" s="25">
        <f>$C$5/$B$5+$D$5/$B$5+$E$5/$B$5</f>
        <v>83333.333333333343</v>
      </c>
      <c r="F11" s="25">
        <f>$D$5/$B$5+$E$5/$B$5</f>
        <v>66666.666666666672</v>
      </c>
    </row>
    <row r="12" spans="1:6" x14ac:dyDescent="0.2">
      <c r="A12" t="s">
        <v>41</v>
      </c>
      <c r="B12" s="18"/>
      <c r="C12" s="26"/>
      <c r="D12" s="26"/>
      <c r="E12" s="26">
        <f>E6/B6</f>
        <v>5000</v>
      </c>
      <c r="F12" s="26">
        <f>E6/B6</f>
        <v>5000</v>
      </c>
    </row>
    <row r="13" spans="1:6" x14ac:dyDescent="0.2">
      <c r="A13" s="8" t="s">
        <v>44</v>
      </c>
      <c r="B13" s="18"/>
      <c r="C13" s="19">
        <f>SUM(C10:C12)</f>
        <v>31666.666666666668</v>
      </c>
      <c r="D13" s="19">
        <f t="shared" ref="D13:F13" si="1">SUM(D10:D12)</f>
        <v>65000</v>
      </c>
      <c r="E13" s="19">
        <f t="shared" si="1"/>
        <v>103333.33333333334</v>
      </c>
      <c r="F13" s="19">
        <f t="shared" si="1"/>
        <v>86666.666666666672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1548-F3E2-C940-B818-40649B55401A}">
  <dimension ref="A1:F45"/>
  <sheetViews>
    <sheetView workbookViewId="0">
      <pane ySplit="1" topLeftCell="A8" activePane="bottomLeft" state="frozen"/>
      <selection pane="bottomLeft" activeCell="A31" sqref="A31"/>
    </sheetView>
  </sheetViews>
  <sheetFormatPr baseColWidth="10" defaultRowHeight="16" x14ac:dyDescent="0.2"/>
  <cols>
    <col min="2" max="2" width="11.5" bestFit="1" customWidth="1"/>
    <col min="3" max="5" width="14" bestFit="1" customWidth="1"/>
    <col min="6" max="6" width="15" bestFit="1" customWidth="1"/>
  </cols>
  <sheetData>
    <row r="1" spans="1:6" x14ac:dyDescent="0.2">
      <c r="A1" s="6" t="s">
        <v>52</v>
      </c>
      <c r="B1" s="43" t="s">
        <v>53</v>
      </c>
      <c r="C1" s="7" t="s">
        <v>19</v>
      </c>
      <c r="D1" s="7" t="s">
        <v>20</v>
      </c>
      <c r="E1" s="7" t="s">
        <v>21</v>
      </c>
      <c r="F1" s="7" t="s">
        <v>22</v>
      </c>
    </row>
    <row r="2" spans="1:6" x14ac:dyDescent="0.2">
      <c r="B2" s="44" t="s">
        <v>54</v>
      </c>
    </row>
    <row r="3" spans="1:6" x14ac:dyDescent="0.2">
      <c r="A3" s="43" t="s">
        <v>55</v>
      </c>
      <c r="B3" s="43"/>
    </row>
    <row r="5" spans="1:6" x14ac:dyDescent="0.2">
      <c r="A5" t="s">
        <v>56</v>
      </c>
      <c r="B5" s="45">
        <v>4250000</v>
      </c>
      <c r="C5" s="11">
        <f>B5+'Cash Flow Statement'!B22</f>
        <v>3957988</v>
      </c>
      <c r="D5" s="11">
        <f>C5+'Cash Flow Statement'!C22</f>
        <v>5153986.8</v>
      </c>
      <c r="E5" s="11">
        <f>D5+'Cash Flow Statement'!D22</f>
        <v>6057466.7999999998</v>
      </c>
      <c r="F5" s="11">
        <f>E5+'Cash Flow Statement'!E22</f>
        <v>8761134.8000000007</v>
      </c>
    </row>
    <row r="6" spans="1:6" x14ac:dyDescent="0.2">
      <c r="A6" t="s">
        <v>57</v>
      </c>
      <c r="B6" s="46">
        <v>120000</v>
      </c>
      <c r="C6" s="11">
        <f>C37*C38</f>
        <v>130500</v>
      </c>
      <c r="D6" s="11">
        <f t="shared" ref="D6:F6" si="0">D37*D38</f>
        <v>208800</v>
      </c>
      <c r="E6" s="11">
        <f t="shared" si="0"/>
        <v>435000</v>
      </c>
      <c r="F6" s="11">
        <f t="shared" si="0"/>
        <v>783000</v>
      </c>
    </row>
    <row r="7" spans="1:6" x14ac:dyDescent="0.2">
      <c r="A7" s="6" t="s">
        <v>58</v>
      </c>
      <c r="B7" s="47">
        <f>SUM(B5:B6)</f>
        <v>4370000</v>
      </c>
      <c r="C7" s="47">
        <f t="shared" ref="C7:F7" si="1">SUM(C5:C6)</f>
        <v>4088488</v>
      </c>
      <c r="D7" s="47">
        <f t="shared" si="1"/>
        <v>5362786.8</v>
      </c>
      <c r="E7" s="47">
        <f t="shared" si="1"/>
        <v>6492466.7999999998</v>
      </c>
      <c r="F7" s="47">
        <f t="shared" si="1"/>
        <v>9544134.8000000007</v>
      </c>
    </row>
    <row r="9" spans="1:6" x14ac:dyDescent="0.2">
      <c r="A9" t="s">
        <v>59</v>
      </c>
      <c r="B9" s="45">
        <v>40000</v>
      </c>
      <c r="C9" s="16">
        <f>B9+'CapEx and Depreciation'!C7</f>
        <v>165000</v>
      </c>
      <c r="D9" s="16">
        <f>C9+'CapEx and Depreciation'!D7</f>
        <v>265000</v>
      </c>
      <c r="E9" s="16">
        <f>D9+'CapEx and Depreciation'!E7</f>
        <v>395000</v>
      </c>
      <c r="F9" s="16">
        <f>E9+'CapEx and Depreciation'!F7</f>
        <v>395000</v>
      </c>
    </row>
    <row r="10" spans="1:6" x14ac:dyDescent="0.2">
      <c r="A10" t="s">
        <v>60</v>
      </c>
      <c r="B10" s="46">
        <v>-10000</v>
      </c>
      <c r="C10" s="16">
        <f>B10-'CapEx and Depreciation'!C13</f>
        <v>-41666.666666666672</v>
      </c>
      <c r="D10" s="16">
        <f>C10-'CapEx and Depreciation'!D13</f>
        <v>-106666.66666666667</v>
      </c>
      <c r="E10" s="16">
        <f>D10-'CapEx and Depreciation'!E13</f>
        <v>-210000</v>
      </c>
      <c r="F10" s="16">
        <f>E10-'CapEx and Depreciation'!F13</f>
        <v>-296666.66666666669</v>
      </c>
    </row>
    <row r="11" spans="1:6" x14ac:dyDescent="0.2">
      <c r="A11" s="6" t="s">
        <v>61</v>
      </c>
      <c r="B11" s="47">
        <f>SUM(B9:B10)</f>
        <v>30000</v>
      </c>
      <c r="C11" s="47">
        <f t="shared" ref="C11:F11" si="2">SUM(C9:C10)</f>
        <v>123333.33333333333</v>
      </c>
      <c r="D11" s="47">
        <f t="shared" si="2"/>
        <v>158333.33333333331</v>
      </c>
      <c r="E11" s="47">
        <f t="shared" si="2"/>
        <v>185000</v>
      </c>
      <c r="F11" s="47">
        <f t="shared" si="2"/>
        <v>98333.333333333314</v>
      </c>
    </row>
    <row r="13" spans="1:6" ht="17" thickBot="1" x14ac:dyDescent="0.25">
      <c r="A13" s="6" t="s">
        <v>62</v>
      </c>
      <c r="B13" s="55">
        <f>B7+B11</f>
        <v>4400000</v>
      </c>
      <c r="C13" s="55">
        <f t="shared" ref="C13:F13" si="3">C7+C11</f>
        <v>4211821.333333333</v>
      </c>
      <c r="D13" s="55">
        <f t="shared" si="3"/>
        <v>5521120.1333333328</v>
      </c>
      <c r="E13" s="55">
        <f t="shared" si="3"/>
        <v>6677466.7999999998</v>
      </c>
      <c r="F13" s="55">
        <f t="shared" si="3"/>
        <v>9642468.1333333347</v>
      </c>
    </row>
    <row r="14" spans="1:6" ht="17" thickTop="1" x14ac:dyDescent="0.2"/>
    <row r="15" spans="1:6" x14ac:dyDescent="0.2">
      <c r="A15" s="43" t="s">
        <v>63</v>
      </c>
      <c r="B15" s="43"/>
    </row>
    <row r="17" spans="1:6" x14ac:dyDescent="0.2">
      <c r="A17" t="s">
        <v>64</v>
      </c>
      <c r="B17" s="45">
        <v>75000</v>
      </c>
      <c r="C17" s="11">
        <f>C37*C39</f>
        <v>156600</v>
      </c>
      <c r="D17" s="11">
        <f t="shared" ref="D17:F17" si="4">D37*D39</f>
        <v>250560</v>
      </c>
      <c r="E17" s="11">
        <f t="shared" si="4"/>
        <v>522000</v>
      </c>
      <c r="F17" s="11">
        <f t="shared" si="4"/>
        <v>939600</v>
      </c>
    </row>
    <row r="18" spans="1:6" x14ac:dyDescent="0.2">
      <c r="A18" t="s">
        <v>65</v>
      </c>
      <c r="B18" s="46">
        <v>25000</v>
      </c>
      <c r="C18" s="11">
        <f>C37*C40</f>
        <v>78300</v>
      </c>
      <c r="D18" s="11">
        <f t="shared" ref="D18:F18" si="5">D37*D40</f>
        <v>208800</v>
      </c>
      <c r="E18" s="11">
        <f t="shared" si="5"/>
        <v>696000</v>
      </c>
      <c r="F18" s="11">
        <f t="shared" si="5"/>
        <v>1566000</v>
      </c>
    </row>
    <row r="19" spans="1:6" x14ac:dyDescent="0.2">
      <c r="A19" s="6" t="s">
        <v>88</v>
      </c>
      <c r="B19" s="48">
        <f>SUM(B17:B18)</f>
        <v>100000</v>
      </c>
      <c r="C19" s="48">
        <f t="shared" ref="C19:F19" si="6">SUM(C17:C18)</f>
        <v>234900</v>
      </c>
      <c r="D19" s="48">
        <f t="shared" si="6"/>
        <v>459360</v>
      </c>
      <c r="E19" s="48">
        <f t="shared" si="6"/>
        <v>1218000</v>
      </c>
      <c r="F19" s="48">
        <f t="shared" si="6"/>
        <v>2505600</v>
      </c>
    </row>
    <row r="21" spans="1:6" x14ac:dyDescent="0.2">
      <c r="A21" t="s">
        <v>66</v>
      </c>
      <c r="B21" s="45">
        <v>3000000</v>
      </c>
      <c r="C21" s="16">
        <f>B21+C42-C43</f>
        <v>2400000</v>
      </c>
      <c r="D21" s="16">
        <f>C21+D42-D43</f>
        <v>3000000</v>
      </c>
      <c r="E21" s="16">
        <f t="shared" ref="E21:F21" si="7">D21+E42-E43</f>
        <v>2100000</v>
      </c>
      <c r="F21" s="16">
        <f t="shared" si="7"/>
        <v>1200000</v>
      </c>
    </row>
    <row r="23" spans="1:6" ht="17" thickBot="1" x14ac:dyDescent="0.25">
      <c r="A23" s="6" t="s">
        <v>67</v>
      </c>
      <c r="B23" s="49">
        <f>B19+B21</f>
        <v>3100000</v>
      </c>
      <c r="C23" s="49">
        <f t="shared" ref="C23:F23" si="8">C19+C21</f>
        <v>2634900</v>
      </c>
      <c r="D23" s="49">
        <f t="shared" si="8"/>
        <v>3459360</v>
      </c>
      <c r="E23" s="49">
        <f t="shared" si="8"/>
        <v>3318000</v>
      </c>
      <c r="F23" s="49">
        <f t="shared" si="8"/>
        <v>3705600</v>
      </c>
    </row>
    <row r="24" spans="1:6" ht="17" thickTop="1" x14ac:dyDescent="0.2"/>
    <row r="25" spans="1:6" x14ac:dyDescent="0.2">
      <c r="A25" s="43" t="s">
        <v>68</v>
      </c>
      <c r="B25" s="43"/>
    </row>
    <row r="27" spans="1:6" x14ac:dyDescent="0.2">
      <c r="A27" t="s">
        <v>69</v>
      </c>
      <c r="B27" s="45">
        <v>50000</v>
      </c>
      <c r="C27" s="16">
        <f>B27</f>
        <v>50000</v>
      </c>
      <c r="D27" s="16">
        <f t="shared" ref="D27:F27" si="9">C27</f>
        <v>50000</v>
      </c>
      <c r="E27" s="16">
        <f t="shared" si="9"/>
        <v>50000</v>
      </c>
      <c r="F27" s="16">
        <f t="shared" si="9"/>
        <v>50000</v>
      </c>
    </row>
    <row r="28" spans="1:6" x14ac:dyDescent="0.2">
      <c r="A28" t="s">
        <v>70</v>
      </c>
      <c r="B28" s="46">
        <v>1250000</v>
      </c>
      <c r="C28" s="11">
        <f>'Balance Sheet'!B28+'Income Statement'!B35</f>
        <v>1526921.3333333335</v>
      </c>
      <c r="D28" s="11">
        <f>'Balance Sheet'!C28+'Income Statement'!C35</f>
        <v>2011760.1333333335</v>
      </c>
      <c r="E28" s="11">
        <f>'Balance Sheet'!D28+'Income Statement'!D35</f>
        <v>3309466.8</v>
      </c>
      <c r="F28" s="11">
        <f>'Balance Sheet'!E28+'Income Statement'!E35</f>
        <v>5886868.1333333328</v>
      </c>
    </row>
    <row r="29" spans="1:6" x14ac:dyDescent="0.2">
      <c r="A29" t="s">
        <v>71</v>
      </c>
      <c r="B29" s="50">
        <f>SUM(B27:B28)</f>
        <v>1300000</v>
      </c>
      <c r="C29" s="50">
        <f t="shared" ref="C29:F29" si="10">SUM(C27:C28)</f>
        <v>1576921.3333333335</v>
      </c>
      <c r="D29" s="50">
        <f t="shared" si="10"/>
        <v>2061760.1333333335</v>
      </c>
      <c r="E29" s="50">
        <f t="shared" si="10"/>
        <v>3359466.8</v>
      </c>
      <c r="F29" s="50">
        <f t="shared" si="10"/>
        <v>5936868.1333333328</v>
      </c>
    </row>
    <row r="31" spans="1:6" ht="17" thickBot="1" x14ac:dyDescent="0.25">
      <c r="A31" s="6" t="s">
        <v>72</v>
      </c>
      <c r="B31" s="49">
        <f>B23+B29</f>
        <v>4400000</v>
      </c>
      <c r="C31" s="49">
        <f t="shared" ref="C31:F31" si="11">C23+C29</f>
        <v>4211821.333333334</v>
      </c>
      <c r="D31" s="49">
        <f t="shared" si="11"/>
        <v>5521120.1333333338</v>
      </c>
      <c r="E31" s="49">
        <f t="shared" si="11"/>
        <v>6677466.7999999998</v>
      </c>
      <c r="F31" s="49">
        <f t="shared" si="11"/>
        <v>9642468.1333333328</v>
      </c>
    </row>
    <row r="32" spans="1:6" ht="17" thickTop="1" x14ac:dyDescent="0.2"/>
    <row r="33" spans="1:6" x14ac:dyDescent="0.2">
      <c r="A33" t="s">
        <v>73</v>
      </c>
      <c r="B33" s="51">
        <f>B13-B31</f>
        <v>0</v>
      </c>
      <c r="C33" s="48">
        <f>C13-C31</f>
        <v>0</v>
      </c>
      <c r="D33" s="48">
        <f t="shared" ref="D33:F33" si="12">D13-D31</f>
        <v>0</v>
      </c>
      <c r="E33" s="48">
        <f t="shared" si="12"/>
        <v>0</v>
      </c>
      <c r="F33" s="48">
        <f t="shared" si="12"/>
        <v>0</v>
      </c>
    </row>
    <row r="34" spans="1:6" s="52" customFormat="1" x14ac:dyDescent="0.2"/>
    <row r="35" spans="1:6" s="53" customFormat="1" x14ac:dyDescent="0.2">
      <c r="A35" s="53" t="s">
        <v>0</v>
      </c>
    </row>
    <row r="37" spans="1:6" s="8" customFormat="1" x14ac:dyDescent="0.2">
      <c r="A37" s="8" t="s">
        <v>45</v>
      </c>
      <c r="C37" s="12">
        <f>'Income Statement'!B8</f>
        <v>2610000</v>
      </c>
      <c r="D37" s="12">
        <f>'Income Statement'!C8</f>
        <v>4176000</v>
      </c>
      <c r="E37" s="12">
        <f>'Income Statement'!D8</f>
        <v>8700000</v>
      </c>
      <c r="F37" s="12">
        <f>'Income Statement'!E8</f>
        <v>15660000</v>
      </c>
    </row>
    <row r="38" spans="1:6" x14ac:dyDescent="0.2">
      <c r="A38" t="s">
        <v>46</v>
      </c>
      <c r="C38" s="54">
        <v>0.05</v>
      </c>
      <c r="D38" s="54">
        <v>0.05</v>
      </c>
      <c r="E38" s="54">
        <v>0.05</v>
      </c>
      <c r="F38" s="54">
        <v>0.05</v>
      </c>
    </row>
    <row r="39" spans="1:6" x14ac:dyDescent="0.2">
      <c r="A39" t="s">
        <v>47</v>
      </c>
      <c r="C39" s="54">
        <v>0.06</v>
      </c>
      <c r="D39" s="54">
        <v>0.06</v>
      </c>
      <c r="E39" s="54">
        <v>0.06</v>
      </c>
      <c r="F39" s="54">
        <v>0.06</v>
      </c>
    </row>
    <row r="40" spans="1:6" x14ac:dyDescent="0.2">
      <c r="A40" t="s">
        <v>48</v>
      </c>
      <c r="C40" s="54">
        <v>0.03</v>
      </c>
      <c r="D40" s="54">
        <v>0.05</v>
      </c>
      <c r="E40" s="54">
        <v>0.08</v>
      </c>
      <c r="F40" s="54">
        <v>0.1</v>
      </c>
    </row>
    <row r="42" spans="1:6" x14ac:dyDescent="0.2">
      <c r="A42" t="s">
        <v>49</v>
      </c>
      <c r="D42" s="4">
        <v>1500000</v>
      </c>
    </row>
    <row r="43" spans="1:6" x14ac:dyDescent="0.2">
      <c r="A43" t="s">
        <v>50</v>
      </c>
      <c r="C43" s="4">
        <v>600000</v>
      </c>
      <c r="D43" s="4">
        <v>900000</v>
      </c>
      <c r="E43" s="4">
        <v>900000</v>
      </c>
      <c r="F43" s="4">
        <v>900000</v>
      </c>
    </row>
    <row r="44" spans="1:6" x14ac:dyDescent="0.2">
      <c r="A44" t="s">
        <v>51</v>
      </c>
      <c r="C44" s="54">
        <v>0.08</v>
      </c>
      <c r="D44" s="54">
        <v>0.08</v>
      </c>
      <c r="E44" s="54">
        <v>0.08</v>
      </c>
      <c r="F44" s="54">
        <v>0.08</v>
      </c>
    </row>
    <row r="45" spans="1:6" x14ac:dyDescent="0.2">
      <c r="A45" t="s">
        <v>31</v>
      </c>
      <c r="C45" s="57">
        <f>C21*C44</f>
        <v>192000</v>
      </c>
      <c r="D45" s="57">
        <f t="shared" ref="D45:F45" si="13">D21*D44</f>
        <v>240000</v>
      </c>
      <c r="E45" s="57">
        <f t="shared" si="13"/>
        <v>168000</v>
      </c>
      <c r="F45" s="57">
        <f t="shared" si="13"/>
        <v>96000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5CBE-842D-4F45-A55C-FFC8ECB7DCBE}">
  <dimension ref="A1:E22"/>
  <sheetViews>
    <sheetView workbookViewId="0">
      <pane xSplit="1" topLeftCell="B1" activePane="topRight" state="frozen"/>
      <selection pane="topRight" activeCell="A15" sqref="A15:XFD15"/>
    </sheetView>
  </sheetViews>
  <sheetFormatPr baseColWidth="10" defaultRowHeight="16" x14ac:dyDescent="0.2"/>
  <cols>
    <col min="2" max="2" width="13.1640625" bestFit="1" customWidth="1"/>
    <col min="3" max="5" width="14" bestFit="1" customWidth="1"/>
  </cols>
  <sheetData>
    <row r="1" spans="1:5" x14ac:dyDescent="0.2">
      <c r="A1" s="6" t="s">
        <v>74</v>
      </c>
      <c r="B1" s="7" t="s">
        <v>19</v>
      </c>
      <c r="C1" s="7" t="s">
        <v>20</v>
      </c>
      <c r="D1" s="7" t="s">
        <v>21</v>
      </c>
      <c r="E1" s="7" t="s">
        <v>22</v>
      </c>
    </row>
    <row r="3" spans="1:5" x14ac:dyDescent="0.2">
      <c r="A3" t="s">
        <v>34</v>
      </c>
      <c r="B3" s="58">
        <f>'Income Statement'!B35</f>
        <v>276921.33333333337</v>
      </c>
      <c r="C3" s="58">
        <f>'Income Statement'!C35</f>
        <v>484838.8</v>
      </c>
      <c r="D3" s="58">
        <f>'Income Statement'!D35</f>
        <v>1297706.6666666665</v>
      </c>
      <c r="E3" s="58">
        <f>'Income Statement'!E35</f>
        <v>2577401.333333333</v>
      </c>
    </row>
    <row r="5" spans="1:5" x14ac:dyDescent="0.2">
      <c r="A5" s="2" t="s">
        <v>75</v>
      </c>
    </row>
    <row r="6" spans="1:5" x14ac:dyDescent="0.2">
      <c r="A6" t="s">
        <v>14</v>
      </c>
      <c r="B6" s="10">
        <f>'CapEx and Depreciation'!C13</f>
        <v>31666.666666666668</v>
      </c>
      <c r="C6" s="10">
        <f>'CapEx and Depreciation'!D13</f>
        <v>65000</v>
      </c>
      <c r="D6" s="10">
        <f>'CapEx and Depreciation'!E13</f>
        <v>103333.33333333334</v>
      </c>
      <c r="E6" s="10">
        <f>'CapEx and Depreciation'!F13</f>
        <v>86666.666666666672</v>
      </c>
    </row>
    <row r="7" spans="1:5" x14ac:dyDescent="0.2">
      <c r="A7" t="s">
        <v>76</v>
      </c>
      <c r="B7" s="11">
        <f>'Balance Sheet'!B6-'Balance Sheet'!C6</f>
        <v>-10500</v>
      </c>
      <c r="C7" s="11">
        <f>'Balance Sheet'!C6-'Balance Sheet'!D6</f>
        <v>-78300</v>
      </c>
      <c r="D7" s="11">
        <f>'Balance Sheet'!D6-'Balance Sheet'!E6</f>
        <v>-226200</v>
      </c>
      <c r="E7" s="11">
        <f>'Balance Sheet'!E6-'Balance Sheet'!F6</f>
        <v>-348000</v>
      </c>
    </row>
    <row r="8" spans="1:5" x14ac:dyDescent="0.2">
      <c r="A8" t="s">
        <v>77</v>
      </c>
      <c r="B8" s="11">
        <f>'Balance Sheet'!C17-'Balance Sheet'!B17</f>
        <v>81600</v>
      </c>
      <c r="C8" s="11">
        <f>'Balance Sheet'!D17-'Balance Sheet'!C17</f>
        <v>93960</v>
      </c>
      <c r="D8" s="11">
        <f>'Balance Sheet'!E17-'Balance Sheet'!D17</f>
        <v>271440</v>
      </c>
      <c r="E8" s="11">
        <f>'Balance Sheet'!F17-'Balance Sheet'!E17</f>
        <v>417600</v>
      </c>
    </row>
    <row r="9" spans="1:5" x14ac:dyDescent="0.2">
      <c r="A9" t="s">
        <v>78</v>
      </c>
      <c r="B9" s="11">
        <f>'Balance Sheet'!C18-'Balance Sheet'!B18</f>
        <v>53300</v>
      </c>
      <c r="C9" s="11">
        <f>'Balance Sheet'!D18-'Balance Sheet'!C18</f>
        <v>130500</v>
      </c>
      <c r="D9" s="11">
        <f>'Balance Sheet'!E18-'Balance Sheet'!D18</f>
        <v>487200</v>
      </c>
      <c r="E9" s="11">
        <f>'Balance Sheet'!F18-'Balance Sheet'!E18</f>
        <v>870000</v>
      </c>
    </row>
    <row r="10" spans="1:5" x14ac:dyDescent="0.2">
      <c r="A10" s="8" t="s">
        <v>79</v>
      </c>
      <c r="B10" s="59">
        <f>B3+SUM(B6:B9)</f>
        <v>432988.00000000006</v>
      </c>
      <c r="C10" s="59">
        <f t="shared" ref="C10:E10" si="0">C3+SUM(C6:C9)</f>
        <v>695998.8</v>
      </c>
      <c r="D10" s="59">
        <f t="shared" si="0"/>
        <v>1933480</v>
      </c>
      <c r="E10" s="59">
        <f t="shared" si="0"/>
        <v>3603668</v>
      </c>
    </row>
    <row r="12" spans="1:5" x14ac:dyDescent="0.2">
      <c r="A12" s="2" t="s">
        <v>80</v>
      </c>
    </row>
    <row r="13" spans="1:5" x14ac:dyDescent="0.2">
      <c r="A13" t="s">
        <v>39</v>
      </c>
      <c r="B13" s="10">
        <f>'CapEx and Depreciation'!C7</f>
        <v>125000</v>
      </c>
      <c r="C13" s="10">
        <f>'CapEx and Depreciation'!D7</f>
        <v>100000</v>
      </c>
      <c r="D13" s="10">
        <f>'CapEx and Depreciation'!E7</f>
        <v>130000</v>
      </c>
      <c r="E13" s="10">
        <f>'CapEx and Depreciation'!F7</f>
        <v>0</v>
      </c>
    </row>
    <row r="15" spans="1:5" s="8" customFormat="1" x14ac:dyDescent="0.2">
      <c r="A15" s="8" t="s">
        <v>81</v>
      </c>
      <c r="B15" s="12">
        <f>B10-B13</f>
        <v>307988.00000000006</v>
      </c>
      <c r="C15" s="12">
        <f t="shared" ref="C15:E15" si="1">C10-C13</f>
        <v>595998.80000000005</v>
      </c>
      <c r="D15" s="12">
        <f t="shared" si="1"/>
        <v>1803480</v>
      </c>
      <c r="E15" s="12">
        <f t="shared" si="1"/>
        <v>3603668</v>
      </c>
    </row>
    <row r="17" spans="1:5" x14ac:dyDescent="0.2">
      <c r="A17" s="2" t="s">
        <v>82</v>
      </c>
    </row>
    <row r="18" spans="1:5" x14ac:dyDescent="0.2">
      <c r="A18" t="s">
        <v>83</v>
      </c>
      <c r="B18" s="10">
        <f>-'Balance Sheet'!C43</f>
        <v>-600000</v>
      </c>
      <c r="C18" s="10">
        <f>-'Balance Sheet'!D43</f>
        <v>-900000</v>
      </c>
      <c r="D18" s="10">
        <f>-'Balance Sheet'!E43</f>
        <v>-900000</v>
      </c>
      <c r="E18" s="10">
        <f>-'Balance Sheet'!F43</f>
        <v>-900000</v>
      </c>
    </row>
    <row r="19" spans="1:5" x14ac:dyDescent="0.2">
      <c r="A19" t="s">
        <v>84</v>
      </c>
      <c r="B19" s="10">
        <f>'Balance Sheet'!C42</f>
        <v>0</v>
      </c>
      <c r="C19" s="10">
        <f>'Balance Sheet'!D42</f>
        <v>1500000</v>
      </c>
      <c r="D19" s="10">
        <f>'Balance Sheet'!E42</f>
        <v>0</v>
      </c>
      <c r="E19" s="10">
        <f>'Balance Sheet'!F42</f>
        <v>0</v>
      </c>
    </row>
    <row r="20" spans="1:5" s="8" customFormat="1" x14ac:dyDescent="0.2">
      <c r="A20" s="8" t="s">
        <v>85</v>
      </c>
      <c r="B20" s="59">
        <f>SUM(B18:B19)</f>
        <v>-600000</v>
      </c>
      <c r="C20" s="59">
        <f t="shared" ref="C20:E20" si="2">SUM(C18:C19)</f>
        <v>600000</v>
      </c>
      <c r="D20" s="59">
        <f t="shared" si="2"/>
        <v>-900000</v>
      </c>
      <c r="E20" s="59">
        <f t="shared" si="2"/>
        <v>-900000</v>
      </c>
    </row>
    <row r="22" spans="1:5" x14ac:dyDescent="0.2">
      <c r="A22" s="6" t="s">
        <v>86</v>
      </c>
      <c r="B22" s="12">
        <f>B15+B20</f>
        <v>-292011.99999999994</v>
      </c>
      <c r="C22" s="12">
        <f t="shared" ref="C22:E22" si="3">C15+C20</f>
        <v>1195998.8</v>
      </c>
      <c r="D22" s="12">
        <f t="shared" si="3"/>
        <v>903480</v>
      </c>
      <c r="E22" s="12">
        <f t="shared" si="3"/>
        <v>2703668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0877D-6BAE-3E4C-93E4-939E8295F55E}">
  <dimension ref="A1:P35"/>
  <sheetViews>
    <sheetView workbookViewId="0">
      <pane ySplit="1" topLeftCell="A2" activePane="bottomLeft" state="frozen"/>
      <selection pane="bottomLeft" activeCell="J20" sqref="J20"/>
    </sheetView>
  </sheetViews>
  <sheetFormatPr baseColWidth="10" defaultRowHeight="16" x14ac:dyDescent="0.2"/>
  <cols>
    <col min="2" max="2" width="15" bestFit="1" customWidth="1"/>
    <col min="3" max="5" width="14.6640625" bestFit="1" customWidth="1"/>
  </cols>
  <sheetData>
    <row r="1" spans="1:16" x14ac:dyDescent="0.2">
      <c r="A1" s="6" t="s">
        <v>87</v>
      </c>
      <c r="B1" s="7" t="s">
        <v>19</v>
      </c>
      <c r="C1" s="7" t="s">
        <v>20</v>
      </c>
      <c r="D1" s="7" t="s">
        <v>21</v>
      </c>
      <c r="E1" s="7" t="s">
        <v>22</v>
      </c>
      <c r="F1" s="7"/>
      <c r="G1" s="7"/>
      <c r="I1" s="72"/>
      <c r="J1" s="72"/>
      <c r="K1" s="72"/>
      <c r="L1" s="72"/>
      <c r="M1" s="72"/>
      <c r="N1" s="72"/>
      <c r="O1" s="72"/>
      <c r="P1" s="72"/>
    </row>
    <row r="2" spans="1:16" x14ac:dyDescent="0.2">
      <c r="A2" s="60" t="s">
        <v>36</v>
      </c>
      <c r="B2" s="61">
        <v>574200</v>
      </c>
      <c r="C2" s="62">
        <v>918720</v>
      </c>
      <c r="D2" s="62">
        <v>1914000</v>
      </c>
      <c r="E2" s="62">
        <v>3445200</v>
      </c>
      <c r="G2" s="73" t="s">
        <v>134</v>
      </c>
      <c r="H2" s="74"/>
      <c r="I2" s="74"/>
      <c r="J2" s="74"/>
      <c r="K2" s="74"/>
      <c r="L2" s="74"/>
      <c r="M2" s="75"/>
    </row>
    <row r="3" spans="1:16" s="6" customFormat="1" x14ac:dyDescent="0.2">
      <c r="A3" s="6" t="s">
        <v>116</v>
      </c>
      <c r="B3" s="6">
        <v>1</v>
      </c>
      <c r="C3" s="6">
        <v>2</v>
      </c>
      <c r="D3" s="6">
        <v>3</v>
      </c>
      <c r="E3" s="6">
        <v>4</v>
      </c>
      <c r="G3" s="88"/>
      <c r="H3" s="76"/>
      <c r="I3" s="76"/>
      <c r="J3" s="76"/>
      <c r="K3" s="76"/>
      <c r="L3" s="76"/>
      <c r="M3" s="76"/>
      <c r="N3" s="76"/>
    </row>
    <row r="4" spans="1:16" x14ac:dyDescent="0.2">
      <c r="A4" s="8" t="s">
        <v>81</v>
      </c>
      <c r="B4" s="12">
        <f>'Cash Flow Statement'!B15</f>
        <v>307988.00000000006</v>
      </c>
      <c r="C4" s="12">
        <f>'Cash Flow Statement'!C15</f>
        <v>595998.80000000005</v>
      </c>
      <c r="D4" s="12">
        <f>'Cash Flow Statement'!D15</f>
        <v>1803480</v>
      </c>
      <c r="E4" s="12">
        <f>'Cash Flow Statement'!E15</f>
        <v>3603668</v>
      </c>
      <c r="H4" s="64" t="s">
        <v>90</v>
      </c>
      <c r="I4" s="64"/>
      <c r="K4" s="64" t="s">
        <v>91</v>
      </c>
      <c r="L4" s="64"/>
    </row>
    <row r="5" spans="1:16" x14ac:dyDescent="0.2">
      <c r="H5" s="65" t="s">
        <v>92</v>
      </c>
      <c r="I5" s="66">
        <v>1.7000000000000001E-2</v>
      </c>
      <c r="K5" s="65" t="s">
        <v>93</v>
      </c>
      <c r="L5" s="67">
        <v>1.3</v>
      </c>
    </row>
    <row r="6" spans="1:16" x14ac:dyDescent="0.2">
      <c r="A6" s="77" t="s">
        <v>100</v>
      </c>
      <c r="B6" s="78"/>
      <c r="H6" s="65" t="s">
        <v>94</v>
      </c>
      <c r="I6" s="68">
        <v>7</v>
      </c>
      <c r="K6" s="65" t="s">
        <v>95</v>
      </c>
      <c r="L6" s="69">
        <v>0.08</v>
      </c>
    </row>
    <row r="7" spans="1:16" x14ac:dyDescent="0.2">
      <c r="A7" s="79" t="s">
        <v>101</v>
      </c>
      <c r="B7" s="80">
        <f>I9+L5*(L6-I9)</f>
        <v>9.8000000000000004E-2</v>
      </c>
      <c r="H7" s="65" t="s">
        <v>96</v>
      </c>
      <c r="I7" s="69">
        <v>0.05</v>
      </c>
      <c r="K7" s="70" t="s">
        <v>97</v>
      </c>
      <c r="L7" s="71">
        <f>'Balance Sheet'!F29</f>
        <v>5936868.1333333328</v>
      </c>
    </row>
    <row r="8" spans="1:16" x14ac:dyDescent="0.2">
      <c r="A8" s="79" t="s">
        <v>102</v>
      </c>
      <c r="B8" s="80">
        <f>L8/(L7+L8)</f>
        <v>0.16814097971003567</v>
      </c>
      <c r="H8" s="65" t="s">
        <v>17</v>
      </c>
      <c r="I8" s="69">
        <v>0.21</v>
      </c>
      <c r="K8" s="70" t="s">
        <v>98</v>
      </c>
      <c r="L8" s="71">
        <f>'Balance Sheet'!F21</f>
        <v>1200000</v>
      </c>
    </row>
    <row r="9" spans="1:16" s="63" customFormat="1" x14ac:dyDescent="0.2">
      <c r="A9" s="79" t="s">
        <v>103</v>
      </c>
      <c r="B9" s="80">
        <f>L7/(L8+L7)</f>
        <v>0.83185902028996439</v>
      </c>
      <c r="C9"/>
      <c r="D9"/>
      <c r="E9"/>
      <c r="F9" s="8"/>
      <c r="G9"/>
      <c r="H9" s="65" t="s">
        <v>99</v>
      </c>
      <c r="I9" s="66">
        <v>0.02</v>
      </c>
      <c r="J9"/>
      <c r="K9" s="65"/>
      <c r="L9" s="65"/>
      <c r="M9"/>
      <c r="N9"/>
      <c r="O9"/>
    </row>
    <row r="10" spans="1:16" x14ac:dyDescent="0.2">
      <c r="A10" s="81" t="s">
        <v>100</v>
      </c>
      <c r="B10" s="82">
        <f>B9*B7+B8*I7*(1-I8)</f>
        <v>8.8163752686962915E-2</v>
      </c>
      <c r="K10" s="66"/>
    </row>
    <row r="12" spans="1:16" s="8" customFormat="1" x14ac:dyDescent="0.2">
      <c r="A12" s="77" t="s">
        <v>89</v>
      </c>
      <c r="B12" s="78"/>
      <c r="C12" s="78"/>
      <c r="D12" s="78"/>
      <c r="E12" s="78"/>
      <c r="F12"/>
      <c r="G12"/>
      <c r="H12"/>
    </row>
    <row r="13" spans="1:16" x14ac:dyDescent="0.2">
      <c r="A13" s="79" t="s">
        <v>36</v>
      </c>
      <c r="B13" s="78">
        <f>B2</f>
        <v>574200</v>
      </c>
      <c r="C13" s="78">
        <f t="shared" ref="C13:D13" si="0">C2</f>
        <v>918720</v>
      </c>
      <c r="D13" s="78">
        <f t="shared" si="0"/>
        <v>1914000</v>
      </c>
      <c r="E13" s="78">
        <f>E2</f>
        <v>3445200</v>
      </c>
    </row>
    <row r="14" spans="1:16" x14ac:dyDescent="0.2">
      <c r="A14" s="79" t="s">
        <v>104</v>
      </c>
      <c r="B14" s="78"/>
      <c r="C14" s="78">
        <f>E2*I6</f>
        <v>24116400</v>
      </c>
      <c r="D14" s="78"/>
      <c r="E14" s="78"/>
    </row>
    <row r="15" spans="1:16" x14ac:dyDescent="0.2">
      <c r="A15" s="72"/>
      <c r="B15" s="78"/>
      <c r="C15" s="78"/>
      <c r="D15" s="78"/>
      <c r="E15" s="78"/>
    </row>
    <row r="16" spans="1:16" x14ac:dyDescent="0.2">
      <c r="A16" s="84" t="s">
        <v>105</v>
      </c>
      <c r="B16" s="78"/>
      <c r="C16" s="78"/>
      <c r="D16" s="78"/>
      <c r="E16" s="78"/>
    </row>
    <row r="17" spans="1:8" x14ac:dyDescent="0.2">
      <c r="A17" s="79" t="s">
        <v>106</v>
      </c>
      <c r="B17" s="85">
        <f>1/(1+$B$10)^B3</f>
        <v>0.91897933333171278</v>
      </c>
      <c r="C17" s="85">
        <f>1/(1+$B$10)^C3</f>
        <v>0.84452301509079919</v>
      </c>
      <c r="D17" s="85">
        <f>1/(1+$B$10)^D3</f>
        <v>0.77609919739143063</v>
      </c>
      <c r="E17" s="85">
        <f>1/(1+$B$10)^E3</f>
        <v>0.71321912301805435</v>
      </c>
      <c r="F17" s="78"/>
      <c r="G17" s="78"/>
    </row>
    <row r="18" spans="1:8" x14ac:dyDescent="0.2">
      <c r="A18" s="79" t="s">
        <v>107</v>
      </c>
      <c r="B18" s="11">
        <f>B17*B4</f>
        <v>283034.60691416758</v>
      </c>
      <c r="C18" s="11">
        <f>C17*C4</f>
        <v>503334.70356649824</v>
      </c>
      <c r="D18" s="11">
        <f>D17*D4</f>
        <v>1399679.3805114974</v>
      </c>
      <c r="E18" s="11">
        <f>E17*E4</f>
        <v>2570204.930608226</v>
      </c>
      <c r="F18" s="78"/>
      <c r="G18" s="78"/>
    </row>
    <row r="19" spans="1:8" x14ac:dyDescent="0.2">
      <c r="A19" s="79" t="s">
        <v>108</v>
      </c>
      <c r="B19" s="78"/>
      <c r="C19" s="78"/>
      <c r="D19" s="78"/>
      <c r="E19" s="78">
        <f>E17*C14</f>
        <v>17200277.658352606</v>
      </c>
      <c r="F19" s="89"/>
      <c r="G19" s="89"/>
    </row>
    <row r="20" spans="1:8" x14ac:dyDescent="0.2">
      <c r="A20" s="81" t="s">
        <v>109</v>
      </c>
      <c r="B20" s="83">
        <f>SUM(B18:E19)</f>
        <v>21956531.279952995</v>
      </c>
      <c r="C20" s="78"/>
      <c r="D20" s="78"/>
      <c r="E20" s="78"/>
      <c r="F20" s="78"/>
      <c r="G20" s="78"/>
      <c r="H20" s="76"/>
    </row>
    <row r="21" spans="1:8" x14ac:dyDescent="0.2">
      <c r="A21" s="72"/>
      <c r="B21" s="72"/>
      <c r="C21" s="78"/>
      <c r="D21" s="78"/>
      <c r="E21" s="78"/>
      <c r="F21" s="78"/>
      <c r="G21" s="78"/>
    </row>
    <row r="22" spans="1:8" x14ac:dyDescent="0.2">
      <c r="A22" s="77" t="s">
        <v>110</v>
      </c>
      <c r="B22" s="78"/>
      <c r="C22" s="78"/>
      <c r="D22" s="78"/>
      <c r="E22" s="78"/>
      <c r="F22" s="85"/>
      <c r="G22" s="85"/>
    </row>
    <row r="23" spans="1:8" x14ac:dyDescent="0.2">
      <c r="A23" s="79" t="s">
        <v>111</v>
      </c>
      <c r="B23" s="86">
        <f>8761134.8</f>
        <v>8761134.8000000007</v>
      </c>
      <c r="C23" s="78"/>
      <c r="D23" s="78"/>
      <c r="E23" s="78"/>
      <c r="F23" s="78"/>
      <c r="G23" s="78"/>
    </row>
    <row r="24" spans="1:8" x14ac:dyDescent="0.2">
      <c r="A24" s="79" t="s">
        <v>112</v>
      </c>
      <c r="B24" s="86">
        <v>4500</v>
      </c>
      <c r="C24" s="78"/>
      <c r="D24" s="78"/>
      <c r="E24" s="78"/>
      <c r="F24" s="78"/>
      <c r="G24" s="78"/>
    </row>
    <row r="25" spans="1:8" x14ac:dyDescent="0.2">
      <c r="A25" s="79" t="s">
        <v>117</v>
      </c>
      <c r="B25" s="71">
        <v>1200000</v>
      </c>
      <c r="C25" s="78"/>
      <c r="D25" s="78"/>
      <c r="E25" s="78"/>
      <c r="F25" s="78"/>
      <c r="G25" s="78"/>
    </row>
    <row r="26" spans="1:8" x14ac:dyDescent="0.2">
      <c r="A26" s="79"/>
      <c r="B26" s="86"/>
      <c r="C26" s="78"/>
      <c r="D26" s="78"/>
      <c r="E26" s="78"/>
      <c r="F26" s="78"/>
      <c r="G26" s="78"/>
    </row>
    <row r="27" spans="1:8" x14ac:dyDescent="0.2">
      <c r="A27" s="81" t="s">
        <v>113</v>
      </c>
      <c r="B27" s="87">
        <f>B20+B23+B24-B25</f>
        <v>29522166.079952996</v>
      </c>
      <c r="C27" s="78"/>
      <c r="D27" s="78"/>
      <c r="E27" s="78"/>
      <c r="F27" s="78"/>
      <c r="G27" s="78"/>
    </row>
    <row r="28" spans="1:8" x14ac:dyDescent="0.2">
      <c r="A28" s="72"/>
      <c r="B28" s="78"/>
      <c r="C28" s="78"/>
      <c r="D28" s="78"/>
      <c r="E28" s="78"/>
      <c r="F28" s="78"/>
      <c r="G28" s="78"/>
    </row>
    <row r="29" spans="1:8" x14ac:dyDescent="0.2">
      <c r="A29" s="79" t="s">
        <v>114</v>
      </c>
      <c r="B29" s="86">
        <v>1000000</v>
      </c>
      <c r="C29" s="78"/>
      <c r="D29" s="78"/>
      <c r="E29" s="78"/>
      <c r="F29" s="78"/>
      <c r="G29" s="78"/>
    </row>
    <row r="30" spans="1:8" x14ac:dyDescent="0.2">
      <c r="A30" s="81" t="s">
        <v>115</v>
      </c>
      <c r="B30" s="87">
        <f>B27/B29</f>
        <v>29.522166079952996</v>
      </c>
      <c r="C30" s="78"/>
      <c r="D30" s="78"/>
      <c r="E30" s="78"/>
      <c r="F30" s="78"/>
      <c r="G30" s="78"/>
    </row>
    <row r="31" spans="1:8" x14ac:dyDescent="0.2">
      <c r="F31" s="78"/>
      <c r="G31" s="78"/>
    </row>
    <row r="32" spans="1:8" x14ac:dyDescent="0.2">
      <c r="F32" s="78"/>
      <c r="G32" s="78"/>
    </row>
    <row r="33" spans="6:7" x14ac:dyDescent="0.2">
      <c r="F33" s="78"/>
      <c r="G33" s="78"/>
    </row>
    <row r="34" spans="6:7" x14ac:dyDescent="0.2">
      <c r="F34" s="78"/>
      <c r="G34" s="78"/>
    </row>
    <row r="35" spans="6:7" x14ac:dyDescent="0.2">
      <c r="F35" s="78"/>
      <c r="G35" s="78"/>
    </row>
  </sheetData>
  <mergeCells count="1">
    <mergeCell ref="G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E967A-AAF8-DD4B-997C-7043DA54B117}">
  <dimension ref="A1:K8"/>
  <sheetViews>
    <sheetView zoomScale="125" workbookViewId="0">
      <selection activeCell="G6" sqref="G6"/>
    </sheetView>
  </sheetViews>
  <sheetFormatPr baseColWidth="10" defaultRowHeight="16" x14ac:dyDescent="0.2"/>
  <cols>
    <col min="1" max="16384" width="10.83203125" style="90"/>
  </cols>
  <sheetData>
    <row r="1" spans="1:11" x14ac:dyDescent="0.2">
      <c r="A1" s="8" t="s">
        <v>133</v>
      </c>
    </row>
    <row r="2" spans="1:11" ht="17" thickBot="1" x14ac:dyDescent="0.25"/>
    <row r="3" spans="1:11" ht="17" thickBot="1" x14ac:dyDescent="0.25">
      <c r="A3" s="92" t="s">
        <v>118</v>
      </c>
      <c r="B3" s="93"/>
      <c r="C3" s="94"/>
      <c r="F3" s="91"/>
      <c r="G3" s="92" t="s">
        <v>128</v>
      </c>
      <c r="H3" s="93"/>
      <c r="I3" s="93"/>
      <c r="J3" s="111"/>
      <c r="K3" s="112"/>
    </row>
    <row r="4" spans="1:11" x14ac:dyDescent="0.2">
      <c r="A4" s="8" t="s">
        <v>127</v>
      </c>
      <c r="B4" s="95" t="s">
        <v>119</v>
      </c>
      <c r="C4" s="96">
        <f>'DCF MODEL'!B30</f>
        <v>29.522166079952996</v>
      </c>
      <c r="F4" s="91"/>
      <c r="G4" s="102" t="s">
        <v>136</v>
      </c>
      <c r="H4" s="91" t="s">
        <v>129</v>
      </c>
      <c r="I4" s="103">
        <f>(C4*_xlfn.NORM.DIST(d2_,0,1,TRUE))-(C5*(EXP(-C7*C6)*_xlfn.NORM.DIST(I8,0,1,TRUE)))</f>
        <v>9.093152462093375</v>
      </c>
      <c r="J4" s="102" t="s">
        <v>137</v>
      </c>
      <c r="K4" s="113">
        <f>100 *I4</f>
        <v>909.31524620933749</v>
      </c>
    </row>
    <row r="5" spans="1:11" x14ac:dyDescent="0.2">
      <c r="A5" s="100" t="s">
        <v>120</v>
      </c>
      <c r="B5" s="95" t="s">
        <v>121</v>
      </c>
      <c r="C5" s="96">
        <v>25</v>
      </c>
      <c r="F5" s="91"/>
      <c r="G5" s="102" t="s">
        <v>138</v>
      </c>
      <c r="H5" s="91" t="s">
        <v>130</v>
      </c>
      <c r="I5" s="104">
        <f>C5*EXP(-C7*C6)*_xlfn.NORM.DIST(-I8,0,1,TRUE)-C4*_xlfn.NORM.DIST(-d2_,0,1,TRUE)</f>
        <v>3.5907223609484573</v>
      </c>
      <c r="J5" s="102" t="s">
        <v>137</v>
      </c>
      <c r="K5" s="116">
        <f>100*I5</f>
        <v>359.07223609484572</v>
      </c>
    </row>
    <row r="6" spans="1:11" x14ac:dyDescent="0.2">
      <c r="A6" s="8" t="s">
        <v>122</v>
      </c>
      <c r="B6" s="95" t="s">
        <v>135</v>
      </c>
      <c r="C6" s="97">
        <v>2</v>
      </c>
      <c r="F6" s="91"/>
      <c r="G6" s="102"/>
      <c r="H6" s="91"/>
      <c r="I6" s="105"/>
      <c r="J6" s="110"/>
      <c r="K6" s="117"/>
    </row>
    <row r="7" spans="1:11" x14ac:dyDescent="0.2">
      <c r="A7" s="100" t="s">
        <v>123</v>
      </c>
      <c r="B7" s="95" t="s">
        <v>124</v>
      </c>
      <c r="C7" s="97">
        <v>0.02</v>
      </c>
      <c r="F7" s="91"/>
      <c r="G7" s="102"/>
      <c r="H7" s="91" t="s">
        <v>131</v>
      </c>
      <c r="I7" s="106">
        <f>(LN(C4/C5)+(C7+(C8^2)/2)*C6)/(C8*C6^0.5)</f>
        <v>0.64747213329241204</v>
      </c>
      <c r="J7" s="110"/>
      <c r="K7" s="117"/>
    </row>
    <row r="8" spans="1:11" ht="17" thickBot="1" x14ac:dyDescent="0.25">
      <c r="A8" s="101" t="s">
        <v>125</v>
      </c>
      <c r="B8" s="98" t="s">
        <v>126</v>
      </c>
      <c r="C8" s="99">
        <v>0.4</v>
      </c>
      <c r="F8" s="91"/>
      <c r="G8" s="107"/>
      <c r="H8" s="108" t="s">
        <v>132</v>
      </c>
      <c r="I8" s="109">
        <f>I7-C8*C6^0.5</f>
        <v>8.1786708343173919E-2</v>
      </c>
      <c r="J8" s="114"/>
      <c r="K8" s="115"/>
    </row>
  </sheetData>
  <mergeCells count="2">
    <mergeCell ref="A3:C3"/>
    <mergeCell ref="G3:I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Title</vt:lpstr>
      <vt:lpstr>Income Statement</vt:lpstr>
      <vt:lpstr>CapEx and Depreciation</vt:lpstr>
      <vt:lpstr>Balance Sheet</vt:lpstr>
      <vt:lpstr>Cash Flow Statement</vt:lpstr>
      <vt:lpstr>DCF MODEL</vt:lpstr>
      <vt:lpstr>Option Pricing Model</vt:lpstr>
      <vt:lpstr>d1_</vt:lpstr>
      <vt:lpstr>d2_</vt:lpstr>
      <vt:lpstr>K</vt:lpstr>
      <vt:lpstr>r_</vt:lpstr>
      <vt:lpstr>S</vt:lpstr>
      <vt:lpstr>T</vt:lpstr>
      <vt:lpstr>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Chetan Karkhanis</dc:creator>
  <cp:lastModifiedBy>Sean Chetan Karkhanis</cp:lastModifiedBy>
  <dcterms:created xsi:type="dcterms:W3CDTF">2024-09-07T21:21:06Z</dcterms:created>
  <dcterms:modified xsi:type="dcterms:W3CDTF">2024-09-10T20:53:55Z</dcterms:modified>
</cp:coreProperties>
</file>