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activeTab="1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SNKCO2_DAC (2)" sheetId="40" r:id="rId14"/>
    <sheet name="AllStorageOrUse_TECH" sheetId="31" r:id="rId15"/>
    <sheet name="IMPOIL_BND" sheetId="24" r:id="rId16"/>
    <sheet name="IMPGAS_BND" sheetId="25" r:id="rId17"/>
    <sheet name="Bound_on_ele" sheetId="32" r:id="rId18"/>
    <sheet name="Bound_on_ele (2)" sheetId="41" r:id="rId19"/>
    <sheet name="Bound_on_bio_n_geo" sheetId="33" r:id="rId20"/>
    <sheet name="Bound_on_hydrogen" sheetId="34" r:id="rId21"/>
    <sheet name="Bound_on_hydrogen (2)" sheetId="35" r:id="rId22"/>
    <sheet name="Bound_on_hydrogen (3)" sheetId="36" r:id="rId23"/>
    <sheet name="Bound_on_hydrogen (4)" sheetId="38" r:id="rId24"/>
    <sheet name="Reduced_exports_of_fossil_toUSA" sheetId="39" r:id="rId25"/>
  </sheets>
  <definedNames>
    <definedName name="_xlnm._FilterDatabase" localSheetId="17" hidden="1">Bound_on_ele!$K$1:$K$325</definedName>
    <definedName name="_xlnm._FilterDatabase" localSheetId="18" hidden="1">'Bound_on_ele (2)'!$K$1:$K$325</definedName>
    <definedName name="_xlnm._FilterDatabase" localSheetId="19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10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11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12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relax limit given to same reason with TRACO2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9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<sst xmlns="http://schemas.openxmlformats.org/spreadsheetml/2006/main" count="3821" uniqueCount="143">
  <si>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</si>
  <si>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</si>
  <si>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</si>
  <si>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</si>
  <si>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</si>
  <si>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</si>
  <si>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</si>
  <si>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</si>
  <si>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</si>
  <si>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</si>
  <si>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</si>
  <si>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</si>
  <si>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</si>
  <si>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</si>
  <si>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</si>
  <si>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</si>
  <si>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</si>
  <si>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</si>
  <si>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</si>
  <si>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</si>
  <si>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</si>
  <si>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</si>
  <si>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</si>
  <si>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</si>
  <si>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</si>
  <si>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</si>
  <si>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WASTECO2N</t>
  </si>
  <si>
    <t>original series</t>
  </si>
  <si>
    <t>AU_HYDROGENCO2_BND</t>
  </si>
  <si>
    <t>HYDROGENCO2N</t>
  </si>
  <si>
    <t>AU_AGRCO2_BND</t>
  </si>
  <si>
    <t>AGRCO2N</t>
  </si>
  <si>
    <t>AGRNEECO2N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</si>
  <si>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</si>
  <si>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</si>
  <si>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</si>
  <si>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</si>
  <si>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</si>
  <si>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</si>
  <si>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</si>
  <si>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</si>
  <si>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*This is to make sure all captured CO2 goes for carbon storage sink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</si>
  <si>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</si>
  <si>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</si>
  <si>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</si>
  <si>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</si>
  <si>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</si>
  <si>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</si>
  <si>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</si>
  <si>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</si>
  <si>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SINKCCU_Fake_OtherSectors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</si>
  <si>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</si>
  <si>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</si>
  <si>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</si>
  <si>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</si>
  <si>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</si>
  <si>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</si>
  <si>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</si>
  <si>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</si>
  <si>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</si>
  <si>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</si>
  <si>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</si>
  <si>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</si>
  <si>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</si>
  <si>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</si>
  <si>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</si>
  <si>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</si>
  <si>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</si>
  <si>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</si>
  <si>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</si>
  <si>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</si>
  <si>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</si>
  <si>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</si>
  <si>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</si>
  <si>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</si>
  <si>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</si>
  <si>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</si>
  <si>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</si>
  <si>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</si>
  <si>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</si>
  <si>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</si>
  <si>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</si>
  <si>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</si>
  <si>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</si>
  <si>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</si>
  <si>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</si>
  <si>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</si>
  <si>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</si>
  <si>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</si>
  <si>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</si>
  <si>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</si>
  <si>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</si>
  <si>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</si>
  <si>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</si>
  <si>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</si>
  <si>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</si>
  <si>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</si>
  <si>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</si>
  <si>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</si>
  <si>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</si>
  <si>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</si>
  <si>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</si>
  <si>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</si>
  <si>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</si>
  <si>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</si>
  <si>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</si>
  <si>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</si>
  <si>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</si>
  <si>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</si>
  <si>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</si>
  <si>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</si>
  <si>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</si>
  <si>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</si>
  <si>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</si>
  <si>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</si>
  <si>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</si>
  <si>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</si>
  <si>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</si>
  <si>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</si>
  <si>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</si>
  <si>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</si>
  <si>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</si>
  <si>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</si>
  <si>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</si>
  <si>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</si>
  <si>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</si>
  <si>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</si>
  <si>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more sharply compared with CNZ (FOR CNZ and GNZ we use the specific value they quantified; and for coal we use 75% and 50% decrease, accordingly);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</si>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</sst>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1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.2"/>
      <color rgb="FF212529"/>
      <name val="Segoe UI"/>
      <charset val="134"/>
    </font>
    <font>
      <b/>
      <sz val="11"/>
      <color indexed="8"/>
      <name val="Calibri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3" borderId="11" applyNumberFormat="0" applyAlignment="0" applyProtection="0">
      <alignment vertical="center"/>
    </xf>
    <xf numFmtId="0" fontId="29" fillId="14" borderId="12" applyNumberFormat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31" fillId="15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1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9" fillId="0" borderId="0" xfId="0" applyFont="1" applyAlignment="1">
      <alignment horizontal="center" indent="1"/>
    </xf>
    <xf numFmtId="0" fontId="10" fillId="0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79" fontId="2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1" fillId="0" borderId="7" xfId="0" applyFont="1" applyBorder="1"/>
    <xf numFmtId="0" fontId="12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5" fillId="0" borderId="0" xfId="0" applyFont="1" applyFill="1" applyAlignment="1"/>
    <xf numFmtId="0" fontId="13" fillId="0" borderId="0" xfId="0" applyFont="1" applyFill="1" applyAlignment="1">
      <alignment vertical="center"/>
    </xf>
    <xf numFmtId="0" fontId="13" fillId="0" borderId="0" xfId="0" applyFont="1"/>
    <xf numFmtId="0" fontId="0" fillId="0" borderId="0" xfId="0" applyNumberForma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17" fillId="0" borderId="0" xfId="0" applyFont="1" applyAlignment="1">
      <alignment horizontal="center" indent="1"/>
    </xf>
    <xf numFmtId="0" fontId="18" fillId="0" borderId="0" xfId="0" applyFont="1"/>
    <xf numFmtId="0" fontId="1" fillId="8" borderId="0" xfId="0" applyFont="1" applyFill="1" applyBorder="1"/>
    <xf numFmtId="11" fontId="0" fillId="0" borderId="0" xfId="0" applyNumberFormat="1" applyFill="1" applyAlignment="1">
      <alignment vertical="center"/>
    </xf>
    <xf numFmtId="0" fontId="0" fillId="9" borderId="0" xfId="0" applyFont="1" applyFill="1" applyAlignment="1"/>
    <xf numFmtId="0" fontId="19" fillId="0" borderId="0" xfId="0" applyFont="1" applyFill="1" applyAlignment="1"/>
    <xf numFmtId="0" fontId="1" fillId="0" borderId="0" xfId="0" applyFont="1" applyFill="1" applyBorder="1"/>
    <xf numFmtId="0" fontId="1" fillId="10" borderId="0" xfId="0" applyFont="1" applyFill="1" applyBorder="1"/>
    <xf numFmtId="0" fontId="0" fillId="6" borderId="0" xfId="0" applyFont="1" applyFill="1" applyAlignment="1"/>
    <xf numFmtId="0" fontId="0" fillId="11" borderId="0" xfId="0" applyFill="1"/>
    <xf numFmtId="0" fontId="2" fillId="11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 quotePrefix="1">
      <alignment vertical="center"/>
    </xf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3 2" xfId="52"/>
    <cellStyle name="Normal 4" xfId="53"/>
    <cellStyle name="Normale_Scen_UC_IND-StrucConst" xfId="54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99920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99920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N11" s="10">
        <v>645.4005013</v>
      </c>
    </row>
    <row r="12" spans="7:12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653125.114</v>
      </c>
    </row>
    <row r="13" spans="7:12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7:12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670107.0075</v>
      </c>
    </row>
    <row r="15" spans="7:12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645859.9116</v>
      </c>
    </row>
    <row r="16" spans="7:12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619999.6277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605787.9787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588887.6194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433704.9849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37413.52735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topLeftCell="A17" workbookViewId="0">
      <selection activeCell="G18" sqref="G18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</row>
    <row r="11" spans="2:19">
      <c r="B11" s="8" t="s">
        <v>45</v>
      </c>
      <c r="D11" s="1" t="s">
        <v>46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</v>
      </c>
      <c r="N24" s="8"/>
      <c r="O24" s="8"/>
      <c r="P24" s="10"/>
      <c r="R24" s="8"/>
      <c r="S24" s="10"/>
    </row>
    <row r="25" spans="4:19">
      <c r="D25" s="1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</v>
      </c>
      <c r="N25" s="8"/>
      <c r="O25" s="8"/>
      <c r="P25" s="10"/>
      <c r="R25" s="8"/>
      <c r="S25" s="10"/>
    </row>
    <row r="26" spans="4:19">
      <c r="D26" s="1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1039.8952</v>
      </c>
      <c r="N26" s="8"/>
      <c r="O26" s="8"/>
      <c r="P26" s="10"/>
      <c r="R26" s="8"/>
      <c r="S26" s="10"/>
    </row>
    <row r="27" spans="4:19">
      <c r="D27" s="1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</v>
      </c>
      <c r="N27" s="8"/>
      <c r="O27" s="8"/>
      <c r="P27" s="10"/>
      <c r="R27" s="8"/>
      <c r="S27" s="10"/>
    </row>
    <row r="28" spans="4:19">
      <c r="D28" s="1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3082.7072</v>
      </c>
      <c r="N28" s="8"/>
      <c r="O28" s="8"/>
      <c r="P28" s="10"/>
      <c r="R28" s="8"/>
      <c r="S28" s="10"/>
    </row>
    <row r="29" spans="4:19">
      <c r="D29" s="1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</v>
      </c>
      <c r="N29" s="8"/>
      <c r="O29" s="8"/>
      <c r="P29" s="10"/>
      <c r="R29" s="8"/>
      <c r="S29" s="10"/>
    </row>
    <row r="30" spans="4:19">
      <c r="D30" s="1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5394.762</v>
      </c>
      <c r="N30" s="8"/>
      <c r="O30" s="8"/>
      <c r="P30" s="10"/>
      <c r="R30" s="8"/>
      <c r="S30" s="10"/>
    </row>
    <row r="31" spans="4:19">
      <c r="D31" s="1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</v>
      </c>
      <c r="N31" s="8"/>
      <c r="O31" s="8"/>
      <c r="P31" s="10"/>
      <c r="R31" s="8"/>
      <c r="S31" s="10"/>
    </row>
    <row r="32" spans="4:19">
      <c r="D32" s="1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</v>
      </c>
      <c r="N32" s="8"/>
      <c r="O32" s="8"/>
      <c r="P32" s="10"/>
      <c r="R32" s="8"/>
      <c r="S32" s="10"/>
    </row>
    <row r="33" spans="4:19">
      <c r="D33" s="1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9940.9172</v>
      </c>
      <c r="N33" s="8"/>
      <c r="O33" s="8"/>
      <c r="P33" s="10"/>
      <c r="R33" s="8"/>
      <c r="S33" s="10"/>
    </row>
    <row r="34" spans="4:19">
      <c r="D34" s="1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11042.158</v>
      </c>
      <c r="N34" s="8"/>
      <c r="O34" s="8"/>
      <c r="P34" s="10"/>
      <c r="R34" s="8"/>
      <c r="S34" s="10"/>
    </row>
    <row r="35" spans="4:19">
      <c r="D35" s="1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12122.0788</v>
      </c>
      <c r="N35" s="8"/>
      <c r="O35" s="8"/>
      <c r="P35" s="10"/>
      <c r="R35" s="8"/>
      <c r="S35" s="10"/>
    </row>
    <row r="36" spans="4:19">
      <c r="D36" s="1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13165.8332</v>
      </c>
      <c r="N36" s="8"/>
      <c r="O36" s="8"/>
      <c r="P36" s="10"/>
      <c r="R36" s="8"/>
      <c r="S36" s="10"/>
    </row>
    <row r="37" spans="4:19">
      <c r="D37" s="1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</v>
      </c>
      <c r="N37" s="8"/>
      <c r="O37" s="8"/>
      <c r="P37" s="10"/>
      <c r="R37" s="8"/>
      <c r="S37" s="10"/>
    </row>
    <row r="38" spans="4:19">
      <c r="D38" s="1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1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17601.42056</v>
      </c>
      <c r="N39" s="8"/>
      <c r="O39" s="8"/>
      <c r="P39" s="10"/>
      <c r="R39" s="8"/>
      <c r="S39" s="10"/>
    </row>
    <row r="40" spans="4:19">
      <c r="D40" s="1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19196.15312</v>
      </c>
      <c r="N40" s="8"/>
      <c r="O40" s="8"/>
      <c r="P40" s="10"/>
      <c r="R40" s="8"/>
      <c r="S40" s="10"/>
    </row>
    <row r="41" spans="4:19">
      <c r="D41" s="1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zoomScale="66" zoomScaleNormal="66" topLeftCell="A5" workbookViewId="0">
      <selection activeCell="L34" sqref="L34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  <col min="23" max="23" width="12.8181818181818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  <c r="P10" t="s">
        <v>47</v>
      </c>
      <c r="S10" t="s">
        <v>48</v>
      </c>
    </row>
    <row r="11" spans="2:19">
      <c r="B11" s="8" t="s">
        <v>49</v>
      </c>
      <c r="D11" s="1" t="s">
        <v>50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SINKCCU_Fake_OtherSectors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SINKCCU_Fake_OtherSectors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SINKCCU_Fake_OtherSectors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SINKCCU_Fake_OtherSectors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SINKCCU_Fake_OtherSectors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SINKCCU_Fake_OtherSectors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SINKCCU_Fake_OtherSectors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SINKCCU_Fake_OtherSectors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SINKCCU_Fake_OtherSectors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SINKCCU_Fake_OtherSectors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SINKCCU_Fake_OtherSectors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SINKCCU_Fake_OtherSectors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SINKCCU_Fake_OtherSectors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SINKCCU_Fake_OtherSectors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SINKCCU_Fake_OtherSectors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SINKCCU_Fake_OtherSectors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SINKCCU_Fake_OtherSectors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SINKCCU_Fake_OtherSectors</v>
      </c>
      <c r="H29" s="24"/>
      <c r="I29" s="8">
        <v>2038</v>
      </c>
      <c r="J29" s="8" t="s">
        <v>16</v>
      </c>
      <c r="K29" s="8">
        <v>1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SINKCCU_Fake_OtherSectors</v>
      </c>
      <c r="H30" s="24"/>
      <c r="I30" s="8">
        <v>2039</v>
      </c>
      <c r="J30" s="8" t="s">
        <v>16</v>
      </c>
      <c r="K30" s="8">
        <v>1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23">
      <c r="D31" s="1" t="str">
        <f t="shared" si="2"/>
        <v>SINKCCU_Fake_OtherSectors</v>
      </c>
      <c r="H31" s="24"/>
      <c r="I31" s="8">
        <v>2040</v>
      </c>
      <c r="J31" s="8" t="s">
        <v>16</v>
      </c>
      <c r="K31" s="8">
        <v>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  <c r="W31" s="8">
        <f t="shared" ref="W31:W41" si="4">N31*1</f>
        <v>3945.723141</v>
      </c>
    </row>
    <row r="32" spans="4:23">
      <c r="D32" s="1" t="str">
        <f t="shared" si="2"/>
        <v>SINKCCU_Fake_OtherSectors</v>
      </c>
      <c r="H32" s="24"/>
      <c r="I32" s="8">
        <v>2041</v>
      </c>
      <c r="J32" s="8" t="s">
        <v>16</v>
      </c>
      <c r="K32" s="8">
        <v>1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  <c r="W32" s="8">
        <f t="shared" si="4"/>
        <v>5823.877694</v>
      </c>
    </row>
    <row r="33" spans="4:23">
      <c r="D33" s="1" t="str">
        <f t="shared" si="2"/>
        <v>SINKCCU_Fake_OtherSectors</v>
      </c>
      <c r="H33" s="24"/>
      <c r="I33" s="8">
        <v>2042</v>
      </c>
      <c r="J33" s="8" t="s">
        <v>16</v>
      </c>
      <c r="K33" s="8">
        <v>1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  <c r="W33" s="8">
        <f t="shared" si="4"/>
        <v>8190.738992</v>
      </c>
    </row>
    <row r="34" spans="4:23">
      <c r="D34" s="1" t="str">
        <f t="shared" si="2"/>
        <v>SINKCCU_Fake_OtherSectors</v>
      </c>
      <c r="H34" s="24"/>
      <c r="I34" s="8">
        <v>2043</v>
      </c>
      <c r="J34" s="8" t="s">
        <v>16</v>
      </c>
      <c r="K34" s="8">
        <v>1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  <c r="W34" s="8">
        <f t="shared" si="4"/>
        <v>11082.62213</v>
      </c>
    </row>
    <row r="35" spans="4:23">
      <c r="D35" s="1" t="str">
        <f t="shared" si="2"/>
        <v>SINKCCU_Fake_OtherSectors</v>
      </c>
      <c r="H35" s="24"/>
      <c r="I35" s="8">
        <v>2044</v>
      </c>
      <c r="J35" s="8" t="s">
        <v>16</v>
      </c>
      <c r="K35" s="8">
        <v>1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  <c r="W35" s="8">
        <f t="shared" si="4"/>
        <v>14518.99947</v>
      </c>
    </row>
    <row r="36" spans="4:23">
      <c r="D36" s="1" t="str">
        <f t="shared" si="2"/>
        <v>SINKCCU_Fake_OtherSectors</v>
      </c>
      <c r="H36" s="24"/>
      <c r="I36" s="8">
        <v>2045</v>
      </c>
      <c r="J36" s="8" t="s">
        <v>16</v>
      </c>
      <c r="K36" s="8">
        <v>1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  <c r="W36" s="8">
        <f t="shared" si="4"/>
        <v>18502.57415</v>
      </c>
    </row>
    <row r="37" spans="4:23">
      <c r="D37" s="1" t="str">
        <f t="shared" si="2"/>
        <v>SINKCCU_Fake_OtherSectors</v>
      </c>
      <c r="H37" s="24"/>
      <c r="I37" s="8">
        <v>2046</v>
      </c>
      <c r="J37" s="8" t="s">
        <v>16</v>
      </c>
      <c r="K37" s="8">
        <v>1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  <c r="W37" s="8">
        <f t="shared" si="4"/>
        <v>23021.1784</v>
      </c>
    </row>
    <row r="38" spans="4:23">
      <c r="D38" s="1" t="str">
        <f t="shared" si="2"/>
        <v>SINKCCU_Fake_OtherSectors</v>
      </c>
      <c r="H38" s="24"/>
      <c r="I38" s="8">
        <v>2047</v>
      </c>
      <c r="J38" s="8" t="s">
        <v>16</v>
      </c>
      <c r="K38" s="8">
        <v>1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  <c r="W38" s="8">
        <f t="shared" si="4"/>
        <v>28050.83132</v>
      </c>
    </row>
    <row r="39" spans="4:23">
      <c r="D39" s="1" t="str">
        <f t="shared" si="2"/>
        <v>SINKCCU_Fake_OtherSectors</v>
      </c>
      <c r="H39" s="24"/>
      <c r="I39" s="8">
        <v>2048</v>
      </c>
      <c r="J39" s="8" t="s">
        <v>16</v>
      </c>
      <c r="K39" s="8">
        <v>1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  <c r="W39" s="8">
        <f t="shared" si="4"/>
        <v>33559.23229</v>
      </c>
    </row>
    <row r="40" spans="4:23">
      <c r="D40" s="1" t="str">
        <f t="shared" si="2"/>
        <v>SINKCCU_Fake_OtherSectors</v>
      </c>
      <c r="H40" s="24"/>
      <c r="I40" s="8">
        <v>2049</v>
      </c>
      <c r="J40" s="8" t="s">
        <v>16</v>
      </c>
      <c r="K40" s="8">
        <v>1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  <c r="W40" s="8">
        <f t="shared" si="4"/>
        <v>39509.10415</v>
      </c>
    </row>
    <row r="41" spans="4:23">
      <c r="D41" s="1" t="str">
        <f t="shared" si="2"/>
        <v>SINKCCU_Fake_OtherSectors</v>
      </c>
      <c r="H41" s="24"/>
      <c r="I41" s="8">
        <v>2050</v>
      </c>
      <c r="J41" s="8" t="s">
        <v>16</v>
      </c>
      <c r="K41" s="8">
        <v>1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  <c r="W41" s="8">
        <f t="shared" si="4"/>
        <v>45861.0234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B4:V41"/>
  <sheetViews>
    <sheetView zoomScale="58" zoomScaleNormal="58" topLeftCell="A2" workbookViewId="0">
      <selection activeCell="N19" sqref="N19"/>
    </sheetView>
  </sheetViews>
  <sheetFormatPr defaultColWidth="8.72727272727273" defaultRowHeight="14.5"/>
  <cols>
    <col min="1" max="1" width="9" style="8"/>
    <col min="2" max="2" width="22" style="8" customWidth="1"/>
    <col min="3" max="3" width="8.72727272727273" style="8"/>
    <col min="4" max="4" width="21.4545454545455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9" width="14"/>
    <col min="22" max="22" width="14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8" t="s">
        <v>13</v>
      </c>
      <c r="R10" s="52"/>
      <c r="S10" t="s">
        <v>47</v>
      </c>
      <c r="V10" t="s">
        <v>48</v>
      </c>
    </row>
    <row r="11" spans="2:22">
      <c r="B11" s="8" t="s">
        <v>51</v>
      </c>
      <c r="D11" s="1" t="s">
        <v>52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4:22">
      <c r="D12" s="1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 t="shared" ref="L12:L41" si="3">O12</f>
        <v>17302.57254</v>
      </c>
      <c r="O12" s="8">
        <f t="shared" si="0"/>
        <v>17302.57254</v>
      </c>
      <c r="Q12" s="8">
        <f t="shared" si="1"/>
        <v>17302.57254</v>
      </c>
      <c r="R12" s="8">
        <v>0</v>
      </c>
      <c r="S12" s="10">
        <v>0</v>
      </c>
      <c r="U12" s="8"/>
      <c r="V12" s="10">
        <v>-17.30257254</v>
      </c>
    </row>
    <row r="13" spans="4:22">
      <c r="D13" s="1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si="3"/>
        <v>15406.32582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-15.40632582</v>
      </c>
    </row>
    <row r="14" spans="4:22">
      <c r="D14" s="1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17230.53509</v>
      </c>
      <c r="O14" s="8">
        <f t="shared" si="0"/>
        <v>17230.53509</v>
      </c>
      <c r="Q14" s="8">
        <f t="shared" si="1"/>
        <v>17230.53509</v>
      </c>
      <c r="R14" s="8">
        <f t="shared" ref="R14:R41" si="4">S14*-1000</f>
        <v>3.48e-10</v>
      </c>
      <c r="S14" s="53">
        <v>-3.48e-13</v>
      </c>
      <c r="U14" s="8"/>
      <c r="V14" s="10">
        <v>-17.23053509</v>
      </c>
    </row>
    <row r="15" spans="4:22">
      <c r="D15" s="1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19054.74437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3">
        <v>-2.29e-10</v>
      </c>
      <c r="U15" s="8"/>
      <c r="V15" s="10">
        <v>-19.05474437</v>
      </c>
    </row>
    <row r="16" spans="4:22">
      <c r="D16" s="1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20878.95364</v>
      </c>
      <c r="O16" s="8">
        <f t="shared" si="0"/>
        <v>20878.95364</v>
      </c>
      <c r="Q16" s="8">
        <f t="shared" si="1"/>
        <v>20878.95364</v>
      </c>
      <c r="R16" s="8">
        <f t="shared" si="4"/>
        <v>1.81e-5</v>
      </c>
      <c r="S16" s="53">
        <v>-1.81e-8</v>
      </c>
      <c r="U16" s="8"/>
      <c r="V16" s="10">
        <v>-20.87895364</v>
      </c>
    </row>
    <row r="17" spans="4:22">
      <c r="D17" s="1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22703.16291</v>
      </c>
      <c r="O17" s="8">
        <f t="shared" si="0"/>
        <v>22703.16291</v>
      </c>
      <c r="Q17" s="8">
        <f t="shared" si="1"/>
        <v>22703.16291</v>
      </c>
      <c r="R17" s="8">
        <f t="shared" si="4"/>
        <v>0.00042</v>
      </c>
      <c r="S17" s="53">
        <v>-4.2e-7</v>
      </c>
      <c r="U17" s="8"/>
      <c r="V17" s="10">
        <v>-22.70316291</v>
      </c>
    </row>
    <row r="18" spans="4:22">
      <c r="D18" s="1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24527.37218</v>
      </c>
      <c r="O18" s="8">
        <f t="shared" si="0"/>
        <v>24527.37218</v>
      </c>
      <c r="Q18" s="8">
        <f t="shared" si="1"/>
        <v>24527.37218</v>
      </c>
      <c r="R18" s="8">
        <f t="shared" si="4"/>
        <v>0.00461</v>
      </c>
      <c r="S18" s="53">
        <v>-4.61e-6</v>
      </c>
      <c r="U18" s="8"/>
      <c r="V18" s="10">
        <v>-24.52737218</v>
      </c>
    </row>
    <row r="19" spans="4:22">
      <c r="D19" s="1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26351.58146</v>
      </c>
      <c r="O19" s="8">
        <f t="shared" si="0"/>
        <v>26351.58146</v>
      </c>
      <c r="Q19" s="8">
        <f t="shared" si="1"/>
        <v>26351.58146</v>
      </c>
      <c r="R19" s="8">
        <f t="shared" si="4"/>
        <v>0.0308</v>
      </c>
      <c r="S19" s="53">
        <v>-3.08e-5</v>
      </c>
      <c r="U19" s="8"/>
      <c r="V19" s="10">
        <v>-26.35158146</v>
      </c>
    </row>
    <row r="20" spans="4:22">
      <c r="D20" s="1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28175.79073</v>
      </c>
      <c r="O20" s="8">
        <f t="shared" si="0"/>
        <v>28175.79073</v>
      </c>
      <c r="Q20" s="8">
        <f t="shared" si="1"/>
        <v>28175.79073</v>
      </c>
      <c r="R20" s="8">
        <f t="shared" si="4"/>
        <v>0.145879</v>
      </c>
      <c r="S20" s="10">
        <v>-0.000145879</v>
      </c>
      <c r="U20" s="8"/>
      <c r="V20" s="10">
        <v>-28.17579073</v>
      </c>
    </row>
    <row r="21" spans="4:22">
      <c r="D21" s="1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30000</v>
      </c>
      <c r="O21" s="8">
        <f t="shared" si="0"/>
        <v>30000</v>
      </c>
      <c r="Q21" s="8">
        <f t="shared" si="1"/>
        <v>30000</v>
      </c>
      <c r="R21" s="8">
        <f t="shared" si="4"/>
        <v>0.540047</v>
      </c>
      <c r="S21" s="10">
        <v>-0.000540047</v>
      </c>
      <c r="U21" s="8"/>
      <c r="V21" s="10">
        <v>-30</v>
      </c>
    </row>
    <row r="22" spans="4:22">
      <c r="D22" s="1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31000</v>
      </c>
      <c r="O22" s="8">
        <f t="shared" si="0"/>
        <v>31000</v>
      </c>
      <c r="Q22" s="8">
        <f t="shared" si="1"/>
        <v>31000</v>
      </c>
      <c r="R22" s="8">
        <f t="shared" si="4"/>
        <v>2.495071</v>
      </c>
      <c r="S22" s="10">
        <v>-0.002495071</v>
      </c>
      <c r="U22" s="8"/>
      <c r="V22" s="10">
        <v>-31</v>
      </c>
    </row>
    <row r="23" spans="4:22">
      <c r="D23" s="1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32000</v>
      </c>
      <c r="O23" s="8">
        <f t="shared" si="0"/>
        <v>32000</v>
      </c>
      <c r="Q23" s="8">
        <f t="shared" si="1"/>
        <v>32000</v>
      </c>
      <c r="R23" s="8">
        <f t="shared" si="4"/>
        <v>9.746884</v>
      </c>
      <c r="S23" s="10">
        <v>-0.009746884</v>
      </c>
      <c r="U23" s="8"/>
      <c r="V23" s="10">
        <v>-32</v>
      </c>
    </row>
    <row r="24" spans="4:22">
      <c r="D24" s="1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33000</v>
      </c>
      <c r="O24" s="8">
        <f t="shared" si="0"/>
        <v>33000</v>
      </c>
      <c r="Q24" s="8">
        <f t="shared" si="1"/>
        <v>33000</v>
      </c>
      <c r="R24" s="8">
        <f t="shared" si="4"/>
        <v>31.36081</v>
      </c>
      <c r="S24" s="10">
        <v>-0.03136081</v>
      </c>
      <c r="U24" s="8"/>
      <c r="V24" s="10">
        <v>-33</v>
      </c>
    </row>
    <row r="25" spans="4:22">
      <c r="D25" s="1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34000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-0.085732495</v>
      </c>
      <c r="U25" s="8"/>
      <c r="V25" s="10">
        <v>-34</v>
      </c>
    </row>
    <row r="26" spans="4:22">
      <c r="D26" s="1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35000</v>
      </c>
      <c r="O26" s="8">
        <f t="shared" si="0"/>
        <v>35000</v>
      </c>
      <c r="Q26" s="8">
        <f t="shared" si="1"/>
        <v>35000</v>
      </c>
      <c r="R26" s="8">
        <f t="shared" si="4"/>
        <v>205.21629</v>
      </c>
      <c r="S26" s="10">
        <v>-0.20521629</v>
      </c>
      <c r="U26" s="8"/>
      <c r="V26" s="10">
        <v>-35</v>
      </c>
    </row>
    <row r="27" spans="4:22">
      <c r="D27" s="1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36000</v>
      </c>
      <c r="O27" s="8">
        <f t="shared" si="0"/>
        <v>36000</v>
      </c>
      <c r="Q27" s="8">
        <f t="shared" si="1"/>
        <v>36000</v>
      </c>
      <c r="R27" s="8">
        <f t="shared" si="4"/>
        <v>435.337421</v>
      </c>
      <c r="S27" s="10">
        <v>-0.435337421</v>
      </c>
      <c r="U27" s="8"/>
      <c r="V27" s="10">
        <v>-36</v>
      </c>
    </row>
    <row r="28" spans="4:22">
      <c r="D28" s="1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37000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-0.840418947</v>
      </c>
      <c r="U28" s="8"/>
      <c r="V28" s="10">
        <v>-37</v>
      </c>
    </row>
    <row r="29" spans="4:22">
      <c r="D29" s="1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38000</v>
      </c>
      <c r="O29" s="8">
        <f t="shared" si="0"/>
        <v>38000</v>
      </c>
      <c r="Q29" s="8">
        <f t="shared" si="1"/>
        <v>38000</v>
      </c>
      <c r="R29" s="8">
        <f t="shared" si="4"/>
        <v>1500.40547</v>
      </c>
      <c r="S29" s="10">
        <v>-1.50040547</v>
      </c>
      <c r="U29" s="8"/>
      <c r="V29" s="10">
        <v>-38</v>
      </c>
    </row>
    <row r="30" spans="4:22">
      <c r="D30" s="1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39000</v>
      </c>
      <c r="O30" s="8">
        <f t="shared" si="0"/>
        <v>39000</v>
      </c>
      <c r="Q30" s="8">
        <f t="shared" si="1"/>
        <v>39000</v>
      </c>
      <c r="R30" s="8">
        <f t="shared" si="4"/>
        <v>2505.215746</v>
      </c>
      <c r="S30" s="10">
        <v>-2.505215746</v>
      </c>
      <c r="U30" s="8"/>
      <c r="V30" s="10">
        <v>-39</v>
      </c>
    </row>
    <row r="31" spans="4:22">
      <c r="D31" s="1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40000</v>
      </c>
      <c r="O31" s="8">
        <f t="shared" si="0"/>
        <v>40000</v>
      </c>
      <c r="Q31" s="8">
        <f t="shared" si="1"/>
        <v>40000</v>
      </c>
      <c r="R31" s="8">
        <f t="shared" si="4"/>
        <v>3945.723141</v>
      </c>
      <c r="S31" s="10">
        <v>-3.945723141</v>
      </c>
      <c r="U31" s="8"/>
      <c r="V31" s="10">
        <v>-40</v>
      </c>
    </row>
    <row r="32" spans="4:22">
      <c r="D32" s="1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41000</v>
      </c>
      <c r="O32" s="8">
        <f t="shared" si="0"/>
        <v>41000</v>
      </c>
      <c r="Q32" s="8">
        <f t="shared" si="1"/>
        <v>41000</v>
      </c>
      <c r="R32" s="8">
        <f t="shared" si="4"/>
        <v>5823.877694</v>
      </c>
      <c r="S32" s="10">
        <v>-5.823877694</v>
      </c>
      <c r="U32" s="8"/>
      <c r="V32" s="10">
        <v>-41</v>
      </c>
    </row>
    <row r="33" spans="4:22">
      <c r="D33" s="1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42000</v>
      </c>
      <c r="O33" s="8">
        <f t="shared" si="0"/>
        <v>42000</v>
      </c>
      <c r="Q33" s="8">
        <f t="shared" si="1"/>
        <v>42000</v>
      </c>
      <c r="R33" s="8">
        <f t="shared" si="4"/>
        <v>8190.738992</v>
      </c>
      <c r="S33" s="10">
        <v>-8.190738992</v>
      </c>
      <c r="U33" s="8"/>
      <c r="V33" s="10">
        <v>-42</v>
      </c>
    </row>
    <row r="34" spans="4:22">
      <c r="D34" s="1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43000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</v>
      </c>
      <c r="U34" s="8"/>
      <c r="V34" s="10">
        <v>-43</v>
      </c>
    </row>
    <row r="35" spans="4:22">
      <c r="D35" s="1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44000</v>
      </c>
      <c r="O35" s="8">
        <f t="shared" si="0"/>
        <v>44000</v>
      </c>
      <c r="Q35" s="8">
        <f t="shared" si="1"/>
        <v>44000</v>
      </c>
      <c r="R35" s="8">
        <f t="shared" si="4"/>
        <v>14518.99947</v>
      </c>
      <c r="S35" s="10">
        <v>-14.51899947</v>
      </c>
      <c r="U35" s="8"/>
      <c r="V35" s="10">
        <v>-44</v>
      </c>
    </row>
    <row r="36" spans="4:22">
      <c r="D36" s="1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45000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</v>
      </c>
      <c r="U36" s="8"/>
      <c r="V36" s="10">
        <v>-45</v>
      </c>
    </row>
    <row r="37" spans="4:22">
      <c r="D37" s="1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46000</v>
      </c>
      <c r="O37" s="8">
        <f t="shared" si="0"/>
        <v>46000</v>
      </c>
      <c r="Q37" s="8">
        <f t="shared" si="1"/>
        <v>46000</v>
      </c>
      <c r="R37" s="8">
        <f t="shared" si="4"/>
        <v>23021.1784</v>
      </c>
      <c r="S37" s="10">
        <v>-23.0211784</v>
      </c>
      <c r="U37" s="8"/>
      <c r="V37" s="10">
        <v>-46</v>
      </c>
    </row>
    <row r="38" spans="4:22">
      <c r="D38" s="1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47000</v>
      </c>
      <c r="O38" s="8">
        <f t="shared" si="0"/>
        <v>47000</v>
      </c>
      <c r="Q38" s="8">
        <f t="shared" si="1"/>
        <v>47000</v>
      </c>
      <c r="R38" s="8">
        <f t="shared" si="4"/>
        <v>28050.83132</v>
      </c>
      <c r="S38" s="10">
        <v>-28.05083132</v>
      </c>
      <c r="U38" s="8"/>
      <c r="V38" s="10">
        <v>-47</v>
      </c>
    </row>
    <row r="39" spans="4:22">
      <c r="D39" s="1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48000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-33.55923229</v>
      </c>
      <c r="U39" s="8"/>
      <c r="V39" s="10">
        <v>-48</v>
      </c>
    </row>
    <row r="40" spans="4:22">
      <c r="D40" s="1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49000</v>
      </c>
      <c r="O40" s="8">
        <f t="shared" si="0"/>
        <v>49000</v>
      </c>
      <c r="Q40" s="8">
        <f t="shared" si="1"/>
        <v>49000</v>
      </c>
      <c r="R40" s="8">
        <f t="shared" si="4"/>
        <v>39509.10415</v>
      </c>
      <c r="S40" s="10">
        <v>-39.50910415</v>
      </c>
      <c r="U40" s="8"/>
      <c r="V40" s="10">
        <v>-49</v>
      </c>
    </row>
    <row r="41" spans="4:22">
      <c r="D41" s="1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50000</v>
      </c>
      <c r="O41" s="8">
        <f t="shared" si="0"/>
        <v>50000</v>
      </c>
      <c r="Q41" s="8">
        <f t="shared" si="1"/>
        <v>50000</v>
      </c>
      <c r="R41" s="8">
        <f t="shared" si="4"/>
        <v>45861.0234</v>
      </c>
      <c r="S41" s="10">
        <v>-45.8610234</v>
      </c>
      <c r="U41" s="8"/>
      <c r="V41" s="10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4"/>
  <sheetViews>
    <sheetView workbookViewId="0">
      <selection activeCell="G20" sqref="G20"/>
    </sheetView>
  </sheetViews>
  <sheetFormatPr defaultColWidth="8.72727272727273" defaultRowHeight="14.5"/>
  <cols>
    <col min="2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1" spans="1:1">
      <c r="A1" t="s">
        <v>41</v>
      </c>
    </row>
    <row r="4" spans="2:2">
      <c r="B4" s="22" t="s">
        <v>0</v>
      </c>
    </row>
    <row r="5" spans="2:2">
      <c r="B5" s="8" t="s">
        <v>1</v>
      </c>
    </row>
    <row r="9" spans="7:7">
      <c r="G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2">
      <c r="B11" s="8" t="s">
        <v>53</v>
      </c>
      <c r="G11" s="1" t="s">
        <v>54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7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7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7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7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7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55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56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1" t="s">
        <v>57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ht="16" spans="7:12">
      <c r="G135" s="25" t="s">
        <v>58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S41"/>
  <sheetViews>
    <sheetView zoomScale="66" zoomScaleNormal="66" workbookViewId="0">
      <selection activeCell="J27" sqref="J27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  <c r="P10" t="s">
        <v>47</v>
      </c>
      <c r="S10" t="s">
        <v>48</v>
      </c>
    </row>
    <row r="11" spans="2:19">
      <c r="B11" s="8" t="s">
        <v>49</v>
      </c>
      <c r="D11" s="1" t="s">
        <v>59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1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1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1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1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1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1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1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1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1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1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1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B4:L135"/>
  <sheetViews>
    <sheetView zoomScale="70" zoomScaleNormal="70" workbookViewId="0">
      <selection activeCell="G27" sqref="G27"/>
    </sheetView>
  </sheetViews>
  <sheetFormatPr defaultColWidth="8.72727272727273" defaultRowHeight="14.5"/>
  <cols>
    <col min="2" max="3" width="8.72727272727273" style="8"/>
    <col min="4" max="4" width="18.8181818181818" style="8" customWidth="1"/>
    <col min="5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6">
      <c r="B4" s="22"/>
      <c r="F4" s="43" t="s">
        <v>60</v>
      </c>
    </row>
    <row r="10" spans="4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ht="16" spans="4:12">
      <c r="D11" s="50" t="s">
        <v>62</v>
      </c>
      <c r="G11" s="1"/>
      <c r="H11" s="11" t="s">
        <v>63</v>
      </c>
      <c r="I11" s="8">
        <v>2020</v>
      </c>
      <c r="J11" s="8" t="s">
        <v>64</v>
      </c>
      <c r="L11" s="8">
        <v>0</v>
      </c>
    </row>
    <row r="12" spans="4:12">
      <c r="D12" s="8" t="str">
        <f t="shared" ref="D12:D41" si="0">D11</f>
        <v>SINKCCS_Immiscible</v>
      </c>
      <c r="H12" s="11" t="s">
        <v>63</v>
      </c>
      <c r="I12" s="8">
        <v>2021</v>
      </c>
      <c r="J12" s="8" t="str">
        <f t="shared" ref="J12:J41" si="1">J11</f>
        <v>LO</v>
      </c>
      <c r="L12" s="8">
        <v>0</v>
      </c>
    </row>
    <row r="13" spans="4:12">
      <c r="D13" s="8" t="str">
        <f t="shared" si="0"/>
        <v>SINKCCS_Immiscible</v>
      </c>
      <c r="H13" s="11" t="s">
        <v>63</v>
      </c>
      <c r="I13" s="8">
        <v>2022</v>
      </c>
      <c r="J13" s="8" t="str">
        <f t="shared" si="1"/>
        <v>LO</v>
      </c>
      <c r="L13" s="8">
        <v>0</v>
      </c>
    </row>
    <row r="14" spans="4:12">
      <c r="D14" s="8" t="str">
        <f t="shared" si="0"/>
        <v>SINKCCS_Immiscible</v>
      </c>
      <c r="H14" s="11" t="s">
        <v>63</v>
      </c>
      <c r="I14" s="8">
        <v>2023</v>
      </c>
      <c r="J14" s="8" t="str">
        <f t="shared" si="1"/>
        <v>LO</v>
      </c>
      <c r="L14" s="8">
        <v>0</v>
      </c>
    </row>
    <row r="15" spans="4:12">
      <c r="D15" s="8" t="str">
        <f t="shared" si="0"/>
        <v>SINKCCS_Immiscible</v>
      </c>
      <c r="H15" s="11" t="s">
        <v>63</v>
      </c>
      <c r="I15" s="8">
        <v>2024</v>
      </c>
      <c r="J15" s="8" t="str">
        <f t="shared" si="1"/>
        <v>LO</v>
      </c>
      <c r="L15" s="8">
        <v>0</v>
      </c>
    </row>
    <row r="16" spans="4:12">
      <c r="D16" s="8" t="str">
        <f t="shared" si="0"/>
        <v>SINKCCS_Immiscible</v>
      </c>
      <c r="H16" s="11" t="s">
        <v>63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63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63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63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63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63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63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63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63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63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63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63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63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63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63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63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63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63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63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63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63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63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63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63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63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63</v>
      </c>
      <c r="I41" s="8">
        <v>2050</v>
      </c>
      <c r="J41" s="8" t="str">
        <f t="shared" si="1"/>
        <v>LO</v>
      </c>
      <c r="L41" s="8">
        <v>0</v>
      </c>
    </row>
    <row r="42" ht="16" spans="4:12">
      <c r="D42" s="50" t="s">
        <v>65</v>
      </c>
      <c r="G42" s="1"/>
      <c r="H42" s="11" t="s">
        <v>63</v>
      </c>
      <c r="I42" s="8">
        <v>2020</v>
      </c>
      <c r="J42" s="8" t="s">
        <v>64</v>
      </c>
      <c r="L42" s="8">
        <v>0</v>
      </c>
    </row>
    <row r="43" spans="4:12">
      <c r="D43" s="8" t="str">
        <f t="shared" ref="D43:D72" si="2">D42</f>
        <v>SINKCCS_Miscible</v>
      </c>
      <c r="H43" s="11" t="s">
        <v>63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63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63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63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63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63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63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63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63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63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63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63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63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63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63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63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63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63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63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63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63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63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63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63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63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63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63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63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63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63</v>
      </c>
      <c r="I72" s="8">
        <v>2050</v>
      </c>
      <c r="J72" s="8" t="str">
        <f t="shared" si="3"/>
        <v>LO</v>
      </c>
      <c r="L72" s="8">
        <v>0</v>
      </c>
    </row>
    <row r="73" ht="16" spans="4:12">
      <c r="D73" s="50" t="s">
        <v>66</v>
      </c>
      <c r="G73" s="1"/>
      <c r="H73" s="11" t="s">
        <v>63</v>
      </c>
      <c r="I73" s="8">
        <v>2020</v>
      </c>
      <c r="J73" s="8" t="s">
        <v>64</v>
      </c>
      <c r="L73" s="8">
        <v>0</v>
      </c>
    </row>
    <row r="74" spans="4:12">
      <c r="D74" s="8" t="str">
        <f t="shared" ref="D74:D103" si="4">D73</f>
        <v>SINKCCS_Saline</v>
      </c>
      <c r="H74" s="11" t="s">
        <v>63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63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63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63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63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63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63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63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63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63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63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63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63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63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63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63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63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63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63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63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63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63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63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63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63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63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63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63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63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63</v>
      </c>
      <c r="I103" s="8">
        <v>2050</v>
      </c>
      <c r="J103" s="8" t="str">
        <f t="shared" si="5"/>
        <v>LO</v>
      </c>
      <c r="L103" s="8">
        <v>0</v>
      </c>
    </row>
    <row r="104" ht="16" spans="4:12">
      <c r="D104" s="50" t="s">
        <v>67</v>
      </c>
      <c r="G104" s="51"/>
      <c r="H104" s="11" t="s">
        <v>63</v>
      </c>
      <c r="I104" s="8">
        <v>2020</v>
      </c>
      <c r="J104" s="8" t="s">
        <v>64</v>
      </c>
      <c r="L104" s="8">
        <v>0</v>
      </c>
    </row>
    <row r="105" spans="4:12">
      <c r="D105" s="8" t="str">
        <f t="shared" ref="D105:D134" si="6">D104</f>
        <v>SINKCCU</v>
      </c>
      <c r="H105" s="11" t="s">
        <v>63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63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63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63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63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63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63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63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63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63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63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63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63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63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63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63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63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63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63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63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63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63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63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63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63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63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63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63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63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63</v>
      </c>
      <c r="I134" s="8">
        <v>2050</v>
      </c>
      <c r="J134" s="8" t="str">
        <f t="shared" si="7"/>
        <v>LO</v>
      </c>
      <c r="L134" s="8">
        <v>0</v>
      </c>
    </row>
    <row r="135" ht="16" spans="7:7">
      <c r="G135" s="25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P29" sqref="P2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7">
      <c r="B11" s="8" t="s">
        <v>68</v>
      </c>
      <c r="D11" s="1" t="s">
        <v>69</v>
      </c>
      <c r="G11"/>
      <c r="H11" s="8" t="s">
        <v>63</v>
      </c>
      <c r="I11" s="8">
        <v>2020</v>
      </c>
      <c r="J11" s="8" t="s">
        <v>16</v>
      </c>
      <c r="L11" s="8">
        <f>8823.795*0.000039356*366/3</f>
        <v>42.36685167444</v>
      </c>
      <c r="O11" s="1"/>
      <c r="P11" s="49" t="s">
        <v>70</v>
      </c>
      <c r="Q11" s="47" t="s">
        <v>71</v>
      </c>
    </row>
    <row r="12" spans="4:17">
      <c r="D12" s="1" t="s">
        <v>69</v>
      </c>
      <c r="G12"/>
      <c r="H12" s="8" t="s">
        <v>63</v>
      </c>
      <c r="I12" s="8">
        <v>2021</v>
      </c>
      <c r="J12" s="8" t="s">
        <v>16</v>
      </c>
      <c r="L12" s="8">
        <f t="shared" ref="L12:L41" si="0">L11</f>
        <v>42.36685167444</v>
      </c>
      <c r="P12" s="27"/>
      <c r="Q12" s="27"/>
    </row>
    <row r="13" spans="4:17">
      <c r="D13" s="1" t="s">
        <v>69</v>
      </c>
      <c r="G13"/>
      <c r="H13" s="8" t="s">
        <v>63</v>
      </c>
      <c r="I13" s="8">
        <v>2022</v>
      </c>
      <c r="J13" s="8" t="s">
        <v>16</v>
      </c>
      <c r="L13" s="8">
        <f t="shared" si="0"/>
        <v>42.36685167444</v>
      </c>
      <c r="P13" s="27"/>
      <c r="Q13" s="27"/>
    </row>
    <row r="14" spans="4:17">
      <c r="D14" s="1" t="s">
        <v>69</v>
      </c>
      <c r="G14"/>
      <c r="H14" s="8" t="s">
        <v>63</v>
      </c>
      <c r="I14" s="8">
        <v>2023</v>
      </c>
      <c r="J14" s="8" t="s">
        <v>16</v>
      </c>
      <c r="L14" s="8">
        <f t="shared" si="0"/>
        <v>42.36685167444</v>
      </c>
      <c r="P14" s="27"/>
      <c r="Q14" s="27"/>
    </row>
    <row r="15" spans="4:12">
      <c r="D15" s="1" t="s">
        <v>69</v>
      </c>
      <c r="G15"/>
      <c r="H15" s="8" t="s">
        <v>63</v>
      </c>
      <c r="I15" s="8">
        <v>2024</v>
      </c>
      <c r="J15" s="8" t="s">
        <v>16</v>
      </c>
      <c r="L15" s="8">
        <f t="shared" si="0"/>
        <v>42.36685167444</v>
      </c>
    </row>
    <row r="16" spans="4:12">
      <c r="D16" s="1" t="s">
        <v>69</v>
      </c>
      <c r="G16"/>
      <c r="H16" s="8" t="s">
        <v>63</v>
      </c>
      <c r="I16" s="8">
        <v>2025</v>
      </c>
      <c r="J16" s="8" t="s">
        <v>16</v>
      </c>
      <c r="L16" s="8">
        <f t="shared" si="0"/>
        <v>42.36685167444</v>
      </c>
    </row>
    <row r="17" spans="4:12">
      <c r="D17" s="1" t="s">
        <v>69</v>
      </c>
      <c r="G17"/>
      <c r="H17" s="8" t="s">
        <v>63</v>
      </c>
      <c r="I17" s="8">
        <v>2026</v>
      </c>
      <c r="J17" s="8" t="s">
        <v>16</v>
      </c>
      <c r="L17" s="8">
        <f t="shared" si="0"/>
        <v>42.36685167444</v>
      </c>
    </row>
    <row r="18" spans="4:12">
      <c r="D18" s="1" t="s">
        <v>69</v>
      </c>
      <c r="G18"/>
      <c r="H18" s="8" t="s">
        <v>63</v>
      </c>
      <c r="I18" s="8">
        <v>2027</v>
      </c>
      <c r="J18" s="8" t="s">
        <v>16</v>
      </c>
      <c r="L18" s="8">
        <f t="shared" si="0"/>
        <v>42.36685167444</v>
      </c>
    </row>
    <row r="19" spans="4:12">
      <c r="D19" s="1" t="s">
        <v>69</v>
      </c>
      <c r="G19"/>
      <c r="H19" s="8" t="s">
        <v>63</v>
      </c>
      <c r="I19" s="8">
        <v>2028</v>
      </c>
      <c r="J19" s="8" t="s">
        <v>16</v>
      </c>
      <c r="L19" s="8">
        <f t="shared" si="0"/>
        <v>42.36685167444</v>
      </c>
    </row>
    <row r="20" spans="4:12">
      <c r="D20" s="1" t="s">
        <v>69</v>
      </c>
      <c r="G20"/>
      <c r="H20" s="8" t="s">
        <v>63</v>
      </c>
      <c r="I20" s="8">
        <v>2029</v>
      </c>
      <c r="J20" s="8" t="s">
        <v>16</v>
      </c>
      <c r="L20" s="8">
        <f t="shared" si="0"/>
        <v>42.36685167444</v>
      </c>
    </row>
    <row r="21" spans="4:12">
      <c r="D21" s="1" t="s">
        <v>69</v>
      </c>
      <c r="G21"/>
      <c r="H21" s="8" t="s">
        <v>63</v>
      </c>
      <c r="I21" s="8">
        <v>2030</v>
      </c>
      <c r="J21" s="8" t="s">
        <v>16</v>
      </c>
      <c r="L21" s="8">
        <f t="shared" si="0"/>
        <v>42.36685167444</v>
      </c>
    </row>
    <row r="22" spans="4:12">
      <c r="D22" s="1" t="s">
        <v>69</v>
      </c>
      <c r="G22"/>
      <c r="H22" s="8" t="s">
        <v>63</v>
      </c>
      <c r="I22" s="8">
        <v>2031</v>
      </c>
      <c r="J22" s="8" t="s">
        <v>16</v>
      </c>
      <c r="L22" s="8">
        <f t="shared" si="0"/>
        <v>42.36685167444</v>
      </c>
    </row>
    <row r="23" spans="4:12">
      <c r="D23" s="1" t="s">
        <v>69</v>
      </c>
      <c r="G23"/>
      <c r="H23" s="8" t="s">
        <v>63</v>
      </c>
      <c r="I23" s="8">
        <v>2032</v>
      </c>
      <c r="J23" s="8" t="s">
        <v>16</v>
      </c>
      <c r="L23" s="8">
        <f t="shared" si="0"/>
        <v>42.36685167444</v>
      </c>
    </row>
    <row r="24" spans="4:12">
      <c r="D24" s="1" t="s">
        <v>69</v>
      </c>
      <c r="G24"/>
      <c r="H24" s="8" t="s">
        <v>63</v>
      </c>
      <c r="I24" s="8">
        <v>2033</v>
      </c>
      <c r="J24" s="8" t="s">
        <v>16</v>
      </c>
      <c r="L24" s="8">
        <f t="shared" si="0"/>
        <v>42.36685167444</v>
      </c>
    </row>
    <row r="25" spans="4:12">
      <c r="D25" s="1" t="s">
        <v>69</v>
      </c>
      <c r="G25"/>
      <c r="H25" s="8" t="s">
        <v>63</v>
      </c>
      <c r="I25" s="8">
        <v>2034</v>
      </c>
      <c r="J25" s="8" t="s">
        <v>16</v>
      </c>
      <c r="L25" s="8">
        <f t="shared" si="0"/>
        <v>42.36685167444</v>
      </c>
    </row>
    <row r="26" spans="4:12">
      <c r="D26" s="1" t="s">
        <v>69</v>
      </c>
      <c r="G26"/>
      <c r="H26" s="8" t="s">
        <v>63</v>
      </c>
      <c r="I26" s="8">
        <v>2035</v>
      </c>
      <c r="J26" s="8" t="s">
        <v>16</v>
      </c>
      <c r="L26" s="8">
        <f t="shared" si="0"/>
        <v>42.36685167444</v>
      </c>
    </row>
    <row r="27" spans="4:12">
      <c r="D27" s="1" t="s">
        <v>69</v>
      </c>
      <c r="G27"/>
      <c r="H27" s="8" t="s">
        <v>63</v>
      </c>
      <c r="I27" s="8">
        <v>2036</v>
      </c>
      <c r="J27" s="8" t="s">
        <v>16</v>
      </c>
      <c r="L27" s="8">
        <f t="shared" si="0"/>
        <v>42.36685167444</v>
      </c>
    </row>
    <row r="28" spans="4:12">
      <c r="D28" s="1" t="s">
        <v>69</v>
      </c>
      <c r="G28"/>
      <c r="H28" s="8" t="s">
        <v>63</v>
      </c>
      <c r="I28" s="8">
        <v>2037</v>
      </c>
      <c r="J28" s="8" t="s">
        <v>16</v>
      </c>
      <c r="L28" s="8">
        <f t="shared" si="0"/>
        <v>42.36685167444</v>
      </c>
    </row>
    <row r="29" spans="4:12">
      <c r="D29" s="1" t="s">
        <v>69</v>
      </c>
      <c r="G29"/>
      <c r="H29" s="8" t="s">
        <v>63</v>
      </c>
      <c r="I29" s="8">
        <v>2038</v>
      </c>
      <c r="J29" s="8" t="s">
        <v>16</v>
      </c>
      <c r="L29" s="8">
        <f t="shared" si="0"/>
        <v>42.36685167444</v>
      </c>
    </row>
    <row r="30" spans="4:12">
      <c r="D30" s="1" t="s">
        <v>69</v>
      </c>
      <c r="G30"/>
      <c r="H30" s="8" t="s">
        <v>63</v>
      </c>
      <c r="I30" s="8">
        <v>2039</v>
      </c>
      <c r="J30" s="8" t="s">
        <v>16</v>
      </c>
      <c r="L30" s="8">
        <f t="shared" si="0"/>
        <v>42.36685167444</v>
      </c>
    </row>
    <row r="31" spans="4:12">
      <c r="D31" s="1" t="s">
        <v>69</v>
      </c>
      <c r="G31"/>
      <c r="H31" s="8" t="s">
        <v>63</v>
      </c>
      <c r="I31" s="8">
        <v>2040</v>
      </c>
      <c r="J31" s="8" t="s">
        <v>16</v>
      </c>
      <c r="L31" s="8">
        <f t="shared" si="0"/>
        <v>42.36685167444</v>
      </c>
    </row>
    <row r="32" spans="4:12">
      <c r="D32" s="1" t="s">
        <v>69</v>
      </c>
      <c r="G32"/>
      <c r="H32" s="8" t="s">
        <v>63</v>
      </c>
      <c r="I32" s="8">
        <v>2041</v>
      </c>
      <c r="J32" s="8" t="s">
        <v>16</v>
      </c>
      <c r="L32" s="8">
        <f t="shared" si="0"/>
        <v>42.36685167444</v>
      </c>
    </row>
    <row r="33" spans="4:12">
      <c r="D33" s="1" t="s">
        <v>69</v>
      </c>
      <c r="G33"/>
      <c r="H33" s="8" t="s">
        <v>63</v>
      </c>
      <c r="I33" s="8">
        <v>2042</v>
      </c>
      <c r="J33" s="8" t="s">
        <v>16</v>
      </c>
      <c r="L33" s="8">
        <f t="shared" si="0"/>
        <v>42.36685167444</v>
      </c>
    </row>
    <row r="34" spans="4:12">
      <c r="D34" s="1" t="s">
        <v>69</v>
      </c>
      <c r="G34"/>
      <c r="H34" s="8" t="s">
        <v>63</v>
      </c>
      <c r="I34" s="8">
        <v>2043</v>
      </c>
      <c r="J34" s="8" t="s">
        <v>16</v>
      </c>
      <c r="L34" s="8">
        <f t="shared" si="0"/>
        <v>42.36685167444</v>
      </c>
    </row>
    <row r="35" spans="4:12">
      <c r="D35" s="1" t="s">
        <v>69</v>
      </c>
      <c r="G35"/>
      <c r="H35" s="8" t="s">
        <v>63</v>
      </c>
      <c r="I35" s="8">
        <v>2044</v>
      </c>
      <c r="J35" s="8" t="s">
        <v>16</v>
      </c>
      <c r="L35" s="8">
        <f t="shared" si="0"/>
        <v>42.36685167444</v>
      </c>
    </row>
    <row r="36" spans="4:12">
      <c r="D36" s="1" t="s">
        <v>69</v>
      </c>
      <c r="G36"/>
      <c r="H36" s="8" t="s">
        <v>63</v>
      </c>
      <c r="I36" s="8">
        <v>2045</v>
      </c>
      <c r="J36" s="8" t="s">
        <v>16</v>
      </c>
      <c r="L36" s="8">
        <f t="shared" si="0"/>
        <v>42.36685167444</v>
      </c>
    </row>
    <row r="37" spans="4:12">
      <c r="D37" s="1" t="s">
        <v>69</v>
      </c>
      <c r="G37"/>
      <c r="H37" s="8" t="s">
        <v>63</v>
      </c>
      <c r="I37" s="8">
        <v>2046</v>
      </c>
      <c r="J37" s="8" t="s">
        <v>16</v>
      </c>
      <c r="L37" s="8">
        <f t="shared" si="0"/>
        <v>42.36685167444</v>
      </c>
    </row>
    <row r="38" spans="4:12">
      <c r="D38" s="1" t="s">
        <v>69</v>
      </c>
      <c r="G38"/>
      <c r="H38" s="8" t="s">
        <v>63</v>
      </c>
      <c r="I38" s="8">
        <v>2047</v>
      </c>
      <c r="J38" s="8" t="s">
        <v>16</v>
      </c>
      <c r="L38" s="8">
        <f t="shared" si="0"/>
        <v>42.36685167444</v>
      </c>
    </row>
    <row r="39" spans="4:12">
      <c r="D39" s="1" t="s">
        <v>69</v>
      </c>
      <c r="G39"/>
      <c r="H39" s="8" t="s">
        <v>63</v>
      </c>
      <c r="I39" s="8">
        <v>2048</v>
      </c>
      <c r="J39" s="8" t="s">
        <v>16</v>
      </c>
      <c r="L39" s="8">
        <f t="shared" si="0"/>
        <v>42.36685167444</v>
      </c>
    </row>
    <row r="40" spans="4:12">
      <c r="D40" s="1" t="s">
        <v>69</v>
      </c>
      <c r="G40"/>
      <c r="H40" s="8" t="s">
        <v>63</v>
      </c>
      <c r="I40" s="8">
        <v>2049</v>
      </c>
      <c r="J40" s="8" t="s">
        <v>16</v>
      </c>
      <c r="L40" s="8">
        <f t="shared" si="0"/>
        <v>42.36685167444</v>
      </c>
    </row>
    <row r="41" spans="4:12">
      <c r="D41" s="1" t="s">
        <v>69</v>
      </c>
      <c r="G41"/>
      <c r="H41" s="8" t="s">
        <v>63</v>
      </c>
      <c r="I41" s="8">
        <v>2050</v>
      </c>
      <c r="J41" s="8" t="s">
        <v>16</v>
      </c>
      <c r="L41" s="8">
        <f t="shared" si="0"/>
        <v>42.36685167444</v>
      </c>
    </row>
    <row r="45" spans="14:14">
      <c r="N45" s="26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6">
      <c r="B11" s="8" t="s">
        <v>68</v>
      </c>
      <c r="D11" s="1" t="s">
        <v>72</v>
      </c>
      <c r="G11"/>
      <c r="H11" s="8" t="s">
        <v>63</v>
      </c>
      <c r="I11" s="8">
        <v>2020</v>
      </c>
      <c r="J11" s="8" t="s">
        <v>16</v>
      </c>
      <c r="L11" s="47">
        <f>0.06*366*10^9*0.0373/10^6/3</f>
        <v>273.036</v>
      </c>
      <c r="O11" s="1"/>
      <c r="P11" s="48" t="s">
        <v>73</v>
      </c>
    </row>
    <row r="12" spans="4:16">
      <c r="D12" s="1" t="s">
        <v>72</v>
      </c>
      <c r="G12"/>
      <c r="H12" s="8" t="s">
        <v>63</v>
      </c>
      <c r="I12" s="8">
        <v>2021</v>
      </c>
      <c r="J12" s="8" t="s">
        <v>16</v>
      </c>
      <c r="L12" s="47">
        <f t="shared" ref="L12:L21" si="0">0.06*366*10^9*0.0373/10^6/3</f>
        <v>273.036</v>
      </c>
      <c r="P12" s="27"/>
    </row>
    <row r="13" spans="4:16">
      <c r="D13" s="1" t="s">
        <v>72</v>
      </c>
      <c r="G13"/>
      <c r="H13" s="8" t="s">
        <v>63</v>
      </c>
      <c r="I13" s="8">
        <v>2022</v>
      </c>
      <c r="J13" s="8" t="s">
        <v>16</v>
      </c>
      <c r="L13" s="47">
        <f t="shared" si="0"/>
        <v>273.036</v>
      </c>
      <c r="P13" s="27"/>
    </row>
    <row r="14" spans="4:16">
      <c r="D14" s="1" t="s">
        <v>72</v>
      </c>
      <c r="G14"/>
      <c r="H14" s="8" t="s">
        <v>63</v>
      </c>
      <c r="I14" s="8">
        <v>2023</v>
      </c>
      <c r="J14" s="8" t="s">
        <v>16</v>
      </c>
      <c r="L14" s="47">
        <f t="shared" si="0"/>
        <v>273.036</v>
      </c>
      <c r="P14" s="27"/>
    </row>
    <row r="15" spans="4:12">
      <c r="D15" s="1" t="s">
        <v>72</v>
      </c>
      <c r="G15"/>
      <c r="H15" s="8" t="s">
        <v>63</v>
      </c>
      <c r="I15" s="8">
        <v>2024</v>
      </c>
      <c r="J15" s="8" t="s">
        <v>16</v>
      </c>
      <c r="L15" s="47">
        <f t="shared" si="0"/>
        <v>273.036</v>
      </c>
    </row>
    <row r="16" spans="4:12">
      <c r="D16" s="1" t="s">
        <v>72</v>
      </c>
      <c r="G16"/>
      <c r="H16" s="8" t="s">
        <v>63</v>
      </c>
      <c r="I16" s="8">
        <v>2025</v>
      </c>
      <c r="J16" s="8" t="s">
        <v>16</v>
      </c>
      <c r="L16" s="47">
        <f t="shared" si="0"/>
        <v>273.036</v>
      </c>
    </row>
    <row r="17" spans="4:12">
      <c r="D17" s="1" t="s">
        <v>72</v>
      </c>
      <c r="G17"/>
      <c r="H17" s="8" t="s">
        <v>63</v>
      </c>
      <c r="I17" s="8">
        <v>2026</v>
      </c>
      <c r="J17" s="8" t="s">
        <v>16</v>
      </c>
      <c r="L17" s="47">
        <f t="shared" si="0"/>
        <v>273.036</v>
      </c>
    </row>
    <row r="18" spans="4:12">
      <c r="D18" s="1" t="s">
        <v>72</v>
      </c>
      <c r="G18"/>
      <c r="H18" s="8" t="s">
        <v>63</v>
      </c>
      <c r="I18" s="8">
        <v>2027</v>
      </c>
      <c r="J18" s="8" t="s">
        <v>16</v>
      </c>
      <c r="L18" s="47">
        <f t="shared" si="0"/>
        <v>273.036</v>
      </c>
    </row>
    <row r="19" spans="4:12">
      <c r="D19" s="1" t="s">
        <v>72</v>
      </c>
      <c r="G19"/>
      <c r="H19" s="8" t="s">
        <v>63</v>
      </c>
      <c r="I19" s="8">
        <v>2028</v>
      </c>
      <c r="J19" s="8" t="s">
        <v>16</v>
      </c>
      <c r="L19" s="47">
        <f t="shared" si="0"/>
        <v>273.036</v>
      </c>
    </row>
    <row r="20" spans="4:12">
      <c r="D20" s="1" t="s">
        <v>72</v>
      </c>
      <c r="G20"/>
      <c r="H20" s="8" t="s">
        <v>63</v>
      </c>
      <c r="I20" s="8">
        <v>2029</v>
      </c>
      <c r="J20" s="8" t="s">
        <v>16</v>
      </c>
      <c r="L20" s="47">
        <f t="shared" si="0"/>
        <v>273.036</v>
      </c>
    </row>
    <row r="21" spans="4:12">
      <c r="D21" s="1" t="s">
        <v>72</v>
      </c>
      <c r="G21"/>
      <c r="H21" s="8" t="s">
        <v>63</v>
      </c>
      <c r="I21" s="8">
        <v>2030</v>
      </c>
      <c r="J21" s="8" t="s">
        <v>16</v>
      </c>
      <c r="L21" s="47">
        <f t="shared" si="0"/>
        <v>273.036</v>
      </c>
    </row>
    <row r="22" spans="4:12">
      <c r="D22" s="1" t="s">
        <v>72</v>
      </c>
      <c r="G22"/>
      <c r="H22" s="8" t="s">
        <v>63</v>
      </c>
      <c r="I22" s="8">
        <v>2031</v>
      </c>
      <c r="J22" s="8" t="s">
        <v>16</v>
      </c>
      <c r="L22" s="47">
        <f t="shared" ref="L22:L31" si="1">0.06*366*10^9*0.0373/10^6/3</f>
        <v>273.036</v>
      </c>
    </row>
    <row r="23" spans="4:12">
      <c r="D23" s="1" t="s">
        <v>72</v>
      </c>
      <c r="G23"/>
      <c r="H23" s="8" t="s">
        <v>63</v>
      </c>
      <c r="I23" s="8">
        <v>2032</v>
      </c>
      <c r="J23" s="8" t="s">
        <v>16</v>
      </c>
      <c r="L23" s="47">
        <f t="shared" si="1"/>
        <v>273.036</v>
      </c>
    </row>
    <row r="24" spans="4:12">
      <c r="D24" s="1" t="s">
        <v>72</v>
      </c>
      <c r="G24"/>
      <c r="H24" s="8" t="s">
        <v>63</v>
      </c>
      <c r="I24" s="8">
        <v>2033</v>
      </c>
      <c r="J24" s="8" t="s">
        <v>16</v>
      </c>
      <c r="L24" s="47">
        <f t="shared" si="1"/>
        <v>273.036</v>
      </c>
    </row>
    <row r="25" spans="4:12">
      <c r="D25" s="1" t="s">
        <v>72</v>
      </c>
      <c r="G25"/>
      <c r="H25" s="8" t="s">
        <v>63</v>
      </c>
      <c r="I25" s="8">
        <v>2034</v>
      </c>
      <c r="J25" s="8" t="s">
        <v>16</v>
      </c>
      <c r="L25" s="47">
        <f t="shared" si="1"/>
        <v>273.036</v>
      </c>
    </row>
    <row r="26" spans="4:12">
      <c r="D26" s="1" t="s">
        <v>72</v>
      </c>
      <c r="G26"/>
      <c r="H26" s="8" t="s">
        <v>63</v>
      </c>
      <c r="I26" s="8">
        <v>2035</v>
      </c>
      <c r="J26" s="8" t="s">
        <v>16</v>
      </c>
      <c r="L26" s="47">
        <f t="shared" si="1"/>
        <v>273.036</v>
      </c>
    </row>
    <row r="27" spans="4:12">
      <c r="D27" s="1" t="s">
        <v>72</v>
      </c>
      <c r="G27"/>
      <c r="H27" s="8" t="s">
        <v>63</v>
      </c>
      <c r="I27" s="8">
        <v>2036</v>
      </c>
      <c r="J27" s="8" t="s">
        <v>16</v>
      </c>
      <c r="L27" s="47">
        <f t="shared" si="1"/>
        <v>273.036</v>
      </c>
    </row>
    <row r="28" spans="4:12">
      <c r="D28" s="1" t="s">
        <v>72</v>
      </c>
      <c r="G28"/>
      <c r="H28" s="8" t="s">
        <v>63</v>
      </c>
      <c r="I28" s="8">
        <v>2037</v>
      </c>
      <c r="J28" s="8" t="s">
        <v>16</v>
      </c>
      <c r="L28" s="47">
        <f t="shared" si="1"/>
        <v>273.036</v>
      </c>
    </row>
    <row r="29" spans="4:12">
      <c r="D29" s="1" t="s">
        <v>72</v>
      </c>
      <c r="G29"/>
      <c r="H29" s="8" t="s">
        <v>63</v>
      </c>
      <c r="I29" s="8">
        <v>2038</v>
      </c>
      <c r="J29" s="8" t="s">
        <v>16</v>
      </c>
      <c r="L29" s="47">
        <f t="shared" si="1"/>
        <v>273.036</v>
      </c>
    </row>
    <row r="30" spans="4:12">
      <c r="D30" s="1" t="s">
        <v>72</v>
      </c>
      <c r="G30"/>
      <c r="H30" s="8" t="s">
        <v>63</v>
      </c>
      <c r="I30" s="8">
        <v>2039</v>
      </c>
      <c r="J30" s="8" t="s">
        <v>16</v>
      </c>
      <c r="L30" s="47">
        <f t="shared" si="1"/>
        <v>273.036</v>
      </c>
    </row>
    <row r="31" spans="4:12">
      <c r="D31" s="1" t="s">
        <v>72</v>
      </c>
      <c r="G31"/>
      <c r="H31" s="8" t="s">
        <v>63</v>
      </c>
      <c r="I31" s="8">
        <v>2040</v>
      </c>
      <c r="J31" s="8" t="s">
        <v>16</v>
      </c>
      <c r="L31" s="47">
        <f t="shared" si="1"/>
        <v>273.036</v>
      </c>
    </row>
    <row r="32" spans="4:12">
      <c r="D32" s="1" t="s">
        <v>72</v>
      </c>
      <c r="G32"/>
      <c r="H32" s="8" t="s">
        <v>63</v>
      </c>
      <c r="I32" s="8">
        <v>2041</v>
      </c>
      <c r="J32" s="8" t="s">
        <v>16</v>
      </c>
      <c r="L32" s="47">
        <f t="shared" ref="L32:L41" si="2">0.06*366*10^9*0.0373/10^6/3</f>
        <v>273.036</v>
      </c>
    </row>
    <row r="33" spans="4:12">
      <c r="D33" s="1" t="s">
        <v>72</v>
      </c>
      <c r="G33"/>
      <c r="H33" s="8" t="s">
        <v>63</v>
      </c>
      <c r="I33" s="8">
        <v>2042</v>
      </c>
      <c r="J33" s="8" t="s">
        <v>16</v>
      </c>
      <c r="L33" s="47">
        <f t="shared" si="2"/>
        <v>273.036</v>
      </c>
    </row>
    <row r="34" spans="4:12">
      <c r="D34" s="1" t="s">
        <v>72</v>
      </c>
      <c r="G34"/>
      <c r="H34" s="8" t="s">
        <v>63</v>
      </c>
      <c r="I34" s="8">
        <v>2043</v>
      </c>
      <c r="J34" s="8" t="s">
        <v>16</v>
      </c>
      <c r="L34" s="47">
        <f t="shared" si="2"/>
        <v>273.036</v>
      </c>
    </row>
    <row r="35" spans="4:12">
      <c r="D35" s="1" t="s">
        <v>72</v>
      </c>
      <c r="G35"/>
      <c r="H35" s="8" t="s">
        <v>63</v>
      </c>
      <c r="I35" s="8">
        <v>2044</v>
      </c>
      <c r="J35" s="8" t="s">
        <v>16</v>
      </c>
      <c r="L35" s="47">
        <f t="shared" si="2"/>
        <v>273.036</v>
      </c>
    </row>
    <row r="36" spans="4:12">
      <c r="D36" s="1" t="s">
        <v>72</v>
      </c>
      <c r="G36"/>
      <c r="H36" s="8" t="s">
        <v>63</v>
      </c>
      <c r="I36" s="8">
        <v>2045</v>
      </c>
      <c r="J36" s="8" t="s">
        <v>16</v>
      </c>
      <c r="L36" s="47">
        <f t="shared" si="2"/>
        <v>273.036</v>
      </c>
    </row>
    <row r="37" spans="4:12">
      <c r="D37" s="1" t="s">
        <v>72</v>
      </c>
      <c r="G37"/>
      <c r="H37" s="8" t="s">
        <v>63</v>
      </c>
      <c r="I37" s="8">
        <v>2046</v>
      </c>
      <c r="J37" s="8" t="s">
        <v>16</v>
      </c>
      <c r="L37" s="47">
        <f t="shared" si="2"/>
        <v>273.036</v>
      </c>
    </row>
    <row r="38" spans="4:12">
      <c r="D38" s="1" t="s">
        <v>72</v>
      </c>
      <c r="G38"/>
      <c r="H38" s="8" t="s">
        <v>63</v>
      </c>
      <c r="I38" s="8">
        <v>2047</v>
      </c>
      <c r="J38" s="8" t="s">
        <v>16</v>
      </c>
      <c r="L38" s="47">
        <f t="shared" si="2"/>
        <v>273.036</v>
      </c>
    </row>
    <row r="39" spans="4:12">
      <c r="D39" s="1" t="s">
        <v>72</v>
      </c>
      <c r="G39"/>
      <c r="H39" s="8" t="s">
        <v>63</v>
      </c>
      <c r="I39" s="8">
        <v>2048</v>
      </c>
      <c r="J39" s="8" t="s">
        <v>16</v>
      </c>
      <c r="L39" s="47">
        <f t="shared" si="2"/>
        <v>273.036</v>
      </c>
    </row>
    <row r="40" spans="4:12">
      <c r="D40" s="1" t="s">
        <v>72</v>
      </c>
      <c r="G40"/>
      <c r="H40" s="8" t="s">
        <v>63</v>
      </c>
      <c r="I40" s="8">
        <v>2049</v>
      </c>
      <c r="J40" s="8" t="s">
        <v>16</v>
      </c>
      <c r="L40" s="47">
        <f t="shared" si="2"/>
        <v>273.036</v>
      </c>
    </row>
    <row r="41" spans="4:12">
      <c r="D41" s="1" t="s">
        <v>72</v>
      </c>
      <c r="G41"/>
      <c r="H41" s="8" t="s">
        <v>63</v>
      </c>
      <c r="I41" s="8">
        <v>2050</v>
      </c>
      <c r="J41" s="8" t="s">
        <v>16</v>
      </c>
      <c r="L41" s="47">
        <f t="shared" si="2"/>
        <v>273.036</v>
      </c>
    </row>
    <row r="45" spans="14:14">
      <c r="N45" s="26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AP325"/>
  <sheetViews>
    <sheetView zoomScale="82" zoomScaleNormal="82" topLeftCell="D1" workbookViewId="0">
      <selection activeCell="M38" sqref="M38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60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74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hidden="1" spans="3:42">
      <c r="C11" s="41"/>
      <c r="D11" s="25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>W11/AJ11</f>
        <v>266.574866810655</v>
      </c>
      <c r="M11" s="8">
        <f t="shared" ref="M11:R11" si="0">X11/AK11</f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hidden="1" spans="3:42">
      <c r="C12" s="42"/>
      <c r="D12" s="25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L75" si="2">W12/AJ12</f>
        <v>372.571546346293</v>
      </c>
      <c r="M12" s="8">
        <f t="shared" ref="M12:M75" si="3">X12/AK12</f>
        <v>11.8358234113571</v>
      </c>
      <c r="N12" s="8">
        <f t="shared" ref="N12:N75" si="4">Y12/AL12</f>
        <v>98.2184221562275</v>
      </c>
      <c r="O12" s="8">
        <f t="shared" ref="O12:O75" si="5">Z12/AM12</f>
        <v>0.188318401187905</v>
      </c>
      <c r="P12" s="8">
        <f t="shared" ref="P12:P75" si="6">AA12/AN12</f>
        <v>99.346254049676</v>
      </c>
      <c r="Q12" s="8">
        <f t="shared" ref="Q12:Q75" si="7">AB12/AO12</f>
        <v>0.778896498200145</v>
      </c>
      <c r="R12" s="8">
        <f t="shared" ref="R12:R75" si="8">AC12/AP12</f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85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hidden="1" spans="4:42">
      <c r="D13" s="25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si="2"/>
        <v>0.187886969042477</v>
      </c>
      <c r="M13" s="8">
        <f t="shared" si="3"/>
        <v>2.21577829949604</v>
      </c>
      <c r="N13" s="8">
        <f t="shared" si="4"/>
        <v>0.0122349892008639</v>
      </c>
      <c r="O13" s="8">
        <f t="shared" si="5"/>
        <v>0.196936273098152</v>
      </c>
      <c r="P13" s="8">
        <f t="shared" si="6"/>
        <v>1.02079121670266</v>
      </c>
      <c r="Q13" s="8">
        <f t="shared" si="7"/>
        <v>6.68061291096713</v>
      </c>
      <c r="R13" s="8">
        <f t="shared" si="8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86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5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si="2"/>
        <v>9.02182456413796</v>
      </c>
      <c r="M14" s="8">
        <f t="shared" si="3"/>
        <v>239.361263392785</v>
      </c>
      <c r="N14" s="8">
        <f t="shared" si="4"/>
        <v>12.5773461772542</v>
      </c>
      <c r="O14" s="8">
        <f t="shared" si="5"/>
        <v>134.124395990589</v>
      </c>
      <c r="P14" s="8">
        <f t="shared" si="6"/>
        <v>144.749155292319</v>
      </c>
      <c r="Q14" s="8">
        <f t="shared" si="7"/>
        <v>720.786376388858</v>
      </c>
      <c r="R14" s="8">
        <f t="shared" si="8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87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hidden="1" spans="4:42">
      <c r="D15" s="25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4">
        <v>32.6480421540679</v>
      </c>
      <c r="Q15" s="8">
        <f t="shared" si="7"/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89</v>
      </c>
      <c r="AJ15" s="45">
        <v>1</v>
      </c>
      <c r="AK15" s="45">
        <v>1</v>
      </c>
      <c r="AL15" s="45">
        <f t="shared" ref="AL15:AP15" si="12">AK15</f>
        <v>1</v>
      </c>
      <c r="AM15" s="45">
        <f t="shared" si="12"/>
        <v>1</v>
      </c>
      <c r="AN15" s="45">
        <f t="shared" si="12"/>
        <v>1</v>
      </c>
      <c r="AO15" s="45">
        <f t="shared" si="12"/>
        <v>1</v>
      </c>
      <c r="AP15" s="45">
        <f t="shared" si="12"/>
        <v>1</v>
      </c>
    </row>
    <row r="16" ht="16" spans="4:42">
      <c r="D16" s="25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si="2"/>
        <v>0.641186192584593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0.0300581751547876</v>
      </c>
      <c r="P16" s="8">
        <f t="shared" si="6"/>
        <v>20.2886954931605</v>
      </c>
      <c r="Q16" s="8">
        <f t="shared" si="7"/>
        <v>0.109915518142549</v>
      </c>
      <c r="R16" s="8">
        <f t="shared" si="8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90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5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si="2"/>
        <v>19.6278420554356</v>
      </c>
      <c r="M17" s="8">
        <f t="shared" si="3"/>
        <v>10.8931014612419</v>
      </c>
      <c r="N17" s="8">
        <f t="shared" si="4"/>
        <v>2.95705171202304</v>
      </c>
      <c r="O17" s="8">
        <f t="shared" si="5"/>
        <v>3.3795993912887</v>
      </c>
      <c r="P17" s="8">
        <f t="shared" si="6"/>
        <v>47.4038760979122</v>
      </c>
      <c r="Q17" s="8">
        <f t="shared" si="7"/>
        <v>40.7592956443484</v>
      </c>
      <c r="R17" s="8">
        <f t="shared" si="8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91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hidden="1" spans="4:42">
      <c r="D18" s="25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si="2"/>
        <v>18.3557504576777</v>
      </c>
      <c r="M18" s="8">
        <f t="shared" si="3"/>
        <v>40.4756485216189</v>
      </c>
      <c r="N18" s="8">
        <f t="shared" si="4"/>
        <v>1.12363041550962</v>
      </c>
      <c r="O18" s="8">
        <f t="shared" si="5"/>
        <v>0.82176283040214</v>
      </c>
      <c r="P18" s="8">
        <f t="shared" si="6"/>
        <v>11.3133806438342</v>
      </c>
      <c r="Q18" s="8">
        <f t="shared" si="7"/>
        <v>13.4671333024787</v>
      </c>
      <c r="R18" s="8">
        <f t="shared" si="8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hidden="1" spans="4:42">
      <c r="D19" s="25"/>
      <c r="F19" s="8" t="s">
        <v>83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hidden="1" spans="4:42">
      <c r="D20" s="25"/>
      <c r="F20" s="8" t="s">
        <v>83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</v>
      </c>
      <c r="M20" s="8">
        <f t="shared" si="3"/>
        <v>17.040407611951</v>
      </c>
      <c r="N20" s="8">
        <f t="shared" si="4"/>
        <v>99.8375296076315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</v>
      </c>
      <c r="R20" s="8">
        <f t="shared" si="8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hidden="1" spans="4:42">
      <c r="D21" s="25"/>
      <c r="F21" s="8" t="s">
        <v>83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</v>
      </c>
      <c r="M21" s="8">
        <f t="shared" si="3"/>
        <v>2.23884935145188</v>
      </c>
      <c r="N21" s="8">
        <f t="shared" si="4"/>
        <v>0.0122349892008639</v>
      </c>
      <c r="O21" s="8">
        <f t="shared" si="5"/>
        <v>0.202474522678186</v>
      </c>
      <c r="P21" s="8">
        <f t="shared" si="6"/>
        <v>1.12022678185745</v>
      </c>
      <c r="Q21" s="8">
        <f t="shared" si="7"/>
        <v>6.67702160067193</v>
      </c>
      <c r="R21" s="8">
        <f t="shared" si="8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5"/>
      <c r="F22" s="8" t="s">
        <v>83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</v>
      </c>
      <c r="M22" s="8">
        <f t="shared" si="3"/>
        <v>239.562161926551</v>
      </c>
      <c r="N22" s="8">
        <f t="shared" si="4"/>
        <v>9.25741795254318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744.391011853072</v>
      </c>
      <c r="R22" s="8">
        <f t="shared" si="8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hidden="1" spans="4:42">
      <c r="D23" s="25"/>
      <c r="F23" s="8" t="s">
        <v>83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4">
        <v>19.7069732915769</v>
      </c>
      <c r="Q23" s="8">
        <f t="shared" si="7"/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5"/>
      <c r="F24" s="8" t="s">
        <v>83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0.0372575992080634</v>
      </c>
      <c r="P24" s="8">
        <f t="shared" si="6"/>
        <v>20.6121506191505</v>
      </c>
      <c r="Q24" s="8">
        <f t="shared" si="7"/>
        <v>0.120714654211663</v>
      </c>
      <c r="R24" s="8">
        <f t="shared" si="8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5"/>
      <c r="F25" s="8" t="s">
        <v>83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</v>
      </c>
      <c r="M25" s="8">
        <f t="shared" si="3"/>
        <v>7.29698915022678</v>
      </c>
      <c r="N25" s="8">
        <f t="shared" si="4"/>
        <v>3.13314832469402</v>
      </c>
      <c r="O25" s="8">
        <f t="shared" si="5"/>
        <v>3.41609802663787</v>
      </c>
      <c r="P25" s="8">
        <f t="shared" si="6"/>
        <v>44.7068942044636</v>
      </c>
      <c r="Q25" s="8">
        <f t="shared" si="7"/>
        <v>37.1595836213103</v>
      </c>
      <c r="R25" s="8">
        <f t="shared" si="8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hidden="1" spans="4:42">
      <c r="D26" s="25"/>
      <c r="F26" s="8" t="s">
        <v>83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</v>
      </c>
      <c r="M26" s="8">
        <f t="shared" si="3"/>
        <v>41.7663715528334</v>
      </c>
      <c r="N26" s="8">
        <f t="shared" si="4"/>
        <v>1.12991862079605</v>
      </c>
      <c r="O26" s="8">
        <f t="shared" si="5"/>
        <v>0.832006582330557</v>
      </c>
      <c r="P26" s="8">
        <f t="shared" si="6"/>
        <v>12.289220662347</v>
      </c>
      <c r="Q26" s="8">
        <f t="shared" si="7"/>
        <v>13.3829393088553</v>
      </c>
      <c r="R26" s="8">
        <f t="shared" si="8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hidden="1" spans="4:42">
      <c r="D27" s="25"/>
      <c r="F27" s="8" t="s">
        <v>83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134.814367966352</v>
      </c>
      <c r="M27" s="8">
        <f t="shared" si="3"/>
        <v>0</v>
      </c>
      <c r="N27" s="8">
        <f t="shared" si="4"/>
        <v>74.6413944431813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hidden="1" spans="4:42">
      <c r="D28" s="25"/>
      <c r="F28" s="8" t="s">
        <v>83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481.51730273578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97.5661816954642</v>
      </c>
      <c r="Q28" s="8">
        <f t="shared" si="7"/>
        <v>2.68789715442765</v>
      </c>
      <c r="R28" s="8">
        <f t="shared" si="8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hidden="1" spans="4:42">
      <c r="D29" s="25"/>
      <c r="F29" s="8" t="s">
        <v>83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</v>
      </c>
      <c r="M29" s="8">
        <f t="shared" si="3"/>
        <v>2.54425610475162</v>
      </c>
      <c r="N29" s="8">
        <f t="shared" si="4"/>
        <v>0.0122349892008639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83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8.3538367660484</v>
      </c>
      <c r="M30" s="8">
        <f t="shared" si="3"/>
        <v>221.190646442223</v>
      </c>
      <c r="N30" s="8">
        <f t="shared" si="4"/>
        <v>14.337331930559</v>
      </c>
      <c r="O30" s="8">
        <f t="shared" si="5"/>
        <v>136.365703650925</v>
      </c>
      <c r="P30" s="8">
        <f t="shared" si="6"/>
        <v>145.033095863671</v>
      </c>
      <c r="Q30" s="8">
        <f t="shared" si="7"/>
        <v>726.419310042826</v>
      </c>
      <c r="R30" s="8">
        <f t="shared" si="8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hidden="1" spans="4:42">
      <c r="D31" s="25"/>
      <c r="F31" s="8" t="s">
        <v>83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4">
        <v>11.4214182519801</v>
      </c>
      <c r="Q31" s="8">
        <f t="shared" si="7"/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83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6.58953784737221</v>
      </c>
      <c r="M32" s="8">
        <f t="shared" si="3"/>
        <v>0.119514398228942</v>
      </c>
      <c r="N32" s="8">
        <f t="shared" si="4"/>
        <v>0.2232876174946</v>
      </c>
      <c r="O32" s="8">
        <f t="shared" si="5"/>
        <v>0.0552561593232541</v>
      </c>
      <c r="P32" s="8">
        <f t="shared" si="6"/>
        <v>21.5674648236141</v>
      </c>
      <c r="Q32" s="8">
        <f t="shared" si="7"/>
        <v>0.10631580611951</v>
      </c>
      <c r="R32" s="8">
        <f t="shared" si="8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83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36.5776192944564</v>
      </c>
      <c r="M33" s="8">
        <f t="shared" si="3"/>
        <v>7.31959329709503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</v>
      </c>
      <c r="Q33" s="8">
        <f t="shared" si="7"/>
        <v>51.5584317134629</v>
      </c>
      <c r="R33" s="8">
        <f t="shared" si="8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hidden="1" spans="4:42">
      <c r="D34" s="25"/>
      <c r="F34" s="8" t="s">
        <v>83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57.0245121944257</v>
      </c>
      <c r="N34" s="8">
        <f t="shared" si="4"/>
        <v>2.53789365730741</v>
      </c>
      <c r="O34" s="8">
        <f t="shared" si="5"/>
        <v>0.82822174226062</v>
      </c>
      <c r="P34" s="8">
        <f t="shared" si="6"/>
        <v>11.0159818471665</v>
      </c>
      <c r="Q34" s="8">
        <f t="shared" si="7"/>
        <v>16.1452940553327</v>
      </c>
      <c r="R34" s="8">
        <f t="shared" si="8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hidden="1" spans="4:42">
      <c r="D35" s="25"/>
      <c r="F35" s="8" t="s">
        <v>83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67.4554973854724</v>
      </c>
      <c r="M35" s="8">
        <f t="shared" si="3"/>
        <v>0</v>
      </c>
      <c r="N35" s="8">
        <f t="shared" si="4"/>
        <v>63.6443476185063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hidden="1" spans="4:42">
      <c r="D36" s="25"/>
      <c r="F36" s="8" t="s">
        <v>83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543.701132019438</v>
      </c>
      <c r="M36" s="8">
        <f t="shared" si="3"/>
        <v>17.6864128670806</v>
      </c>
      <c r="N36" s="8">
        <f t="shared" si="4"/>
        <v>106.479305795536</v>
      </c>
      <c r="O36" s="8">
        <f t="shared" si="5"/>
        <v>1.58871766558675</v>
      </c>
      <c r="P36" s="8">
        <f t="shared" si="6"/>
        <v>101.832385979122</v>
      </c>
      <c r="Q36" s="8">
        <f t="shared" si="7"/>
        <v>2.36336343322534</v>
      </c>
      <c r="R36" s="8">
        <f t="shared" si="8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hidden="1" spans="4:42">
      <c r="D37" s="25"/>
      <c r="F37" s="8" t="s">
        <v>83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</v>
      </c>
      <c r="M37" s="8">
        <f t="shared" si="3"/>
        <v>2.781135312455</v>
      </c>
      <c r="N37" s="8">
        <f t="shared" si="4"/>
        <v>0.0122349892008639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83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6.12718069441042</v>
      </c>
      <c r="M38" s="8">
        <f t="shared" si="3"/>
        <v>223.795590925386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</v>
      </c>
      <c r="Q38" s="8">
        <f t="shared" si="7"/>
        <v>726.148560115191</v>
      </c>
      <c r="R38" s="8">
        <f t="shared" si="8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hidden="1" spans="4:42">
      <c r="D39" s="25"/>
      <c r="F39" s="8" t="s">
        <v>83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4">
        <v>15.8890492455002</v>
      </c>
      <c r="Q39" s="8">
        <f t="shared" si="7"/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83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8.40833423686105</v>
      </c>
      <c r="M40" s="8">
        <f t="shared" si="3"/>
        <v>0.174343323556515</v>
      </c>
      <c r="N40" s="8">
        <f t="shared" si="4"/>
        <v>0.536462563354932</v>
      </c>
      <c r="O40" s="8">
        <f t="shared" si="5"/>
        <v>0.0624555833693305</v>
      </c>
      <c r="P40" s="8">
        <f t="shared" si="6"/>
        <v>29.0888871562275</v>
      </c>
      <c r="Q40" s="8">
        <f t="shared" si="7"/>
        <v>0.10631580611951</v>
      </c>
      <c r="R40" s="8">
        <f t="shared" si="8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83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</v>
      </c>
      <c r="M41" s="8">
        <f t="shared" si="3"/>
        <v>7.31959329709503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</v>
      </c>
      <c r="Q41" s="8">
        <f t="shared" si="7"/>
        <v>51.5584317134629</v>
      </c>
      <c r="R41" s="8">
        <f t="shared" si="8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hidden="1" spans="4:42">
      <c r="D42" s="25"/>
      <c r="F42" s="8" t="s">
        <v>83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</v>
      </c>
      <c r="M42" s="8">
        <f t="shared" si="3"/>
        <v>44.5660675334671</v>
      </c>
      <c r="N42" s="8">
        <f t="shared" si="4"/>
        <v>2.82692574102643</v>
      </c>
      <c r="O42" s="8">
        <f t="shared" si="5"/>
        <v>0.808879282114574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hidden="1" spans="4:42">
      <c r="D43" s="25"/>
      <c r="F43" s="8" t="s">
        <v>83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57.3768216437421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hidden="1" spans="4:42">
      <c r="D44" s="25"/>
      <c r="F44" s="8" t="s">
        <v>83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614.308178905687</v>
      </c>
      <c r="M44" s="8">
        <f t="shared" si="3"/>
        <v>18.8830492233621</v>
      </c>
      <c r="N44" s="8">
        <f t="shared" si="4"/>
        <v>98.5614316954642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4.4076190712743</v>
      </c>
      <c r="R44" s="8">
        <f t="shared" si="8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hidden="1" spans="4:42">
      <c r="D45" s="25"/>
      <c r="F45" s="8" t="s">
        <v>83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</v>
      </c>
      <c r="M45" s="8">
        <f t="shared" si="3"/>
        <v>2.97191751367891</v>
      </c>
      <c r="N45" s="8">
        <f t="shared" si="4"/>
        <v>0.0110114902807775</v>
      </c>
      <c r="O45" s="8">
        <f t="shared" si="5"/>
        <v>0.176477105831533</v>
      </c>
      <c r="P45" s="8">
        <f t="shared" si="6"/>
        <v>0.918712095032397</v>
      </c>
      <c r="Q45" s="8">
        <f t="shared" si="7"/>
        <v>6.92654780057597</v>
      </c>
      <c r="R45" s="8">
        <f t="shared" si="8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83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6.12721077241656</v>
      </c>
      <c r="M46" s="8">
        <f t="shared" si="3"/>
        <v>223.172064647488</v>
      </c>
      <c r="N46" s="8">
        <f t="shared" si="4"/>
        <v>11.2650902080411</v>
      </c>
      <c r="O46" s="8">
        <f t="shared" si="5"/>
        <v>112.251551364551</v>
      </c>
      <c r="P46" s="8">
        <f t="shared" si="6"/>
        <v>136.733381391344</v>
      </c>
      <c r="Q46" s="8">
        <f t="shared" si="7"/>
        <v>739.780749333868</v>
      </c>
      <c r="R46" s="8">
        <f t="shared" si="8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hidden="1" spans="4:42">
      <c r="D47" s="25"/>
      <c r="F47" s="8" t="s">
        <v>83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4">
        <v>33.4415695838728</v>
      </c>
      <c r="Q47" s="8">
        <f t="shared" si="7"/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83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8.40833423686105</v>
      </c>
      <c r="M48" s="8">
        <f t="shared" si="3"/>
        <v>0.876595801670266</v>
      </c>
      <c r="N48" s="8">
        <f t="shared" si="4"/>
        <v>0.536462563354932</v>
      </c>
      <c r="O48" s="8">
        <f t="shared" si="5"/>
        <v>0.0624555833693305</v>
      </c>
      <c r="P48" s="8">
        <f t="shared" si="6"/>
        <v>29.4108854391649</v>
      </c>
      <c r="Q48" s="8">
        <f t="shared" si="7"/>
        <v>0.10631580611951</v>
      </c>
      <c r="R48" s="8">
        <f t="shared" si="8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83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</v>
      </c>
      <c r="M49" s="8">
        <f t="shared" si="3"/>
        <v>7.28356815217063</v>
      </c>
      <c r="N49" s="8">
        <f t="shared" si="4"/>
        <v>20.1766753455724</v>
      </c>
      <c r="O49" s="8">
        <f t="shared" si="5"/>
        <v>1.94424550071994</v>
      </c>
      <c r="P49" s="8">
        <f t="shared" si="6"/>
        <v>66.8118329013679</v>
      </c>
      <c r="Q49" s="8">
        <f t="shared" si="7"/>
        <v>53.9221041396688</v>
      </c>
      <c r="R49" s="8">
        <f t="shared" si="8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hidden="1" spans="4:42">
      <c r="D50" s="25"/>
      <c r="F50" s="8" t="s">
        <v>83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18.6652114059447</v>
      </c>
      <c r="M50" s="8">
        <f t="shared" si="3"/>
        <v>38.8267595887689</v>
      </c>
      <c r="N50" s="8">
        <f t="shared" si="4"/>
        <v>2.09366947649902</v>
      </c>
      <c r="O50" s="8">
        <f t="shared" si="5"/>
        <v>0.64116877548082</v>
      </c>
      <c r="P50" s="8">
        <f t="shared" si="6"/>
        <v>19.771069577291</v>
      </c>
      <c r="Q50" s="8">
        <f t="shared" si="7"/>
        <v>16.3611969351023</v>
      </c>
      <c r="R50" s="8">
        <f t="shared" si="8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hidden="1" spans="4:42">
      <c r="D51" s="25"/>
      <c r="F51" s="8" t="s">
        <v>83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hidden="1" spans="4:42">
      <c r="D52" s="25"/>
      <c r="F52" s="8" t="s">
        <v>83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638.605372030238</v>
      </c>
      <c r="M52" s="8">
        <f t="shared" si="3"/>
        <v>31.7055542107632</v>
      </c>
      <c r="N52" s="8">
        <f t="shared" si="4"/>
        <v>96.772845212383</v>
      </c>
      <c r="O52" s="8">
        <f t="shared" si="5"/>
        <v>1.5913871112311</v>
      </c>
      <c r="P52" s="8">
        <f t="shared" si="6"/>
        <v>85.8985171076315</v>
      </c>
      <c r="Q52" s="8">
        <f t="shared" si="7"/>
        <v>0.0408798826673865</v>
      </c>
      <c r="R52" s="8">
        <f t="shared" si="8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hidden="1" spans="4:42">
      <c r="D53" s="25"/>
      <c r="F53" s="8" t="s">
        <v>83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</v>
      </c>
      <c r="Q53" s="8">
        <f t="shared" si="7"/>
        <v>6.67669701703863</v>
      </c>
      <c r="R53" s="8">
        <f t="shared" si="8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83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6.12721077241656</v>
      </c>
      <c r="M54" s="8">
        <f t="shared" si="3"/>
        <v>236.35594320174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hidden="1" spans="4:42">
      <c r="D55" s="25"/>
      <c r="F55" s="8" t="s">
        <v>83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4">
        <v>15.9089159481644</v>
      </c>
      <c r="Q55" s="8">
        <f t="shared" si="7"/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83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</v>
      </c>
      <c r="M56" s="8">
        <f t="shared" si="3"/>
        <v>2.79446530771418</v>
      </c>
      <c r="N56" s="8">
        <f t="shared" si="4"/>
        <v>0.536462563354932</v>
      </c>
      <c r="O56" s="8">
        <f t="shared" si="5"/>
        <v>0.0624555833693305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83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</v>
      </c>
      <c r="M57" s="8">
        <f t="shared" si="3"/>
        <v>8.49431836418287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64.206473650108</v>
      </c>
      <c r="Q57" s="8">
        <f t="shared" si="7"/>
        <v>53.9221041396688</v>
      </c>
      <c r="R57" s="8">
        <f t="shared" si="8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hidden="1" spans="4:42">
      <c r="D58" s="25"/>
      <c r="F58" s="8" t="s">
        <v>83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</v>
      </c>
      <c r="M58" s="8">
        <f t="shared" si="3"/>
        <v>38.9265252565051</v>
      </c>
      <c r="N58" s="8">
        <f t="shared" si="4"/>
        <v>1.61929999691453</v>
      </c>
      <c r="O58" s="8">
        <f t="shared" si="5"/>
        <v>0.794086103877403</v>
      </c>
      <c r="P58" s="8">
        <f t="shared" si="6"/>
        <v>11.3619812917824</v>
      </c>
      <c r="Q58" s="8">
        <f t="shared" si="7"/>
        <v>13.5098419726422</v>
      </c>
      <c r="R58" s="8">
        <f t="shared" si="8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hidden="1" spans="4:42">
      <c r="D59" s="25"/>
      <c r="F59" s="8" t="s">
        <v>83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hidden="1" spans="4:42">
      <c r="D60" s="25"/>
      <c r="F60" s="8" t="s">
        <v>83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</v>
      </c>
      <c r="M60" s="8">
        <f t="shared" si="3"/>
        <v>33.1691657181425</v>
      </c>
      <c r="N60" s="8">
        <f t="shared" si="4"/>
        <v>98.3443663606912</v>
      </c>
      <c r="O60" s="8">
        <f t="shared" si="5"/>
        <v>1.58806034917207</v>
      </c>
      <c r="P60" s="8">
        <f t="shared" si="6"/>
        <v>108.705422786177</v>
      </c>
      <c r="Q60" s="8">
        <f t="shared" si="7"/>
        <v>0.0495400831983442</v>
      </c>
      <c r="R60" s="8">
        <f t="shared" si="8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hidden="1" spans="4:42">
      <c r="D61" s="25"/>
      <c r="F61" s="8" t="s">
        <v>83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</v>
      </c>
      <c r="M61" s="8">
        <f t="shared" si="3"/>
        <v>2.24099557271418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</v>
      </c>
      <c r="Q61" s="8">
        <f t="shared" si="7"/>
        <v>3.85952723782097</v>
      </c>
      <c r="R61" s="8">
        <f t="shared" si="8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83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6.12721077241656</v>
      </c>
      <c r="M62" s="8">
        <f t="shared" si="3"/>
        <v>236.670295125544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</v>
      </c>
      <c r="Q62" s="8">
        <f t="shared" si="7"/>
        <v>839.009518455019</v>
      </c>
      <c r="R62" s="8">
        <f t="shared" si="8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hidden="1" spans="4:42">
      <c r="D63" s="25"/>
      <c r="F63" s="8" t="s">
        <v>83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4">
        <v>14.8479211677468</v>
      </c>
      <c r="Q63" s="8">
        <f t="shared" si="7"/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83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</v>
      </c>
      <c r="M64" s="8">
        <f t="shared" si="3"/>
        <v>3.31862918678546</v>
      </c>
      <c r="N64" s="8">
        <f t="shared" si="4"/>
        <v>0.625952061555076</v>
      </c>
      <c r="O64" s="8">
        <f t="shared" si="5"/>
        <v>0.100037832181425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83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</v>
      </c>
      <c r="M65" s="8">
        <f t="shared" si="3"/>
        <v>9.55877353084953</v>
      </c>
      <c r="N65" s="8">
        <f t="shared" si="4"/>
        <v>25.4366181785457</v>
      </c>
      <c r="O65" s="8">
        <f t="shared" si="5"/>
        <v>2.83354639812815</v>
      </c>
      <c r="P65" s="8">
        <f t="shared" si="6"/>
        <v>73.0401905687545</v>
      </c>
      <c r="Q65" s="8">
        <f t="shared" si="7"/>
        <v>53.9221041396688</v>
      </c>
      <c r="R65" s="8">
        <f t="shared" si="8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hidden="1" spans="4:42">
      <c r="D66" s="25"/>
      <c r="F66" s="8" t="s">
        <v>83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</v>
      </c>
      <c r="M66" s="8">
        <f t="shared" si="3"/>
        <v>38.1744422016869</v>
      </c>
      <c r="N66" s="8">
        <f t="shared" si="4"/>
        <v>1.59322520621207</v>
      </c>
      <c r="O66" s="8">
        <f t="shared" si="5"/>
        <v>0.741616744728994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hidden="1" spans="4:42">
      <c r="D67" s="25"/>
      <c r="F67" s="8" t="s">
        <v>83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hidden="1" spans="4:42">
      <c r="D68" s="25"/>
      <c r="F68" s="8" t="s">
        <v>83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</v>
      </c>
      <c r="M68" s="8">
        <f t="shared" si="3"/>
        <v>35.2941550566955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137.806355561555</v>
      </c>
      <c r="Q68" s="8">
        <f t="shared" si="7"/>
        <v>0.1555490674946</v>
      </c>
      <c r="R68" s="8">
        <f t="shared" si="8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hidden="1" spans="4:42">
      <c r="D69" s="25"/>
      <c r="F69" s="8" t="s">
        <v>83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</v>
      </c>
      <c r="M69" s="8">
        <f t="shared" si="3"/>
        <v>2.51331886729062</v>
      </c>
      <c r="N69" s="8">
        <f t="shared" si="4"/>
        <v>0</v>
      </c>
      <c r="O69" s="8">
        <f t="shared" si="5"/>
        <v>0.196936273098152</v>
      </c>
      <c r="P69" s="8">
        <f t="shared" si="6"/>
        <v>0.97916702663787</v>
      </c>
      <c r="Q69" s="8">
        <f t="shared" si="7"/>
        <v>3.8665778185745</v>
      </c>
      <c r="R69" s="8">
        <f t="shared" si="8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83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6.12721077241656</v>
      </c>
      <c r="M70" s="8">
        <f t="shared" si="3"/>
        <v>236.822735419681</v>
      </c>
      <c r="N70" s="8">
        <f t="shared" si="4"/>
        <v>14.7773697015579</v>
      </c>
      <c r="O70" s="8">
        <f t="shared" si="5"/>
        <v>122.910686802788</v>
      </c>
      <c r="P70" s="8">
        <f t="shared" si="6"/>
        <v>137.022415889203</v>
      </c>
      <c r="Q70" s="8">
        <f t="shared" si="7"/>
        <v>860.663456614193</v>
      </c>
      <c r="R70" s="8">
        <f t="shared" si="8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hidden="1" spans="4:42">
      <c r="D71" s="25"/>
      <c r="F71" s="8" t="s">
        <v>83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4">
        <v>21.7488630323972</v>
      </c>
      <c r="Q71" s="8">
        <f t="shared" si="7"/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83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</v>
      </c>
      <c r="N72" s="8">
        <f t="shared" si="4"/>
        <v>0.715441560115191</v>
      </c>
      <c r="O72" s="8">
        <f t="shared" si="5"/>
        <v>0.13762008099352</v>
      </c>
      <c r="P72" s="8">
        <f t="shared" si="6"/>
        <v>30.3768802951764</v>
      </c>
      <c r="Q72" s="8">
        <f t="shared" si="7"/>
        <v>0.27413179024478</v>
      </c>
      <c r="R72" s="8">
        <f t="shared" si="8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83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58.8256272858171</v>
      </c>
      <c r="M73" s="8">
        <f t="shared" si="3"/>
        <v>10.1990797106551</v>
      </c>
      <c r="N73" s="8">
        <f t="shared" si="4"/>
        <v>27.669166511879</v>
      </c>
      <c r="O73" s="8">
        <f t="shared" si="5"/>
        <v>3.10592450395968</v>
      </c>
      <c r="P73" s="8">
        <f t="shared" si="6"/>
        <v>78.6007591072714</v>
      </c>
      <c r="Q73" s="8">
        <f t="shared" si="7"/>
        <v>53.9221041396688</v>
      </c>
      <c r="R73" s="8">
        <f t="shared" si="8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hidden="1" spans="4:42">
      <c r="D74" s="25"/>
      <c r="F74" s="8" t="s">
        <v>83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</v>
      </c>
      <c r="M74" s="8">
        <f t="shared" si="3"/>
        <v>37.9573144586034</v>
      </c>
      <c r="N74" s="8">
        <f t="shared" si="4"/>
        <v>0.952811356885734</v>
      </c>
      <c r="O74" s="8">
        <f t="shared" si="5"/>
        <v>0.828674277486371</v>
      </c>
      <c r="P74" s="8">
        <f t="shared" si="6"/>
        <v>11.3600980253008</v>
      </c>
      <c r="Q74" s="8">
        <f t="shared" si="7"/>
        <v>13.7852746374576</v>
      </c>
      <c r="R74" s="8">
        <f t="shared" si="8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hidden="1" spans="4:42">
      <c r="D75" s="25"/>
      <c r="F75" s="8" t="s">
        <v>83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hidden="1" spans="4:42">
      <c r="D76" s="25"/>
      <c r="F76" s="8" t="s">
        <v>83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</v>
      </c>
      <c r="M76" s="8">
        <f t="shared" ref="M76:M139" si="135">X76/AK76</f>
        <v>42.9095390028797</v>
      </c>
      <c r="N76" s="8">
        <f t="shared" ref="N76:N139" si="136">Y76/AL76</f>
        <v>103.939488480921</v>
      </c>
      <c r="O76" s="8">
        <f t="shared" ref="O76:O139" si="137">Z76/AM76</f>
        <v>1.358426587473</v>
      </c>
      <c r="P76" s="8">
        <f t="shared" ref="P76:P139" si="138">AA76/AN76</f>
        <v>166.593716612671</v>
      </c>
      <c r="Q76" s="8">
        <f t="shared" ref="Q76:Q139" si="139">AB76/AO76</f>
        <v>6.3896973461123</v>
      </c>
      <c r="R76" s="8">
        <f t="shared" ref="R76:R139" si="140">AC76/AP76</f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hidden="1" spans="4:42">
      <c r="D77" s="25"/>
      <c r="F77" s="8" t="s">
        <v>83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0.0062541396688265</v>
      </c>
      <c r="O77" s="8">
        <f t="shared" si="137"/>
        <v>0.170656493280538</v>
      </c>
      <c r="P77" s="8">
        <f t="shared" si="138"/>
        <v>0.776898164146867</v>
      </c>
      <c r="Q77" s="8">
        <f t="shared" si="139"/>
        <v>5.81441081713463</v>
      </c>
      <c r="R77" s="8">
        <f t="shared" si="140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5"/>
      <c r="F78" s="8" t="s">
        <v>83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6.12721077241656</v>
      </c>
      <c r="M78" s="8">
        <f t="shared" si="135"/>
        <v>236.939959725902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</v>
      </c>
      <c r="Q78" s="8">
        <f t="shared" si="139"/>
        <v>880.342435409291</v>
      </c>
      <c r="R78" s="8">
        <f t="shared" si="140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hidden="1" spans="4:42">
      <c r="D79" s="25"/>
      <c r="F79" s="8" t="s">
        <v>83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4">
        <v>39.4144725716343</v>
      </c>
      <c r="Q79" s="8">
        <f t="shared" si="139"/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5"/>
      <c r="F80" s="8" t="s">
        <v>83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4.36574298065875</v>
      </c>
      <c r="N80" s="8">
        <f t="shared" si="136"/>
        <v>0.804931058315335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</v>
      </c>
      <c r="R80" s="8">
        <f t="shared" si="140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5"/>
      <c r="F81" s="8" t="s">
        <v>83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</v>
      </c>
      <c r="N81" s="8">
        <f t="shared" si="136"/>
        <v>29.8459727177826</v>
      </c>
      <c r="O81" s="8">
        <f t="shared" si="137"/>
        <v>3.3705472275018</v>
      </c>
      <c r="P81" s="8">
        <f t="shared" si="138"/>
        <v>85.3731147228222</v>
      </c>
      <c r="Q81" s="8">
        <f t="shared" si="139"/>
        <v>53.9221041396688</v>
      </c>
      <c r="R81" s="8">
        <f t="shared" si="140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hidden="1" spans="4:42">
      <c r="D82" s="25"/>
      <c r="F82" s="8" t="s">
        <v>83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9.08887096472283</v>
      </c>
      <c r="M82" s="8">
        <f t="shared" si="135"/>
        <v>40.4171790753883</v>
      </c>
      <c r="N82" s="8">
        <f t="shared" si="136"/>
        <v>0.874521066029003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hidden="1" spans="4:42">
      <c r="D83" s="25"/>
      <c r="F83" s="8" t="s">
        <v>83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9.99918267591224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hidden="1" spans="4:42">
      <c r="D84" s="25"/>
      <c r="F84" s="8" t="s">
        <v>83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652.689941594673</v>
      </c>
      <c r="M84" s="8">
        <f t="shared" si="135"/>
        <v>78.4625185935925</v>
      </c>
      <c r="N84" s="8">
        <f t="shared" si="136"/>
        <v>121.971641558675</v>
      </c>
      <c r="O84" s="8">
        <f t="shared" si="137"/>
        <v>0.995123887688985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hidden="1" spans="4:42">
      <c r="D85" s="25"/>
      <c r="F85" s="8" t="s">
        <v>83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0.092773487401008</v>
      </c>
      <c r="M85" s="8">
        <f t="shared" si="135"/>
        <v>2.21103217782577</v>
      </c>
      <c r="N85" s="8">
        <f t="shared" si="136"/>
        <v>0.00406519078473723</v>
      </c>
      <c r="O85" s="8">
        <f t="shared" si="137"/>
        <v>0.121656896808255</v>
      </c>
      <c r="P85" s="8">
        <f t="shared" si="138"/>
        <v>0.50498372786177</v>
      </c>
      <c r="Q85" s="8">
        <f t="shared" si="139"/>
        <v>3.79008767338613</v>
      </c>
      <c r="R85" s="8">
        <f t="shared" si="140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5"/>
      <c r="F86" s="8" t="s">
        <v>83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6.12721077241656</v>
      </c>
      <c r="M86" s="8">
        <f t="shared" si="135"/>
        <v>237.077936691086</v>
      </c>
      <c r="N86" s="8">
        <f t="shared" si="136"/>
        <v>15.2473780439833</v>
      </c>
      <c r="O86" s="8">
        <f t="shared" si="137"/>
        <v>144.547837278172</v>
      </c>
      <c r="P86" s="8">
        <f t="shared" si="138"/>
        <v>140.083557665902</v>
      </c>
      <c r="Q86" s="8">
        <f t="shared" si="139"/>
        <v>895.197634580986</v>
      </c>
      <c r="R86" s="8">
        <f t="shared" si="140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hidden="1" spans="4:42">
      <c r="D87" s="25"/>
      <c r="F87" s="8" t="s">
        <v>83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4">
        <v>54.8149638963283</v>
      </c>
      <c r="Q87" s="8">
        <f t="shared" si="139"/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5"/>
      <c r="F88" s="8" t="s">
        <v>83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</v>
      </c>
      <c r="M88" s="8">
        <f t="shared" si="135"/>
        <v>4.88928987791937</v>
      </c>
      <c r="N88" s="8">
        <f t="shared" si="136"/>
        <v>0.89442055687545</v>
      </c>
      <c r="O88" s="8">
        <f t="shared" si="137"/>
        <v>0.212784578581713</v>
      </c>
      <c r="P88" s="8">
        <f t="shared" si="138"/>
        <v>31.0208768646508</v>
      </c>
      <c r="Q88" s="8">
        <f t="shared" si="139"/>
        <v>0.441947774298056</v>
      </c>
      <c r="R88" s="8">
        <f t="shared" si="14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5"/>
      <c r="F89" s="8" t="s">
        <v>83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67.1102546436285</v>
      </c>
      <c r="M89" s="8">
        <f t="shared" si="135"/>
        <v>11.4831750785817</v>
      </c>
      <c r="N89" s="8">
        <f t="shared" si="136"/>
        <v>32.3397180705544</v>
      </c>
      <c r="O89" s="8">
        <f t="shared" si="137"/>
        <v>3.68601989200864</v>
      </c>
      <c r="P89" s="8">
        <f t="shared" si="138"/>
        <v>91.4756628509719</v>
      </c>
      <c r="Q89" s="8">
        <f t="shared" si="139"/>
        <v>53.9221041396688</v>
      </c>
      <c r="R89" s="8">
        <f t="shared" si="140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hidden="1" spans="4:42">
      <c r="D90" s="25"/>
      <c r="F90" s="8" t="s">
        <v>83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</v>
      </c>
      <c r="M90" s="8">
        <f t="shared" si="135"/>
        <v>35.6937071819397</v>
      </c>
      <c r="N90" s="8">
        <f t="shared" si="136"/>
        <v>0.794927123727246</v>
      </c>
      <c r="O90" s="8">
        <f t="shared" si="137"/>
        <v>0.76473664074874</v>
      </c>
      <c r="P90" s="8">
        <f t="shared" si="138"/>
        <v>11.3318934485241</v>
      </c>
      <c r="Q90" s="8">
        <f t="shared" si="139"/>
        <v>13.8952623572971</v>
      </c>
      <c r="R90" s="8">
        <f t="shared" si="140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hidden="1" spans="4:42">
      <c r="D91" s="25"/>
      <c r="F91" s="8" t="s">
        <v>83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hidden="1" spans="4:42">
      <c r="D92" s="25"/>
      <c r="F92" s="8" t="s">
        <v>83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</v>
      </c>
      <c r="M92" s="8">
        <f t="shared" si="135"/>
        <v>94.955235961123</v>
      </c>
      <c r="N92" s="8">
        <f t="shared" si="136"/>
        <v>126.185941864651</v>
      </c>
      <c r="O92" s="8">
        <f t="shared" si="137"/>
        <v>0.111040181785457</v>
      </c>
      <c r="P92" s="8">
        <f t="shared" si="138"/>
        <v>219.698509989201</v>
      </c>
      <c r="Q92" s="8">
        <f t="shared" si="139"/>
        <v>1.52731791306695</v>
      </c>
      <c r="R92" s="8">
        <f t="shared" si="140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hidden="1" spans="4:42">
      <c r="D93" s="25"/>
      <c r="F93" s="8" t="s">
        <v>83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1.88712694960403</v>
      </c>
      <c r="N93" s="8">
        <f t="shared" si="136"/>
        <v>0</v>
      </c>
      <c r="O93" s="8">
        <f t="shared" si="137"/>
        <v>0.00940136789056877</v>
      </c>
      <c r="P93" s="8">
        <f t="shared" si="138"/>
        <v>0.163931616990641</v>
      </c>
      <c r="Q93" s="8">
        <f t="shared" si="139"/>
        <v>3.8620158387329</v>
      </c>
      <c r="R93" s="8">
        <f t="shared" si="14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5"/>
      <c r="F94" s="8" t="s">
        <v>83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6.12721077241656</v>
      </c>
      <c r="M94" s="8">
        <f t="shared" si="135"/>
        <v>237.143626424112</v>
      </c>
      <c r="N94" s="8">
        <f t="shared" si="136"/>
        <v>15.372333043872</v>
      </c>
      <c r="O94" s="8">
        <f t="shared" si="137"/>
        <v>148.773664506839</v>
      </c>
      <c r="P94" s="8">
        <f t="shared" si="138"/>
        <v>141.783221890702</v>
      </c>
      <c r="Q94" s="8">
        <f t="shared" si="139"/>
        <v>912.096638165854</v>
      </c>
      <c r="R94" s="8">
        <f t="shared" si="140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hidden="1" spans="4:42">
      <c r="D95" s="25"/>
      <c r="F95" s="8" t="s">
        <v>83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4">
        <v>83.2574103686101</v>
      </c>
      <c r="Q95" s="8">
        <f t="shared" si="139"/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5"/>
      <c r="F96" s="8" t="s">
        <v>83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31.3428751475882</v>
      </c>
      <c r="Q96" s="8">
        <f t="shared" si="139"/>
        <v>0.52585576637869</v>
      </c>
      <c r="R96" s="8">
        <f t="shared" si="140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5"/>
      <c r="F97" s="8" t="s">
        <v>83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</v>
      </c>
      <c r="M97" s="8">
        <f t="shared" si="135"/>
        <v>12.1445251689345</v>
      </c>
      <c r="N97" s="8">
        <f t="shared" si="136"/>
        <v>34.7117504463643</v>
      </c>
      <c r="O97" s="8">
        <f t="shared" si="137"/>
        <v>3.95069313534917</v>
      </c>
      <c r="P97" s="8">
        <f t="shared" si="138"/>
        <v>102.751420950324</v>
      </c>
      <c r="Q97" s="8">
        <f t="shared" si="139"/>
        <v>53.9221041396688</v>
      </c>
      <c r="R97" s="8">
        <f t="shared" si="140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hidden="1" spans="4:42">
      <c r="D98" s="25"/>
      <c r="F98" s="8" t="s">
        <v>83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</v>
      </c>
      <c r="N98" s="8">
        <f t="shared" si="136"/>
        <v>0.129959888923172</v>
      </c>
      <c r="O98" s="8">
        <f t="shared" si="137"/>
        <v>0.831761981590043</v>
      </c>
      <c r="P98" s="8">
        <f t="shared" si="138"/>
        <v>12.3572971305153</v>
      </c>
      <c r="Q98" s="8">
        <f t="shared" si="139"/>
        <v>13.9705001645583</v>
      </c>
      <c r="R98" s="8">
        <f t="shared" si="14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hidden="1" spans="4:42">
      <c r="D99" s="25"/>
      <c r="F99" s="8" t="s">
        <v>83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hidden="1" spans="4:42">
      <c r="D100" s="25"/>
      <c r="F100" s="8" t="s">
        <v>83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554.361682685385</v>
      </c>
      <c r="M100" s="8">
        <f t="shared" si="135"/>
        <v>91.9141937473002</v>
      </c>
      <c r="N100" s="8">
        <f t="shared" si="136"/>
        <v>107.762666036717</v>
      </c>
      <c r="O100" s="8">
        <f t="shared" si="137"/>
        <v>0.116798972642188</v>
      </c>
      <c r="P100" s="8">
        <f t="shared" si="138"/>
        <v>182.962099352052</v>
      </c>
      <c r="Q100" s="8">
        <f t="shared" si="139"/>
        <v>1.52023284197264</v>
      </c>
      <c r="R100" s="8">
        <f t="shared" si="140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hidden="1" spans="4:42">
      <c r="D101" s="25"/>
      <c r="F101" s="8" t="s">
        <v>83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2.20324928077754</v>
      </c>
      <c r="N101" s="8">
        <f t="shared" si="136"/>
        <v>0</v>
      </c>
      <c r="O101" s="8">
        <f t="shared" si="137"/>
        <v>0.0109310789056875</v>
      </c>
      <c r="P101" s="8">
        <f t="shared" si="138"/>
        <v>0.163931616990641</v>
      </c>
      <c r="Q101" s="8">
        <f t="shared" si="139"/>
        <v>3.87445884329253</v>
      </c>
      <c r="R101" s="8">
        <f t="shared" si="140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5"/>
      <c r="F102" s="8" t="s">
        <v>83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6.12721077241656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151.418595704096</v>
      </c>
      <c r="P102" s="8">
        <f t="shared" si="138"/>
        <v>143.756633675492</v>
      </c>
      <c r="Q102" s="8">
        <f t="shared" si="139"/>
        <v>920.976807463651</v>
      </c>
      <c r="R102" s="8">
        <f t="shared" si="140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hidden="1" spans="4:42">
      <c r="D103" s="25"/>
      <c r="F103" s="8" t="s">
        <v>83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</v>
      </c>
      <c r="N103" s="8">
        <f t="shared" si="136"/>
        <v>4.35028443484521</v>
      </c>
      <c r="O103" s="8">
        <f t="shared" si="137"/>
        <v>0.224360016954644</v>
      </c>
      <c r="P103" s="34">
        <v>109.265236718503</v>
      </c>
      <c r="Q103" s="8">
        <f t="shared" si="139"/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5"/>
      <c r="F104" s="8" t="s">
        <v>83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</v>
      </c>
      <c r="M104" s="8">
        <f t="shared" si="135"/>
        <v>8.86843644424406</v>
      </c>
      <c r="N104" s="8">
        <f t="shared" si="136"/>
        <v>2.1524052674586</v>
      </c>
      <c r="O104" s="8">
        <f t="shared" si="137"/>
        <v>0.325204629697624</v>
      </c>
      <c r="P104" s="8">
        <f t="shared" si="138"/>
        <v>33.1905861051116</v>
      </c>
      <c r="Q104" s="8">
        <f t="shared" si="139"/>
        <v>0.870490116630669</v>
      </c>
      <c r="R104" s="8">
        <f t="shared" si="140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5"/>
      <c r="F105" s="8" t="s">
        <v>83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</v>
      </c>
      <c r="R105" s="8">
        <f t="shared" si="140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hidden="1" spans="4:42">
      <c r="D106" s="25"/>
      <c r="F106" s="8" t="s">
        <v>83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</v>
      </c>
      <c r="N106" s="8">
        <f t="shared" si="136"/>
        <v>10.4929801707292</v>
      </c>
      <c r="O106" s="8">
        <f t="shared" si="137"/>
        <v>0.857339277074977</v>
      </c>
      <c r="P106" s="8">
        <f t="shared" si="138"/>
        <v>11.9277028180603</v>
      </c>
      <c r="Q106" s="8">
        <f t="shared" si="139"/>
        <v>14.3538365422195</v>
      </c>
      <c r="R106" s="8">
        <f t="shared" si="140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hidden="1" spans="4:42">
      <c r="D107" s="25"/>
      <c r="F107" s="8" t="s">
        <v>83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hidden="1" spans="4:42">
      <c r="D108" s="25"/>
      <c r="F108" s="8" t="s">
        <v>83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</v>
      </c>
      <c r="M108" s="8">
        <f t="shared" si="135"/>
        <v>53.162575074694</v>
      </c>
      <c r="N108" s="8">
        <f t="shared" si="136"/>
        <v>91.2512371310295</v>
      </c>
      <c r="O108" s="8">
        <f t="shared" si="137"/>
        <v>0.126643447804176</v>
      </c>
      <c r="P108" s="8">
        <f t="shared" si="138"/>
        <v>145.794638588913</v>
      </c>
      <c r="Q108" s="8">
        <f t="shared" si="139"/>
        <v>1.49533061555076</v>
      </c>
      <c r="R108" s="8">
        <f t="shared" si="14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hidden="1" spans="4:42">
      <c r="D109" s="25"/>
      <c r="F109" s="8" t="s">
        <v>83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</v>
      </c>
      <c r="N109" s="8">
        <f t="shared" si="136"/>
        <v>0</v>
      </c>
      <c r="O109" s="8">
        <f t="shared" si="137"/>
        <v>0.013071307775378</v>
      </c>
      <c r="P109" s="8">
        <f t="shared" si="138"/>
        <v>0.163931616990641</v>
      </c>
      <c r="Q109" s="8">
        <f t="shared" si="139"/>
        <v>3.87445884329253</v>
      </c>
      <c r="R109" s="8">
        <f t="shared" si="140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5"/>
      <c r="F110" s="8" t="s">
        <v>83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15.3870211863463</v>
      </c>
      <c r="O110" s="8">
        <f t="shared" si="137"/>
        <v>155.461512955253</v>
      </c>
      <c r="P110" s="8">
        <f t="shared" si="138"/>
        <v>146.642813750158</v>
      </c>
      <c r="Q110" s="8">
        <f t="shared" si="139"/>
        <v>929.676195141502</v>
      </c>
      <c r="R110" s="8">
        <f t="shared" si="140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hidden="1" spans="4:42">
      <c r="D111" s="25"/>
      <c r="F111" s="8" t="s">
        <v>83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</v>
      </c>
      <c r="N111" s="8">
        <f t="shared" si="136"/>
        <v>8.48064511159107</v>
      </c>
      <c r="O111" s="8">
        <f t="shared" si="137"/>
        <v>0.453874522678186</v>
      </c>
      <c r="P111" s="34">
        <v>139.925621671706</v>
      </c>
      <c r="Q111" s="8">
        <f t="shared" si="139"/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5"/>
      <c r="F112" s="8" t="s">
        <v>83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3.10010812059035</v>
      </c>
      <c r="O112" s="8">
        <f t="shared" si="137"/>
        <v>0.400042431965443</v>
      </c>
      <c r="P112" s="8">
        <f t="shared" si="138"/>
        <v>35.0814335601152</v>
      </c>
      <c r="Q112" s="8">
        <f t="shared" si="139"/>
        <v>1.21512446688265</v>
      </c>
      <c r="R112" s="8">
        <f t="shared" si="140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5"/>
      <c r="F113" s="8" t="s">
        <v>83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116.859574766019</v>
      </c>
      <c r="M113" s="8">
        <f t="shared" si="135"/>
        <v>19.1898793915767</v>
      </c>
      <c r="N113" s="8">
        <f t="shared" si="136"/>
        <v>39.0796239020878</v>
      </c>
      <c r="O113" s="8">
        <f t="shared" si="137"/>
        <v>3.97951507919366</v>
      </c>
      <c r="P113" s="8">
        <f t="shared" si="138"/>
        <v>155.718433765299</v>
      </c>
      <c r="Q113" s="8">
        <f t="shared" si="139"/>
        <v>54.8275847012239</v>
      </c>
      <c r="R113" s="8">
        <f t="shared" si="14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hidden="1" spans="4:42">
      <c r="D114" s="25"/>
      <c r="F114" s="8" t="s">
        <v>83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</v>
      </c>
      <c r="M114" s="8">
        <f t="shared" si="135"/>
        <v>33.784378818266</v>
      </c>
      <c r="N114" s="8">
        <f t="shared" si="136"/>
        <v>20.2861740203641</v>
      </c>
      <c r="O114" s="8">
        <f t="shared" si="137"/>
        <v>0.818690128663991</v>
      </c>
      <c r="P114" s="8">
        <f t="shared" si="138"/>
        <v>24.5673734238404</v>
      </c>
      <c r="Q114" s="8">
        <f t="shared" si="139"/>
        <v>17.9069774863725</v>
      </c>
      <c r="R114" s="8">
        <f t="shared" si="140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hidden="1" spans="4:42">
      <c r="D115" s="25"/>
      <c r="F115" s="8" t="s">
        <v>83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hidden="1" spans="4:42">
      <c r="D116" s="25"/>
      <c r="F116" s="8" t="s">
        <v>83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</v>
      </c>
      <c r="M116" s="8">
        <f t="shared" si="135"/>
        <v>26.845162236051</v>
      </c>
      <c r="N116" s="8">
        <f t="shared" si="136"/>
        <v>78.8495548776097</v>
      </c>
      <c r="O116" s="8">
        <f t="shared" si="137"/>
        <v>0.138549769258459</v>
      </c>
      <c r="P116" s="8">
        <f t="shared" si="138"/>
        <v>129.922619240461</v>
      </c>
      <c r="Q116" s="8">
        <f t="shared" si="139"/>
        <v>1.43313563534917</v>
      </c>
      <c r="R116" s="8">
        <f t="shared" si="140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hidden="1" spans="4:42">
      <c r="D117" s="25"/>
      <c r="F117" s="8" t="s">
        <v>83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</v>
      </c>
      <c r="N117" s="8">
        <f t="shared" si="136"/>
        <v>0</v>
      </c>
      <c r="O117" s="8">
        <f t="shared" si="137"/>
        <v>0.0138782097432205</v>
      </c>
      <c r="P117" s="8">
        <f t="shared" si="138"/>
        <v>0.163931616990641</v>
      </c>
      <c r="Q117" s="8">
        <f t="shared" si="139"/>
        <v>3.87445884329253</v>
      </c>
      <c r="R117" s="8">
        <f t="shared" si="140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5"/>
      <c r="F118" s="8" t="s">
        <v>83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</v>
      </c>
      <c r="M118" s="8">
        <f t="shared" si="135"/>
        <v>237.130793069627</v>
      </c>
      <c r="N118" s="8">
        <f t="shared" si="136"/>
        <v>15.0065896625177</v>
      </c>
      <c r="O118" s="8">
        <f t="shared" si="137"/>
        <v>159.15593288207</v>
      </c>
      <c r="P118" s="8">
        <f t="shared" si="138"/>
        <v>149.082213674453</v>
      </c>
      <c r="Q118" s="8">
        <f t="shared" si="139"/>
        <v>938.146193953968</v>
      </c>
      <c r="R118" s="8">
        <f t="shared" si="14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hidden="1" spans="4:42">
      <c r="D119" s="25"/>
      <c r="F119" s="8" t="s">
        <v>83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</v>
      </c>
      <c r="N119" s="8">
        <f t="shared" si="136"/>
        <v>12.4169501763859</v>
      </c>
      <c r="O119" s="8">
        <f t="shared" si="137"/>
        <v>0.707004980201584</v>
      </c>
      <c r="P119" s="34">
        <v>168.720880023038</v>
      </c>
      <c r="Q119" s="8">
        <f t="shared" si="139"/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5"/>
      <c r="F120" s="8" t="s">
        <v>83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</v>
      </c>
      <c r="O120" s="8">
        <f t="shared" si="137"/>
        <v>0.474880234341253</v>
      </c>
      <c r="P120" s="8">
        <f t="shared" si="138"/>
        <v>36.9085770338373</v>
      </c>
      <c r="Q120" s="8">
        <f t="shared" si="139"/>
        <v>1.55975881677466</v>
      </c>
      <c r="R120" s="8">
        <f t="shared" si="140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5"/>
      <c r="F121" s="8" t="s">
        <v>83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22.7114987038877</v>
      </c>
      <c r="N121" s="8">
        <f t="shared" si="136"/>
        <v>41.2704267458603</v>
      </c>
      <c r="O121" s="8">
        <f t="shared" si="137"/>
        <v>4.01667804535637</v>
      </c>
      <c r="P121" s="8">
        <f t="shared" si="138"/>
        <v>183.118116594672</v>
      </c>
      <c r="Q121" s="8">
        <f t="shared" si="139"/>
        <v>55.2803249460043</v>
      </c>
      <c r="R121" s="8">
        <f t="shared" si="140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hidden="1" spans="4:42">
      <c r="D122" s="25"/>
      <c r="F122" s="8" t="s">
        <v>83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</v>
      </c>
      <c r="M122" s="8">
        <f t="shared" si="135"/>
        <v>51.3297269215263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27.800833929857</v>
      </c>
      <c r="Q122" s="8">
        <f t="shared" si="139"/>
        <v>18.1251942507457</v>
      </c>
      <c r="R122" s="8">
        <f t="shared" si="140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hidden="1" spans="4:42">
      <c r="D123" s="25"/>
      <c r="F123" s="8" t="s">
        <v>83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hidden="1" spans="4:42">
      <c r="D124" s="25"/>
      <c r="F124" s="8" t="s">
        <v>83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</v>
      </c>
      <c r="M124" s="8">
        <f t="shared" si="135"/>
        <v>22.0400204737221</v>
      </c>
      <c r="N124" s="8">
        <f t="shared" si="136"/>
        <v>67.5542171436285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hidden="1" spans="4:42">
      <c r="D125" s="25"/>
      <c r="F125" s="8" t="s">
        <v>83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1.94536145428366</v>
      </c>
      <c r="N125" s="8">
        <f t="shared" si="136"/>
        <v>0</v>
      </c>
      <c r="O125" s="8">
        <f t="shared" si="137"/>
        <v>0.0150561073434125</v>
      </c>
      <c r="P125" s="8">
        <f t="shared" si="138"/>
        <v>0.163931616990641</v>
      </c>
      <c r="Q125" s="8">
        <f t="shared" si="139"/>
        <v>3.87445884329253</v>
      </c>
      <c r="R125" s="8">
        <f t="shared" si="140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5"/>
      <c r="F126" s="8" t="s">
        <v>83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</v>
      </c>
      <c r="M126" s="8">
        <f t="shared" si="135"/>
        <v>236.128977603111</v>
      </c>
      <c r="N126" s="8">
        <f t="shared" si="136"/>
        <v>14.4857008936193</v>
      </c>
      <c r="O126" s="8">
        <f t="shared" si="137"/>
        <v>162.804378660017</v>
      </c>
      <c r="P126" s="8">
        <f t="shared" si="138"/>
        <v>151.386540008758</v>
      </c>
      <c r="Q126" s="8">
        <f t="shared" si="139"/>
        <v>946.527653210424</v>
      </c>
      <c r="R126" s="8">
        <f t="shared" si="140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hidden="1" spans="4:42">
      <c r="D127" s="25"/>
      <c r="F127" s="8" t="s">
        <v>83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18.1290664470842</v>
      </c>
      <c r="N127" s="8">
        <f t="shared" si="136"/>
        <v>16.0358325197984</v>
      </c>
      <c r="O127" s="8">
        <f t="shared" si="137"/>
        <v>0.986186574514039</v>
      </c>
      <c r="P127" s="34">
        <v>214.988555688985</v>
      </c>
      <c r="Q127" s="8">
        <f t="shared" si="139"/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5"/>
      <c r="F128" s="8" t="s">
        <v>83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</v>
      </c>
      <c r="M128" s="8">
        <f t="shared" si="135"/>
        <v>19.2195431468143</v>
      </c>
      <c r="N128" s="8">
        <f t="shared" si="136"/>
        <v>4.99443093232541</v>
      </c>
      <c r="O128" s="8">
        <f t="shared" si="137"/>
        <v>0.549718036717063</v>
      </c>
      <c r="P128" s="8">
        <f t="shared" si="138"/>
        <v>38.6850181065515</v>
      </c>
      <c r="Q128" s="8">
        <f t="shared" si="139"/>
        <v>1.90439316702664</v>
      </c>
      <c r="R128" s="8">
        <f t="shared" si="1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5"/>
      <c r="F129" s="8" t="s">
        <v>83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</v>
      </c>
      <c r="N129" s="8">
        <f t="shared" si="136"/>
        <v>44.6091558315335</v>
      </c>
      <c r="O129" s="8">
        <f t="shared" si="137"/>
        <v>4.05289213462923</v>
      </c>
      <c r="P129" s="8">
        <f t="shared" si="138"/>
        <v>210.506922858171</v>
      </c>
      <c r="Q129" s="8">
        <f t="shared" si="139"/>
        <v>55.7330652267819</v>
      </c>
      <c r="R129" s="8">
        <f t="shared" si="140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hidden="1" spans="4:42">
      <c r="D130" s="25"/>
      <c r="F130" s="8" t="s">
        <v>83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64.047145130104</v>
      </c>
      <c r="M130" s="8">
        <f t="shared" si="135"/>
        <v>57.3563338776097</v>
      </c>
      <c r="N130" s="8">
        <f t="shared" si="136"/>
        <v>37.535728540574</v>
      </c>
      <c r="O130" s="8">
        <f t="shared" si="137"/>
        <v>0.775639665226783</v>
      </c>
      <c r="P130" s="8">
        <f t="shared" si="138"/>
        <v>26.064567962563</v>
      </c>
      <c r="Q130" s="8">
        <f t="shared" si="139"/>
        <v>17.3859292810861</v>
      </c>
      <c r="R130" s="8">
        <f t="shared" si="140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hidden="1" spans="4:42">
      <c r="D131" s="25"/>
      <c r="F131" s="8" t="s">
        <v>83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hidden="1" spans="4:42">
      <c r="D132" s="25"/>
      <c r="F132" s="8" t="s">
        <v>83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244.636456173506</v>
      </c>
      <c r="M132" s="8">
        <f t="shared" si="135"/>
        <v>8.49611338141647</v>
      </c>
      <c r="N132" s="8">
        <f t="shared" si="136"/>
        <v>38.6390315694745</v>
      </c>
      <c r="O132" s="8">
        <f t="shared" si="137"/>
        <v>0.00091412800575954</v>
      </c>
      <c r="P132" s="8">
        <f t="shared" si="138"/>
        <v>84.734356074514</v>
      </c>
      <c r="Q132" s="8">
        <f t="shared" si="139"/>
        <v>0</v>
      </c>
      <c r="R132" s="8">
        <f t="shared" si="140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hidden="1" spans="4:42">
      <c r="D133" s="25"/>
      <c r="F133" s="8" t="s">
        <v>83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1.08567160139189</v>
      </c>
      <c r="N133" s="8">
        <f t="shared" si="136"/>
        <v>0</v>
      </c>
      <c r="O133" s="8">
        <f t="shared" si="137"/>
        <v>0</v>
      </c>
      <c r="P133" s="8">
        <f t="shared" si="138"/>
        <v>0.163931616990641</v>
      </c>
      <c r="Q133" s="8">
        <f t="shared" si="139"/>
        <v>3.86635521838253</v>
      </c>
      <c r="R133" s="8">
        <f t="shared" si="14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5"/>
      <c r="F134" s="8" t="s">
        <v>83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</v>
      </c>
      <c r="P134" s="8">
        <f t="shared" si="138"/>
        <v>154.263321457995</v>
      </c>
      <c r="Q134" s="8">
        <f t="shared" si="139"/>
        <v>963.390831867471</v>
      </c>
      <c r="R134" s="8">
        <f t="shared" si="140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hidden="1" spans="4:42">
      <c r="D135" s="25"/>
      <c r="F135" s="8" t="s">
        <v>83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</v>
      </c>
      <c r="O135" s="8">
        <f t="shared" si="137"/>
        <v>1.57492710187185</v>
      </c>
      <c r="P135" s="34">
        <v>236.55407512743</v>
      </c>
      <c r="Q135" s="8">
        <f t="shared" si="139"/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5"/>
      <c r="F136" s="8" t="s">
        <v>83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</v>
      </c>
      <c r="M136" s="8">
        <f t="shared" si="135"/>
        <v>22.8765080496256</v>
      </c>
      <c r="N136" s="8">
        <f t="shared" si="136"/>
        <v>5.93890497480202</v>
      </c>
      <c r="O136" s="8">
        <f t="shared" si="137"/>
        <v>0.624555839092872</v>
      </c>
      <c r="P136" s="8">
        <f t="shared" si="138"/>
        <v>40.7126627069834</v>
      </c>
      <c r="Q136" s="8">
        <f t="shared" si="139"/>
        <v>2.24902751727862</v>
      </c>
      <c r="R136" s="8">
        <f t="shared" si="140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5"/>
      <c r="F137" s="8" t="s">
        <v>83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</v>
      </c>
      <c r="M137" s="8">
        <f t="shared" si="135"/>
        <v>29.7899233533837</v>
      </c>
      <c r="N137" s="8">
        <f t="shared" si="136"/>
        <v>46.7915418646508</v>
      </c>
      <c r="O137" s="8">
        <f t="shared" si="137"/>
        <v>4.74962903527718</v>
      </c>
      <c r="P137" s="8">
        <f t="shared" si="138"/>
        <v>239.740501043916</v>
      </c>
      <c r="Q137" s="8">
        <f t="shared" si="139"/>
        <v>56.1858055075594</v>
      </c>
      <c r="R137" s="8">
        <f t="shared" si="140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hidden="1" spans="4:42">
      <c r="D138" s="25"/>
      <c r="F138" s="8" t="s">
        <v>83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71.3701876889849</v>
      </c>
      <c r="M138" s="8">
        <f t="shared" si="135"/>
        <v>39.6583355833591</v>
      </c>
      <c r="N138" s="8">
        <f t="shared" si="136"/>
        <v>46.869524087216</v>
      </c>
      <c r="O138" s="8">
        <f t="shared" si="137"/>
        <v>0.657081147793891</v>
      </c>
      <c r="P138" s="8">
        <f t="shared" si="138"/>
        <v>24.6412783091638</v>
      </c>
      <c r="Q138" s="8">
        <f t="shared" si="139"/>
        <v>17.1982500154273</v>
      </c>
      <c r="R138" s="8">
        <f t="shared" si="14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hidden="1" spans="4:42">
      <c r="D139" s="25"/>
      <c r="F139" s="8" t="s">
        <v>83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hidden="1" spans="4:42">
      <c r="D140" s="25"/>
      <c r="F140" s="8" t="s">
        <v>83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</v>
      </c>
      <c r="M140" s="8">
        <f t="shared" ref="M140:M199" si="272">X140/AK140</f>
        <v>8.52954457204823</v>
      </c>
      <c r="N140" s="8">
        <f t="shared" ref="N140:N199" si="273">Y140/AL140</f>
        <v>35.584340199784</v>
      </c>
      <c r="O140" s="8">
        <f t="shared" ref="O140:O199" si="274">Z140/AM140</f>
        <v>0.000568538759899208</v>
      </c>
      <c r="P140" s="8">
        <f t="shared" ref="P140:P170" si="275">AA140/AN140</f>
        <v>88.721076412887</v>
      </c>
      <c r="Q140" s="8">
        <f t="shared" ref="Q140:Q199" si="276">AB140/AO140</f>
        <v>0</v>
      </c>
      <c r="R140" s="8">
        <f t="shared" ref="R140:R170" si="277">AC140/AP140</f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hidden="1" spans="4:42">
      <c r="D141" s="25"/>
      <c r="F141" s="8" t="s">
        <v>83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5"/>
      <c r="F142" s="8" t="s">
        <v>83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</v>
      </c>
      <c r="M142" s="8">
        <f t="shared" si="272"/>
        <v>231.085649911677</v>
      </c>
      <c r="N142" s="8">
        <f t="shared" si="273"/>
        <v>14.8082678111525</v>
      </c>
      <c r="O142" s="8">
        <f t="shared" si="274"/>
        <v>182.02552084493</v>
      </c>
      <c r="P142" s="8">
        <f t="shared" si="275"/>
        <v>155.204987122679</v>
      </c>
      <c r="Q142" s="8">
        <f t="shared" si="276"/>
        <v>966.917293090779</v>
      </c>
      <c r="R142" s="8">
        <f t="shared" si="277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hidden="1" spans="4:42">
      <c r="D143" s="25"/>
      <c r="F143" s="8" t="s">
        <v>83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</v>
      </c>
      <c r="N143" s="8">
        <f t="shared" si="273"/>
        <v>19.5192863786897</v>
      </c>
      <c r="O143" s="8">
        <f t="shared" si="274"/>
        <v>5.14713864650828</v>
      </c>
      <c r="P143" s="34">
        <v>280.893716956083</v>
      </c>
      <c r="Q143" s="8">
        <f t="shared" si="276"/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5"/>
      <c r="F144" s="8" t="s">
        <v>83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</v>
      </c>
      <c r="M144" s="8">
        <f t="shared" si="272"/>
        <v>23.79372287554</v>
      </c>
      <c r="N144" s="8">
        <f t="shared" si="273"/>
        <v>5.99512244420446</v>
      </c>
      <c r="O144" s="8">
        <f t="shared" si="274"/>
        <v>0.635293624550036</v>
      </c>
      <c r="P144" s="8">
        <f t="shared" si="275"/>
        <v>41.0515657307415</v>
      </c>
      <c r="Q144" s="8">
        <f t="shared" si="276"/>
        <v>2.40635500215983</v>
      </c>
      <c r="R144" s="8">
        <f t="shared" si="277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5"/>
      <c r="F145" s="8" t="s">
        <v>83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177.11612199424</v>
      </c>
      <c r="M145" s="8">
        <f t="shared" si="272"/>
        <v>35.9200143721022</v>
      </c>
      <c r="N145" s="8">
        <f t="shared" si="273"/>
        <v>46.8566525197984</v>
      </c>
      <c r="O145" s="8">
        <f t="shared" si="274"/>
        <v>4.79631019078474</v>
      </c>
      <c r="P145" s="8">
        <f t="shared" si="275"/>
        <v>256.766393232541</v>
      </c>
      <c r="Q145" s="8">
        <f t="shared" si="276"/>
        <v>58.1952862491001</v>
      </c>
      <c r="R145" s="8">
        <f t="shared" si="277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hidden="1" spans="4:42">
      <c r="D146" s="25"/>
      <c r="F146" s="8" t="s">
        <v>83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57.5967661421371</v>
      </c>
      <c r="O146" s="8">
        <f t="shared" si="274"/>
        <v>0.630877123932943</v>
      </c>
      <c r="P146" s="8">
        <f t="shared" si="275"/>
        <v>25.2526388871747</v>
      </c>
      <c r="Q146" s="8">
        <f t="shared" si="276"/>
        <v>17.0500519798416</v>
      </c>
      <c r="R146" s="8">
        <f t="shared" si="277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hidden="1" spans="4:42">
      <c r="D147" s="25"/>
      <c r="F147" s="8" t="s">
        <v>83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hidden="1" spans="4:42">
      <c r="D148" s="25"/>
      <c r="F148" s="8" t="s">
        <v>83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221.115444114471</v>
      </c>
      <c r="M148" s="8">
        <f t="shared" si="272"/>
        <v>8.50551953807595</v>
      </c>
      <c r="N148" s="8">
        <f t="shared" si="273"/>
        <v>32.048186699064</v>
      </c>
      <c r="O148" s="8">
        <f t="shared" si="274"/>
        <v>0</v>
      </c>
      <c r="P148" s="8">
        <f t="shared" si="275"/>
        <v>95.614986411087</v>
      </c>
      <c r="Q148" s="8">
        <f t="shared" si="276"/>
        <v>0</v>
      </c>
      <c r="R148" s="8">
        <f t="shared" si="277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hidden="1" spans="4:42">
      <c r="D149" s="25"/>
      <c r="F149" s="8" t="s">
        <v>83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0.742552525197983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3.86337393208543</v>
      </c>
      <c r="R149" s="8">
        <f t="shared" si="277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5"/>
      <c r="F150" s="8" t="s">
        <v>83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183.294868109521</v>
      </c>
      <c r="P150" s="8">
        <f t="shared" si="275"/>
        <v>156.017928829611</v>
      </c>
      <c r="Q150" s="8">
        <f t="shared" si="276"/>
        <v>970.060219471102</v>
      </c>
      <c r="R150" s="8">
        <f t="shared" si="27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hidden="1" spans="4:42">
      <c r="D151" s="25"/>
      <c r="F151" s="8" t="s">
        <v>83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</v>
      </c>
      <c r="N151" s="8">
        <f t="shared" si="273"/>
        <v>20.955950449964</v>
      </c>
      <c r="O151" s="8">
        <f t="shared" si="274"/>
        <v>8.68326339452844</v>
      </c>
      <c r="P151" s="34">
        <v>325.350711196544</v>
      </c>
      <c r="Q151" s="8">
        <f t="shared" si="276"/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5"/>
      <c r="F152" s="8" t="s">
        <v>83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78.5753249100072</v>
      </c>
      <c r="M152" s="8">
        <f t="shared" si="272"/>
        <v>24.710937705018</v>
      </c>
      <c r="N152" s="8">
        <f t="shared" si="273"/>
        <v>6.05018498560115</v>
      </c>
      <c r="O152" s="8">
        <f t="shared" si="274"/>
        <v>0.646031409647228</v>
      </c>
      <c r="P152" s="8">
        <f t="shared" si="275"/>
        <v>41.3370672786177</v>
      </c>
      <c r="Q152" s="8">
        <f t="shared" si="276"/>
        <v>2.56368248740101</v>
      </c>
      <c r="R152" s="8">
        <f t="shared" si="277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5"/>
      <c r="F153" s="8" t="s">
        <v>83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177.044662491001</v>
      </c>
      <c r="M153" s="8">
        <f t="shared" si="272"/>
        <v>42.0501053944204</v>
      </c>
      <c r="N153" s="8">
        <f t="shared" si="273"/>
        <v>46.964964974802</v>
      </c>
      <c r="O153" s="8">
        <f t="shared" si="274"/>
        <v>4.83654876889849</v>
      </c>
      <c r="P153" s="8">
        <f t="shared" si="275"/>
        <v>273.234162239021</v>
      </c>
      <c r="Q153" s="8">
        <f t="shared" si="276"/>
        <v>60.2047669906407</v>
      </c>
      <c r="R153" s="8">
        <f t="shared" si="277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hidden="1" spans="4:42">
      <c r="D154" s="25"/>
      <c r="F154" s="8" t="s">
        <v>83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</v>
      </c>
      <c r="M154" s="8">
        <f t="shared" si="272"/>
        <v>37.0299395753369</v>
      </c>
      <c r="N154" s="8">
        <f t="shared" si="273"/>
        <v>68.3456909801503</v>
      </c>
      <c r="O154" s="8">
        <f t="shared" si="274"/>
        <v>0.596554234598374</v>
      </c>
      <c r="P154" s="8">
        <f t="shared" si="275"/>
        <v>26.4258067674586</v>
      </c>
      <c r="Q154" s="8">
        <f t="shared" si="276"/>
        <v>16.971784078988</v>
      </c>
      <c r="R154" s="8">
        <f t="shared" si="277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hidden="1" spans="4:42">
      <c r="D155" s="25"/>
      <c r="F155" s="8" t="s">
        <v>83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hidden="1" spans="4:42">
      <c r="D156" s="25"/>
      <c r="F156" s="8" t="s">
        <v>83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</v>
      </c>
      <c r="M156" s="8">
        <f t="shared" si="272"/>
        <v>8.24697128644707</v>
      </c>
      <c r="N156" s="8">
        <f t="shared" si="273"/>
        <v>28.3180417026638</v>
      </c>
      <c r="O156" s="8">
        <f t="shared" si="274"/>
        <v>0</v>
      </c>
      <c r="P156" s="8">
        <f t="shared" si="275"/>
        <v>102.089148038157</v>
      </c>
      <c r="Q156" s="8">
        <f t="shared" si="276"/>
        <v>0</v>
      </c>
      <c r="R156" s="8">
        <f t="shared" si="277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hidden="1" spans="4:42">
      <c r="D157" s="25"/>
      <c r="F157" s="8" t="s">
        <v>83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0.801442977585793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5"/>
      <c r="F158" s="8" t="s">
        <v>83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</v>
      </c>
      <c r="M158" s="8">
        <f t="shared" si="272"/>
        <v>229.96821893597</v>
      </c>
      <c r="N158" s="8">
        <f t="shared" si="273"/>
        <v>14.9060924272449</v>
      </c>
      <c r="O158" s="8">
        <f t="shared" si="274"/>
        <v>184.66863114456</v>
      </c>
      <c r="P158" s="8">
        <f t="shared" si="275"/>
        <v>156.677434704193</v>
      </c>
      <c r="Q158" s="8">
        <f t="shared" si="276"/>
        <v>972.728288169936</v>
      </c>
      <c r="R158" s="8">
        <f t="shared" si="277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hidden="1" spans="4:42">
      <c r="D159" s="25"/>
      <c r="F159" s="8" t="s">
        <v>83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39.0972954283657</v>
      </c>
      <c r="N159" s="8">
        <f t="shared" si="273"/>
        <v>22.2496309791217</v>
      </c>
      <c r="O159" s="8">
        <f t="shared" si="274"/>
        <v>12.2539586213103</v>
      </c>
      <c r="P159" s="34">
        <v>371.601571527718</v>
      </c>
      <c r="Q159" s="8">
        <f t="shared" si="276"/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5"/>
      <c r="F160" s="8" t="s">
        <v>83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79.0448233261339</v>
      </c>
      <c r="M160" s="8">
        <f t="shared" si="272"/>
        <v>25.628152534532</v>
      </c>
      <c r="N160" s="8">
        <f t="shared" si="273"/>
        <v>6.10348460403168</v>
      </c>
      <c r="O160" s="8">
        <f t="shared" si="274"/>
        <v>0.656769195104392</v>
      </c>
      <c r="P160" s="8">
        <f t="shared" si="275"/>
        <v>41.6873816054716</v>
      </c>
      <c r="Q160" s="8">
        <f t="shared" si="276"/>
        <v>2.72100997264219</v>
      </c>
      <c r="R160" s="8">
        <f t="shared" si="27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5"/>
      <c r="F161" s="8" t="s">
        <v>83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176.752617386609</v>
      </c>
      <c r="M161" s="8">
        <f t="shared" si="272"/>
        <v>48.1801964311375</v>
      </c>
      <c r="N161" s="8">
        <f t="shared" si="273"/>
        <v>48.3124696904248</v>
      </c>
      <c r="O161" s="8">
        <f t="shared" si="274"/>
        <v>4.90349467602592</v>
      </c>
      <c r="P161" s="8">
        <f t="shared" si="275"/>
        <v>290.062388300936</v>
      </c>
      <c r="Q161" s="8">
        <f t="shared" si="276"/>
        <v>62.2142477321814</v>
      </c>
      <c r="R161" s="8">
        <f t="shared" si="277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hidden="1" spans="4:42">
      <c r="D162" s="25"/>
      <c r="F162" s="8" t="s">
        <v>83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</v>
      </c>
      <c r="N162" s="8">
        <f t="shared" si="273"/>
        <v>79.0488241900649</v>
      </c>
      <c r="O162" s="8">
        <f t="shared" si="274"/>
        <v>0.564922967499743</v>
      </c>
      <c r="P162" s="8">
        <f t="shared" si="275"/>
        <v>27.2473432582536</v>
      </c>
      <c r="Q162" s="8">
        <f t="shared" si="276"/>
        <v>16.8689553944256</v>
      </c>
      <c r="R162" s="8">
        <f t="shared" si="277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hidden="1" spans="4:42">
      <c r="D163" s="25"/>
      <c r="F163" s="8" t="s">
        <v>83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hidden="1" spans="4:42">
      <c r="D164" s="25"/>
      <c r="F164" s="8" t="s">
        <v>83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</v>
      </c>
      <c r="M164" s="8">
        <f t="shared" si="272"/>
        <v>8.90488648947085</v>
      </c>
      <c r="N164" s="8">
        <f t="shared" si="273"/>
        <v>25.8142996670268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hidden="1" spans="4:42">
      <c r="D165" s="25"/>
      <c r="F165" s="8" t="s">
        <v>83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5"/>
      <c r="F166" s="8" t="s">
        <v>83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5.01935469038766</v>
      </c>
      <c r="M166" s="8">
        <f t="shared" si="272"/>
        <v>229.734225081458</v>
      </c>
      <c r="N166" s="8">
        <f t="shared" si="273"/>
        <v>15.0457314800382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</v>
      </c>
      <c r="R166" s="8">
        <f t="shared" si="277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hidden="1" spans="4:42">
      <c r="D167" s="25"/>
      <c r="F167" s="8" t="s">
        <v>83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44.9672764218862</v>
      </c>
      <c r="N167" s="8">
        <f t="shared" si="273"/>
        <v>23.557080975522</v>
      </c>
      <c r="O167" s="8">
        <f t="shared" si="274"/>
        <v>15.8899430201584</v>
      </c>
      <c r="P167" s="34">
        <v>419.476458136789</v>
      </c>
      <c r="Q167" s="8">
        <f t="shared" si="276"/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5"/>
      <c r="F168" s="8" t="s">
        <v>83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79.4343396688265</v>
      </c>
      <c r="M168" s="8">
        <f t="shared" si="272"/>
        <v>26.5453673640461</v>
      </c>
      <c r="N168" s="8">
        <f t="shared" si="273"/>
        <v>6.15857278257739</v>
      </c>
      <c r="O168" s="8">
        <f t="shared" si="274"/>
        <v>0.667506980561555</v>
      </c>
      <c r="P168" s="8">
        <f t="shared" si="275"/>
        <v>41.9822476961843</v>
      </c>
      <c r="Q168" s="8">
        <f t="shared" si="276"/>
        <v>2.8783374575234</v>
      </c>
      <c r="R168" s="8">
        <f t="shared" si="277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5"/>
      <c r="F169" s="8" t="s">
        <v>83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54.3102874318574</v>
      </c>
      <c r="N169" s="8">
        <f t="shared" si="273"/>
        <v>48.4077875809935</v>
      </c>
      <c r="O169" s="8">
        <f t="shared" si="274"/>
        <v>4.98148225341973</v>
      </c>
      <c r="P169" s="8">
        <f t="shared" si="275"/>
        <v>306.576707631389</v>
      </c>
      <c r="Q169" s="8">
        <f t="shared" si="276"/>
        <v>64.223728437725</v>
      </c>
      <c r="R169" s="8">
        <f t="shared" si="277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hidden="1" spans="4:42">
      <c r="D170" s="25"/>
      <c r="F170" s="8" t="s">
        <v>83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</v>
      </c>
      <c r="M170" s="8">
        <f t="shared" si="272"/>
        <v>36.0352793324797</v>
      </c>
      <c r="N170" s="8">
        <f t="shared" si="273"/>
        <v>89.740439247146</v>
      </c>
      <c r="O170" s="8">
        <f t="shared" si="274"/>
        <v>0.546105487401009</v>
      </c>
      <c r="P170" s="8">
        <f t="shared" si="275"/>
        <v>28.3952090095649</v>
      </c>
      <c r="Q170" s="8">
        <f t="shared" si="276"/>
        <v>16.8775035894271</v>
      </c>
      <c r="R170" s="8">
        <f t="shared" si="27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hidden="1" spans="4:42">
      <c r="D171" s="25"/>
      <c r="F171" s="8" t="s">
        <v>83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hidden="1" spans="4:42">
      <c r="D172" s="25"/>
      <c r="F172" s="8" t="s">
        <v>83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233.107084647228</v>
      </c>
      <c r="M172" s="8">
        <f t="shared" ref="M172:M174" si="346">X172/AK172*1.1</f>
        <v>8.83971427111231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133.866416090713</v>
      </c>
      <c r="Q172" s="8">
        <f t="shared" ref="Q172:Q174" si="350">AB172/AO172*1.1</f>
        <v>0</v>
      </c>
      <c r="R172" s="8">
        <f t="shared" ref="R172:R174" si="351">AC172/AP172*1.1</f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hidden="1" spans="4:42">
      <c r="D173" s="25"/>
      <c r="F173" s="8" t="s">
        <v>83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0.88938896660907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4.31974828833695</v>
      </c>
      <c r="R173" s="8">
        <f t="shared" si="351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5"/>
      <c r="F174" s="8" t="s">
        <v>83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</v>
      </c>
      <c r="M174" s="8">
        <f t="shared" si="346"/>
        <v>251.991895132633</v>
      </c>
      <c r="N174" s="8">
        <f t="shared" si="347"/>
        <v>16.8813014680887</v>
      </c>
      <c r="O174" s="8">
        <f t="shared" si="348"/>
        <v>204.552307044302</v>
      </c>
      <c r="P174" s="8">
        <f t="shared" si="349"/>
        <v>173.197559873974</v>
      </c>
      <c r="Q174" s="8">
        <f t="shared" si="350"/>
        <v>1075.74048473648</v>
      </c>
      <c r="R174" s="8">
        <f t="shared" si="351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hidden="1" spans="4:42">
      <c r="D175" s="25"/>
      <c r="F175" s="8" t="s">
        <v>83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0.773170108711303</v>
      </c>
      <c r="M175" s="8">
        <f t="shared" si="272"/>
        <v>50.6591033477322</v>
      </c>
      <c r="N175" s="8">
        <f t="shared" si="273"/>
        <v>25.1014059647228</v>
      </c>
      <c r="O175" s="8">
        <f t="shared" si="274"/>
        <v>20.0714783801296</v>
      </c>
      <c r="P175" s="34">
        <v>469.36069787761</v>
      </c>
      <c r="Q175" s="8">
        <f t="shared" si="276"/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5"/>
      <c r="F176" s="8" t="s">
        <v>83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88.3551617278617</v>
      </c>
      <c r="M176" s="8">
        <f t="shared" ref="M176:R176" si="360">X176/AK176*1.1</f>
        <v>30.3321429289129</v>
      </c>
      <c r="N176" s="8">
        <f t="shared" si="360"/>
        <v>6.83968245284377</v>
      </c>
      <c r="O176" s="8">
        <f t="shared" si="360"/>
        <v>0.74606924262059</v>
      </c>
      <c r="P176" s="8">
        <f t="shared" si="360"/>
        <v>46.4867724550037</v>
      </c>
      <c r="Q176" s="8">
        <f t="shared" si="360"/>
        <v>3.33923143704104</v>
      </c>
      <c r="R176" s="8">
        <f t="shared" si="360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5"/>
      <c r="F177" s="8" t="s">
        <v>83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</v>
      </c>
      <c r="N177" s="8">
        <f t="shared" ref="N177:N182" si="365">Y177/AL177*1.1</f>
        <v>53.3505144420446</v>
      </c>
      <c r="O177" s="8">
        <f t="shared" ref="O177:O182" si="366">Z177/AM177*1.1</f>
        <v>5.52939807019438</v>
      </c>
      <c r="P177" s="8">
        <f t="shared" ref="P177:P182" si="367">AA177/AN177*1.1</f>
        <v>355.471013808495</v>
      </c>
      <c r="Q177" s="8">
        <f t="shared" ref="Q177:Q182" si="368">AB177/AO177*1.1</f>
        <v>72.8565300971923</v>
      </c>
      <c r="R177" s="8">
        <f t="shared" ref="R177:R182" si="369">AC177/AP177*1.1</f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hidden="1" spans="4:42">
      <c r="D178" s="25"/>
      <c r="F178" s="8" t="s">
        <v>83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</v>
      </c>
      <c r="N178" s="8">
        <f t="shared" si="365"/>
        <v>110.499015560012</v>
      </c>
      <c r="O178" s="8">
        <f t="shared" si="366"/>
        <v>0.579765663087525</v>
      </c>
      <c r="P178" s="8">
        <f t="shared" si="367"/>
        <v>32.923885204155</v>
      </c>
      <c r="Q178" s="8">
        <f t="shared" si="368"/>
        <v>18.6779749295485</v>
      </c>
      <c r="R178" s="8">
        <f t="shared" si="369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hidden="1" spans="4:42">
      <c r="D179" s="25"/>
      <c r="F179" s="8" t="s">
        <v>83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hidden="1" spans="4:42">
      <c r="D180" s="25"/>
      <c r="F180" s="8" t="s">
        <v>83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225.984269555436</v>
      </c>
      <c r="M180" s="8">
        <f t="shared" si="364"/>
        <v>14.0463343962563</v>
      </c>
      <c r="N180" s="8">
        <f t="shared" si="365"/>
        <v>26.4792926367891</v>
      </c>
      <c r="O180" s="8">
        <f t="shared" si="366"/>
        <v>0</v>
      </c>
      <c r="P180" s="8">
        <f t="shared" si="367"/>
        <v>168.380821589273</v>
      </c>
      <c r="Q180" s="8">
        <f t="shared" si="368"/>
        <v>0</v>
      </c>
      <c r="R180" s="8">
        <f t="shared" si="369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hidden="1" spans="4:42">
      <c r="D181" s="25"/>
      <c r="F181" s="8" t="s">
        <v>83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4.24741810379168</v>
      </c>
      <c r="R181" s="8">
        <f t="shared" si="36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5"/>
      <c r="F182" s="8" t="s">
        <v>83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</v>
      </c>
      <c r="M182" s="8">
        <f t="shared" si="364"/>
        <v>252.716624827065</v>
      </c>
      <c r="N182" s="8">
        <f t="shared" si="365"/>
        <v>16.8993515616071</v>
      </c>
      <c r="O182" s="8">
        <f t="shared" si="366"/>
        <v>204.578389110314</v>
      </c>
      <c r="P182" s="8">
        <f t="shared" si="367"/>
        <v>172.752641090156</v>
      </c>
      <c r="Q182" s="8">
        <f t="shared" si="368"/>
        <v>1076.76056771541</v>
      </c>
      <c r="R182" s="8">
        <f t="shared" si="369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hidden="1" spans="4:42">
      <c r="D183" s="25"/>
      <c r="F183" s="8" t="s">
        <v>83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5.16298912167027</v>
      </c>
      <c r="M183" s="8">
        <f t="shared" si="272"/>
        <v>50.5417012958963</v>
      </c>
      <c r="N183" s="8">
        <f t="shared" si="273"/>
        <v>24.8509117962563</v>
      </c>
      <c r="O183" s="8">
        <f t="shared" si="274"/>
        <v>23.5346820014399</v>
      </c>
      <c r="P183" s="34">
        <v>476.373389022318</v>
      </c>
      <c r="Q183" s="8">
        <f t="shared" si="276"/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5"/>
      <c r="F184" s="8" t="s">
        <v>83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</v>
      </c>
      <c r="M184" s="8">
        <f t="shared" ref="M184:R184" si="384">X184/AK184*1.1</f>
        <v>33.5407443938193</v>
      </c>
      <c r="N184" s="8">
        <f t="shared" si="384"/>
        <v>7.18266946940245</v>
      </c>
      <c r="O184" s="8">
        <f t="shared" si="384"/>
        <v>0.861657276277898</v>
      </c>
      <c r="P184" s="8">
        <f t="shared" si="384"/>
        <v>50.753745313175</v>
      </c>
      <c r="Q184" s="8">
        <f t="shared" si="384"/>
        <v>3.83615595</v>
      </c>
      <c r="R184" s="8">
        <f t="shared" si="384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5"/>
      <c r="F185" s="8" t="s">
        <v>83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195.135311933045</v>
      </c>
      <c r="M185" s="8">
        <f t="shared" ref="M185:M190" si="388">X185/AK185*1.1</f>
        <v>70.9481273569906</v>
      </c>
      <c r="N185" s="8">
        <f t="shared" ref="N185:N190" si="389">Y185/AL185*1.1</f>
        <v>55.2087157343413</v>
      </c>
      <c r="O185" s="8">
        <f t="shared" ref="O185:O190" si="390">Z185/AM185*1.1</f>
        <v>5.57691339776817</v>
      </c>
      <c r="P185" s="8">
        <f t="shared" ref="P185:P190" si="391">AA185/AN185*1.1</f>
        <v>417.63760424766</v>
      </c>
      <c r="Q185" s="8">
        <f t="shared" ref="Q185:Q190" si="392">AB185/AO185*1.1</f>
        <v>72.8565300971923</v>
      </c>
      <c r="R185" s="8">
        <f t="shared" ref="R185:R190" si="393">AC185/AP185*1.1</f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hidden="1" spans="4:42">
      <c r="D186" s="25"/>
      <c r="F186" s="8" t="s">
        <v>83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41.3481921405636</v>
      </c>
      <c r="N186" s="8">
        <f t="shared" si="389"/>
        <v>122.393189879667</v>
      </c>
      <c r="O186" s="8">
        <f t="shared" si="390"/>
        <v>0.6500403292708</v>
      </c>
      <c r="P186" s="8">
        <f t="shared" si="391"/>
        <v>36.592403984367</v>
      </c>
      <c r="Q186" s="8">
        <f t="shared" si="392"/>
        <v>18.8096801481024</v>
      </c>
      <c r="R186" s="8">
        <f t="shared" si="393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hidden="1" spans="4:42">
      <c r="D187" s="25"/>
      <c r="F187" s="8" t="s">
        <v>83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hidden="1" spans="4:42">
      <c r="D188" s="25"/>
      <c r="F188" s="8" t="s">
        <v>83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</v>
      </c>
      <c r="M188" s="8">
        <f t="shared" si="388"/>
        <v>16.8453336087833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217.475273407127</v>
      </c>
      <c r="Q188" s="8">
        <f t="shared" si="392"/>
        <v>0</v>
      </c>
      <c r="R188" s="8">
        <f t="shared" si="39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hidden="1" spans="4:42">
      <c r="D189" s="25"/>
      <c r="F189" s="8" t="s">
        <v>83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</v>
      </c>
      <c r="R189" s="8">
        <f t="shared" si="393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5"/>
      <c r="F190" s="8" t="s">
        <v>83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5.36098120022563</v>
      </c>
      <c r="M190" s="8">
        <f t="shared" si="388"/>
        <v>252.697784824097</v>
      </c>
      <c r="N190" s="8">
        <f t="shared" si="389"/>
        <v>16.9079363467005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</v>
      </c>
      <c r="R190" s="8">
        <f t="shared" si="393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hidden="1" spans="4:42">
      <c r="D191" s="25"/>
      <c r="F191" s="8" t="s">
        <v>83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9.4562923362131</v>
      </c>
      <c r="M191" s="8">
        <f t="shared" si="272"/>
        <v>50.0748677105831</v>
      </c>
      <c r="N191" s="8">
        <f t="shared" si="273"/>
        <v>24.6373803455724</v>
      </c>
      <c r="O191" s="8">
        <f t="shared" si="274"/>
        <v>27.2428120482361</v>
      </c>
      <c r="P191" s="34">
        <v>483.902768071994</v>
      </c>
      <c r="Q191" s="8">
        <f t="shared" si="276"/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5"/>
      <c r="F192" s="8" t="s">
        <v>83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</v>
      </c>
      <c r="M192" s="8">
        <f t="shared" ref="M192:R192" si="408">X192/AK192*1.1</f>
        <v>36.7493458587257</v>
      </c>
      <c r="N192" s="8">
        <f t="shared" si="408"/>
        <v>7.52174047408208</v>
      </c>
      <c r="O192" s="8">
        <f t="shared" si="408"/>
        <v>0.977245309935205</v>
      </c>
      <c r="P192" s="8">
        <f t="shared" si="408"/>
        <v>54.9723313174946</v>
      </c>
      <c r="Q192" s="8">
        <f t="shared" si="408"/>
        <v>4.333080462563</v>
      </c>
      <c r="R192" s="8">
        <f t="shared" si="408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5"/>
      <c r="F193" s="8" t="s">
        <v>83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195.802197505399</v>
      </c>
      <c r="M193" s="8">
        <f t="shared" ref="M193:M198" si="412">X193/AK193*1.1</f>
        <v>75.3058751215695</v>
      </c>
      <c r="N193" s="8">
        <f t="shared" ref="N193:N198" si="413">Y193/AL193*1.1</f>
        <v>57.1266453239741</v>
      </c>
      <c r="O193" s="8">
        <f t="shared" ref="O193:O198" si="414">Z193/AM193*1.1</f>
        <v>5.59985789704824</v>
      </c>
      <c r="P193" s="8">
        <f t="shared" ref="P193:P198" si="415">AA193/AN193*1.1</f>
        <v>479.182466846653</v>
      </c>
      <c r="Q193" s="8">
        <f t="shared" ref="Q193:Q198" si="416">AB193/AO193*1.1</f>
        <v>72.8565300971923</v>
      </c>
      <c r="R193" s="8">
        <f t="shared" ref="R193:R198" si="417">AC193/AP193*1.1</f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hidden="1" spans="4:42">
      <c r="D194" s="25"/>
      <c r="F194" s="8" t="s">
        <v>83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</v>
      </c>
      <c r="M194" s="8">
        <f t="shared" si="412"/>
        <v>41.9710159497901</v>
      </c>
      <c r="N194" s="8">
        <f t="shared" si="413"/>
        <v>134.257733086496</v>
      </c>
      <c r="O194" s="8">
        <f t="shared" si="414"/>
        <v>0.716794925197984</v>
      </c>
      <c r="P194" s="8">
        <f t="shared" si="415"/>
        <v>40.719116490795</v>
      </c>
      <c r="Q194" s="8">
        <f t="shared" si="416"/>
        <v>19.4126657327985</v>
      </c>
      <c r="R194" s="8">
        <f t="shared" si="417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hidden="1" spans="4:42">
      <c r="D195" s="25"/>
      <c r="F195" s="8" t="s">
        <v>83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hidden="1" spans="4:42">
      <c r="D196" s="25"/>
      <c r="F196" s="8" t="s">
        <v>83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</v>
      </c>
      <c r="M196" s="8">
        <f t="shared" si="412"/>
        <v>19.542738061879</v>
      </c>
      <c r="N196" s="8">
        <f t="shared" si="413"/>
        <v>26.0071489677826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hidden="1" spans="4:42">
      <c r="D197" s="25"/>
      <c r="F197" s="8" t="s">
        <v>83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</v>
      </c>
      <c r="R197" s="8">
        <f t="shared" si="417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5"/>
      <c r="F198" s="8" t="s">
        <v>83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</v>
      </c>
      <c r="M198" s="8">
        <f t="shared" si="412"/>
        <v>252.605714401595</v>
      </c>
      <c r="N198" s="8">
        <f t="shared" si="413"/>
        <v>16.9180622976554</v>
      </c>
      <c r="O198" s="8">
        <f t="shared" si="414"/>
        <v>204.09919285921</v>
      </c>
      <c r="P198" s="8">
        <f t="shared" si="415"/>
        <v>171.432496786236</v>
      </c>
      <c r="Q198" s="8">
        <f t="shared" si="416"/>
        <v>1079.46847505808</v>
      </c>
      <c r="R198" s="8">
        <f t="shared" si="417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hidden="1" spans="4:42">
      <c r="D199" s="25"/>
      <c r="F199" s="8" t="s">
        <v>83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24.4468975089993</v>
      </c>
      <c r="O199" s="8">
        <f t="shared" si="274"/>
        <v>30.4684253527718</v>
      </c>
      <c r="P199" s="34">
        <v>487.068991974082</v>
      </c>
      <c r="Q199" s="8">
        <f t="shared" si="276"/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5"/>
      <c r="F200" s="8" t="s">
        <v>83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</v>
      </c>
      <c r="M200" s="8">
        <f t="shared" ref="M200:R200" si="432">X200/AK200*1.1</f>
        <v>39.9579473197121</v>
      </c>
      <c r="N200" s="8">
        <f t="shared" si="432"/>
        <v>7.86039560511159</v>
      </c>
      <c r="O200" s="8">
        <f t="shared" si="432"/>
        <v>1.09283334398848</v>
      </c>
      <c r="P200" s="8">
        <f t="shared" si="432"/>
        <v>59.2476485349172</v>
      </c>
      <c r="Q200" s="8">
        <f t="shared" si="432"/>
        <v>4.83000497552196</v>
      </c>
      <c r="R200" s="8">
        <f t="shared" si="432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5"/>
      <c r="F201" s="8" t="s">
        <v>83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</v>
      </c>
      <c r="M201" s="8">
        <f t="shared" ref="M201:M206" si="436">X201/AK201*1.1</f>
        <v>79.6636228861483</v>
      </c>
      <c r="N201" s="8">
        <f t="shared" ref="N201:N206" si="437">Y201/AL201*1.1</f>
        <v>59.0129961231102</v>
      </c>
      <c r="O201" s="8">
        <f t="shared" ref="O201:O206" si="438">Z201/AM201*1.1</f>
        <v>5.58787168646508</v>
      </c>
      <c r="P201" s="8">
        <f t="shared" ref="P201:P206" si="439">AA201/AN201*1.1</f>
        <v>539.615647984161</v>
      </c>
      <c r="Q201" s="8">
        <f t="shared" ref="Q201:Q206" si="440">AB201/AO201*1.1</f>
        <v>72.8565300971923</v>
      </c>
      <c r="R201" s="8">
        <f t="shared" ref="R201:R206" si="441">AC201/AP201*1.1</f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hidden="1" spans="4:42">
      <c r="D202" s="25"/>
      <c r="F202" s="8" t="s">
        <v>83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42.9046437158099</v>
      </c>
      <c r="N202" s="8">
        <f t="shared" si="437"/>
        <v>146.301205553841</v>
      </c>
      <c r="O202" s="8">
        <f t="shared" si="438"/>
        <v>0.714957127152114</v>
      </c>
      <c r="P202" s="8">
        <f t="shared" si="439"/>
        <v>43.7708231965444</v>
      </c>
      <c r="Q202" s="8">
        <f t="shared" si="440"/>
        <v>19.5930019140183</v>
      </c>
      <c r="R202" s="8">
        <f t="shared" si="44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hidden="1" spans="4:42">
      <c r="D203" s="25"/>
      <c r="F203" s="8" t="s">
        <v>83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hidden="1" spans="4:42">
      <c r="D204" s="25"/>
      <c r="F204" s="8" t="s">
        <v>83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</v>
      </c>
      <c r="N204" s="8">
        <f t="shared" si="437"/>
        <v>25.1134533441325</v>
      </c>
      <c r="O204" s="8">
        <f t="shared" si="438"/>
        <v>0</v>
      </c>
      <c r="P204" s="8">
        <f t="shared" si="439"/>
        <v>271.47695737941</v>
      </c>
      <c r="Q204" s="8">
        <f t="shared" si="440"/>
        <v>0</v>
      </c>
      <c r="R204" s="8">
        <f t="shared" si="441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hidden="1" spans="4:42">
      <c r="D205" s="25"/>
      <c r="F205" s="8" t="s">
        <v>83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</v>
      </c>
      <c r="R205" s="8">
        <f t="shared" si="441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5"/>
      <c r="F206" s="8" t="s">
        <v>83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</v>
      </c>
      <c r="M206" s="8">
        <f t="shared" si="436"/>
        <v>252.955851890702</v>
      </c>
      <c r="N206" s="8">
        <f t="shared" si="437"/>
        <v>16.9131051661434</v>
      </c>
      <c r="O206" s="8">
        <f t="shared" si="438"/>
        <v>203.617449552077</v>
      </c>
      <c r="P206" s="8">
        <f t="shared" si="439"/>
        <v>169.827199854527</v>
      </c>
      <c r="Q206" s="8">
        <f t="shared" si="440"/>
        <v>1076.71144315053</v>
      </c>
      <c r="R206" s="8">
        <f t="shared" si="441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hidden="1" spans="4:42">
      <c r="D207" s="25"/>
      <c r="F207" s="8" t="s">
        <v>83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50.1004500359971</v>
      </c>
      <c r="N207" s="8">
        <f t="shared" ref="N207:N255" si="456">Y207/AL207</f>
        <v>24.1675314506839</v>
      </c>
      <c r="O207" s="8">
        <f t="shared" ref="O207:O255" si="457">Z207/AM207</f>
        <v>33.451810025198</v>
      </c>
      <c r="P207" s="34">
        <v>485.892112924406</v>
      </c>
      <c r="Q207" s="8">
        <f t="shared" ref="Q207:Q255" si="458"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5"/>
      <c r="F208" s="8" t="s">
        <v>83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</v>
      </c>
      <c r="M208" s="8">
        <f t="shared" ref="M208:R208" si="461">X208/AK208*1.1</f>
        <v>43.1665487924982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63.3023529913607</v>
      </c>
      <c r="Q208" s="8">
        <f t="shared" si="461"/>
        <v>5.32692948848092</v>
      </c>
      <c r="R208" s="8">
        <f t="shared" si="461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5"/>
      <c r="F209" s="8" t="s">
        <v>83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</v>
      </c>
      <c r="M209" s="8">
        <f t="shared" ref="M209:M214" si="465">X209/AK209*1.1</f>
        <v>84.0213706111303</v>
      </c>
      <c r="N209" s="8">
        <f t="shared" ref="N209:N214" si="466">Y209/AL209*1.1</f>
        <v>60.8935081713463</v>
      </c>
      <c r="O209" s="8">
        <f t="shared" ref="O209:O214" si="467">Z209/AM209*1.1</f>
        <v>5.57902068574514</v>
      </c>
      <c r="P209" s="8">
        <f t="shared" ref="P209:P214" si="468">AA209/AN209*1.1</f>
        <v>598.370777537797</v>
      </c>
      <c r="Q209" s="8">
        <f t="shared" ref="Q209:Q214" si="469">AB209/AO209*1.1</f>
        <v>72.8565300971923</v>
      </c>
      <c r="R209" s="8">
        <f t="shared" ref="R209:R214" si="470">AC209/AP209*1.1</f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hidden="1" spans="4:42">
      <c r="D210" s="25"/>
      <c r="F210" s="8" t="s">
        <v>83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46.0013761276973</v>
      </c>
      <c r="N210" s="8">
        <f t="shared" si="466"/>
        <v>158.085922225651</v>
      </c>
      <c r="O210" s="8">
        <f t="shared" si="467"/>
        <v>0.690043621989097</v>
      </c>
      <c r="P210" s="8">
        <f t="shared" si="468"/>
        <v>44.7566259549521</v>
      </c>
      <c r="Q210" s="8">
        <f t="shared" si="469"/>
        <v>18.8967466697521</v>
      </c>
      <c r="R210" s="8">
        <f t="shared" si="470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hidden="1" spans="4:42">
      <c r="D211" s="25"/>
      <c r="F211" s="8" t="s">
        <v>83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hidden="1" spans="4:42">
      <c r="D212" s="25"/>
      <c r="F212" s="8" t="s">
        <v>83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</v>
      </c>
      <c r="Q212" s="8">
        <f t="shared" si="469"/>
        <v>0</v>
      </c>
      <c r="R212" s="8">
        <f t="shared" si="470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hidden="1" spans="4:42">
      <c r="D213" s="25"/>
      <c r="F213" s="8" t="s">
        <v>83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5"/>
      <c r="F214" s="8" t="s">
        <v>83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5.24232727171517</v>
      </c>
      <c r="M214" s="8">
        <f t="shared" si="465"/>
        <v>251.804099532668</v>
      </c>
      <c r="N214" s="8">
        <f t="shared" si="466"/>
        <v>16.6886243028805</v>
      </c>
      <c r="O214" s="8">
        <f t="shared" si="467"/>
        <v>203.287836498854</v>
      </c>
      <c r="P214" s="8">
        <f t="shared" si="468"/>
        <v>168.444602814456</v>
      </c>
      <c r="Q214" s="8">
        <f t="shared" si="469"/>
        <v>1075.28023320196</v>
      </c>
      <c r="R214" s="8">
        <f t="shared" si="470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hidden="1" spans="4:42">
      <c r="D215" s="25"/>
      <c r="F215" s="8" t="s">
        <v>83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23.6715885565155</v>
      </c>
      <c r="O215" s="8">
        <f t="shared" si="457"/>
        <v>36.3958492800576</v>
      </c>
      <c r="P215" s="34">
        <v>487.173443017999</v>
      </c>
      <c r="Q215" s="8">
        <f t="shared" si="458"/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5"/>
      <c r="F216" s="8" t="s">
        <v>83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98.7504059215263</v>
      </c>
      <c r="M216" s="8">
        <f t="shared" ref="M216:R216" si="486">X216/AK216*1.1</f>
        <v>46.4882702583621</v>
      </c>
      <c r="N216" s="8">
        <f t="shared" si="486"/>
        <v>8.52887911159107</v>
      </c>
      <c r="O216" s="8">
        <f t="shared" si="486"/>
        <v>1.32400941090713</v>
      </c>
      <c r="P216" s="8">
        <f t="shared" si="486"/>
        <v>67.3346384341253</v>
      </c>
      <c r="Q216" s="8">
        <f t="shared" si="486"/>
        <v>5.82385400143988</v>
      </c>
      <c r="R216" s="8">
        <f t="shared" si="486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5"/>
      <c r="F217" s="8" t="s">
        <v>83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198.055438020158</v>
      </c>
      <c r="M217" s="8">
        <f t="shared" ref="M217:M222" si="490">X217/AK217*1.1</f>
        <v>88.4298760780525</v>
      </c>
      <c r="N217" s="8">
        <f t="shared" ref="N217:N222" si="491">Y217/AL217*1.1</f>
        <v>62.7466859719223</v>
      </c>
      <c r="O217" s="8">
        <f t="shared" ref="O217:O222" si="492">Z217/AM217*1.1</f>
        <v>5.56650655831533</v>
      </c>
      <c r="P217" s="8">
        <f t="shared" ref="P217:P222" si="493">AA217/AN217*1.1</f>
        <v>655.336995068394</v>
      </c>
      <c r="Q217" s="8">
        <f t="shared" ref="Q217:Q222" si="494">AB217/AO217*1.1</f>
        <v>72.8565300971923</v>
      </c>
      <c r="R217" s="8">
        <f t="shared" ref="R217:R222" si="495">AC217/AP217*1.1</f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hidden="1" spans="4:42">
      <c r="D218" s="25"/>
      <c r="F218" s="8" t="s">
        <v>83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169.95153601769</v>
      </c>
      <c r="O218" s="8">
        <f t="shared" si="492"/>
        <v>0.640546654880182</v>
      </c>
      <c r="P218" s="8">
        <f t="shared" si="493"/>
        <v>46.3453665782165</v>
      </c>
      <c r="Q218" s="8">
        <f t="shared" si="494"/>
        <v>18.7965432767664</v>
      </c>
      <c r="R218" s="8">
        <f t="shared" si="495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hidden="1" spans="4:42">
      <c r="D219" s="25"/>
      <c r="F219" s="8" t="s">
        <v>83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hidden="1" spans="4:42">
      <c r="D220" s="25"/>
      <c r="F220" s="8" t="s">
        <v>83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335.179101232902</v>
      </c>
      <c r="Q220" s="8">
        <f t="shared" si="494"/>
        <v>0</v>
      </c>
      <c r="R220" s="8">
        <f t="shared" si="495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hidden="1" spans="4:42">
      <c r="D221" s="25"/>
      <c r="F221" s="8" t="s">
        <v>83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4.23983486561074</v>
      </c>
      <c r="R221" s="8">
        <f t="shared" si="495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5"/>
      <c r="F222" s="8" t="s">
        <v>83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5.30184764200307</v>
      </c>
      <c r="M222" s="8">
        <f t="shared" si="490"/>
        <v>254.016952935473</v>
      </c>
      <c r="N222" s="8">
        <f t="shared" si="491"/>
        <v>16.7052445058003</v>
      </c>
      <c r="O222" s="8">
        <f t="shared" si="492"/>
        <v>203.444354000133</v>
      </c>
      <c r="P222" s="8">
        <f t="shared" si="493"/>
        <v>168.121200871353</v>
      </c>
      <c r="Q222" s="8">
        <f t="shared" si="494"/>
        <v>1075.71123900603</v>
      </c>
      <c r="R222" s="8">
        <f t="shared" si="495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hidden="1" spans="4:42">
      <c r="D223" s="25"/>
      <c r="F223" s="8" t="s">
        <v>83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</v>
      </c>
      <c r="M223" s="8">
        <f t="shared" si="455"/>
        <v>49.0883930525558</v>
      </c>
      <c r="N223" s="8">
        <f t="shared" si="456"/>
        <v>23.8371594060475</v>
      </c>
      <c r="O223" s="8">
        <f t="shared" si="457"/>
        <v>38.4090710943125</v>
      </c>
      <c r="P223" s="34">
        <v>494.765289310295</v>
      </c>
      <c r="Q223" s="8">
        <f t="shared" si="458"/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5"/>
      <c r="F224" s="8" t="s">
        <v>83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98.6453529913607</v>
      </c>
      <c r="M224" s="8">
        <f t="shared" ref="M224:R224" si="511">X224/AK224*1.1</f>
        <v>47.8433864480634</v>
      </c>
      <c r="N224" s="8">
        <f t="shared" si="511"/>
        <v>8.64153494636429</v>
      </c>
      <c r="O224" s="8">
        <f t="shared" si="511"/>
        <v>1.32991519290857</v>
      </c>
      <c r="P224" s="8">
        <f t="shared" si="511"/>
        <v>68.1013008963283</v>
      </c>
      <c r="Q224" s="8">
        <f t="shared" si="511"/>
        <v>5.93922748956084</v>
      </c>
      <c r="R224" s="8">
        <f t="shared" si="511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5"/>
      <c r="F225" s="8" t="s">
        <v>83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</v>
      </c>
      <c r="N225" s="8">
        <f t="shared" ref="N225:N230" si="516">Y225/AL225*1.1</f>
        <v>62.7941540604752</v>
      </c>
      <c r="O225" s="8">
        <f t="shared" ref="O225:O230" si="517">Z225/AM225*1.1</f>
        <v>5.57376141468683</v>
      </c>
      <c r="P225" s="8">
        <f t="shared" ref="P225:P230" si="518">AA225/AN225*1.1</f>
        <v>699.786580273579</v>
      </c>
      <c r="Q225" s="8">
        <f t="shared" ref="Q225:Q230" si="519">AB225/AO225*1.1</f>
        <v>72.8565300971923</v>
      </c>
      <c r="R225" s="8">
        <f t="shared" ref="R225:R230" si="520">AC225/AP225*1.1</f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hidden="1" spans="4:42">
      <c r="D226" s="25"/>
      <c r="F226" s="8" t="s">
        <v>83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</v>
      </c>
      <c r="M226" s="8">
        <f t="shared" si="515"/>
        <v>47.6747287296924</v>
      </c>
      <c r="N226" s="8">
        <f t="shared" si="516"/>
        <v>182.870122575337</v>
      </c>
      <c r="O226" s="8">
        <f t="shared" si="517"/>
        <v>0.697926834042991</v>
      </c>
      <c r="P226" s="8">
        <f t="shared" si="518"/>
        <v>48.9353362295588</v>
      </c>
      <c r="Q226" s="8">
        <f t="shared" si="519"/>
        <v>19.260926734547</v>
      </c>
      <c r="R226" s="8">
        <f t="shared" si="520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hidden="1" spans="4:42">
      <c r="D227" s="25"/>
      <c r="F227" s="8" t="s">
        <v>83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hidden="1" spans="4:42">
      <c r="D228" s="25"/>
      <c r="F228" s="8" t="s">
        <v>83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</v>
      </c>
      <c r="M228" s="8">
        <f t="shared" si="515"/>
        <v>34.8418935705544</v>
      </c>
      <c r="N228" s="8">
        <f t="shared" si="516"/>
        <v>26.045336637869</v>
      </c>
      <c r="O228" s="8">
        <f t="shared" si="517"/>
        <v>0</v>
      </c>
      <c r="P228" s="8">
        <f t="shared" si="518"/>
        <v>371.501505021597</v>
      </c>
      <c r="Q228" s="8">
        <f t="shared" si="519"/>
        <v>0</v>
      </c>
      <c r="R228" s="8">
        <f t="shared" si="520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hidden="1" spans="4:42">
      <c r="D229" s="25"/>
      <c r="F229" s="8" t="s">
        <v>83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4.27677003839694</v>
      </c>
      <c r="R229" s="8">
        <f t="shared" si="520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5"/>
      <c r="F230" s="8" t="s">
        <v>83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5.35912985645685</v>
      </c>
      <c r="M230" s="8">
        <f t="shared" si="515"/>
        <v>256.890265946464</v>
      </c>
      <c r="N230" s="8">
        <f t="shared" si="516"/>
        <v>16.7129873030364</v>
      </c>
      <c r="O230" s="8">
        <f t="shared" si="517"/>
        <v>203.655930080233</v>
      </c>
      <c r="P230" s="8">
        <f t="shared" si="518"/>
        <v>167.700743622573</v>
      </c>
      <c r="Q230" s="8">
        <f t="shared" si="519"/>
        <v>1075.90413150453</v>
      </c>
      <c r="R230" s="8">
        <f t="shared" si="52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hidden="1" spans="4:42">
      <c r="D231" s="25"/>
      <c r="F231" s="8" t="s">
        <v>83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</v>
      </c>
      <c r="M231" s="8">
        <f t="shared" si="455"/>
        <v>49.8929395608351</v>
      </c>
      <c r="N231" s="8">
        <f t="shared" si="456"/>
        <v>24.1296509179266</v>
      </c>
      <c r="O231" s="8">
        <f t="shared" si="457"/>
        <v>40.7172519078474</v>
      </c>
      <c r="P231" s="34">
        <v>501.613111844492</v>
      </c>
      <c r="Q231" s="8">
        <f t="shared" si="458"/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5"/>
      <c r="F232" s="8" t="s">
        <v>83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</v>
      </c>
      <c r="M232" s="8">
        <f t="shared" ref="M232:R232" si="535">X232/AK232*1.1</f>
        <v>49.1973702415371</v>
      </c>
      <c r="N232" s="8">
        <f t="shared" si="535"/>
        <v>8.75186782901368</v>
      </c>
      <c r="O232" s="8">
        <f t="shared" si="535"/>
        <v>1.33582097491</v>
      </c>
      <c r="P232" s="8">
        <f t="shared" si="535"/>
        <v>68.9508482793376</v>
      </c>
      <c r="Q232" s="8">
        <f t="shared" si="535"/>
        <v>6.05460097768178</v>
      </c>
      <c r="R232" s="8">
        <f t="shared" si="535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5"/>
      <c r="F233" s="8" t="s">
        <v>83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</v>
      </c>
      <c r="M233" s="8">
        <f t="shared" ref="M233:M238" si="539">X233/AK233*1.1</f>
        <v>96.1637157288805</v>
      </c>
      <c r="N233" s="8">
        <f t="shared" ref="N233:N238" si="540">Y233/AL233*1.1</f>
        <v>62.8439361483082</v>
      </c>
      <c r="O233" s="8">
        <f t="shared" ref="O233:O238" si="541">Z233/AM233*1.1</f>
        <v>5.58279210187185</v>
      </c>
      <c r="P233" s="8">
        <f t="shared" ref="P233:P238" si="542">AA233/AN233*1.1</f>
        <v>743.158777645788</v>
      </c>
      <c r="Q233" s="8">
        <f t="shared" ref="Q233:Q238" si="543">AB233/AO233*1.1</f>
        <v>72.8565300971923</v>
      </c>
      <c r="R233" s="8">
        <f t="shared" ref="R233:R238" si="544">AC233/AP233*1.1</f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hidden="1" spans="4:42">
      <c r="D234" s="25"/>
      <c r="F234" s="8" t="s">
        <v>83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51.0866808268231</v>
      </c>
      <c r="N234" s="8">
        <f t="shared" si="540"/>
        <v>195.834132582536</v>
      </c>
      <c r="O234" s="8">
        <f t="shared" si="541"/>
        <v>0.756572551948988</v>
      </c>
      <c r="P234" s="8">
        <f t="shared" si="542"/>
        <v>51.4340785806851</v>
      </c>
      <c r="Q234" s="8">
        <f t="shared" si="543"/>
        <v>19.4277108433611</v>
      </c>
      <c r="R234" s="8">
        <f t="shared" si="544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hidden="1" spans="4:42">
      <c r="D235" s="25"/>
      <c r="F235" s="8" t="s">
        <v>83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hidden="1" spans="4:42">
      <c r="D236" s="25"/>
      <c r="F236" s="8" t="s">
        <v>83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409.115611330093</v>
      </c>
      <c r="Q236" s="8">
        <f t="shared" si="543"/>
        <v>0</v>
      </c>
      <c r="R236" s="8">
        <f t="shared" si="544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hidden="1" spans="4:42">
      <c r="D237" s="25"/>
      <c r="F237" s="8" t="s">
        <v>83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1.40162126115911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</v>
      </c>
      <c r="R237" s="8">
        <f t="shared" si="54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5"/>
      <c r="F238" s="8" t="s">
        <v>83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5.40901790541293</v>
      </c>
      <c r="M238" s="8">
        <f t="shared" si="539"/>
        <v>259.6247165468</v>
      </c>
      <c r="N238" s="8">
        <f t="shared" si="540"/>
        <v>16.7215587558357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1076.2721003763</v>
      </c>
      <c r="R238" s="8">
        <f t="shared" si="544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hidden="1" spans="4:42">
      <c r="D239" s="25"/>
      <c r="F239" s="8" t="s">
        <v>83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</v>
      </c>
      <c r="M239" s="8">
        <f t="shared" si="455"/>
        <v>51.173305687545</v>
      </c>
      <c r="N239" s="8">
        <f t="shared" si="456"/>
        <v>24.4386639668826</v>
      </c>
      <c r="O239" s="8">
        <f t="shared" si="457"/>
        <v>42.985644600432</v>
      </c>
      <c r="P239" s="34">
        <v>508.684348705544</v>
      </c>
      <c r="Q239" s="8">
        <f t="shared" si="458"/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5"/>
      <c r="F240" s="8" t="s">
        <v>83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</v>
      </c>
      <c r="M240" s="8">
        <f t="shared" ref="M240:R240" si="559">X240/AK240*1.1</f>
        <v>50.5539650845392</v>
      </c>
      <c r="N240" s="8">
        <f t="shared" si="559"/>
        <v>8.86301473938085</v>
      </c>
      <c r="O240" s="8">
        <f t="shared" si="559"/>
        <v>1.34172675691144</v>
      </c>
      <c r="P240" s="8">
        <f t="shared" si="559"/>
        <v>69.6042165226782</v>
      </c>
      <c r="Q240" s="8">
        <f t="shared" si="559"/>
        <v>6.16997446976242</v>
      </c>
      <c r="R240" s="8">
        <f t="shared" si="559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5"/>
      <c r="F241" s="8" t="s">
        <v>83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</v>
      </c>
      <c r="N241" s="8">
        <f t="shared" ref="N241:N246" si="564">Y241/AL241*1.1</f>
        <v>62.8683955075594</v>
      </c>
      <c r="O241" s="8">
        <f t="shared" ref="O241:O246" si="565">Z241/AM241*1.1</f>
        <v>5.59450806011519</v>
      </c>
      <c r="P241" s="8">
        <f t="shared" ref="P241:P246" si="566">AA241/AN241*1.1</f>
        <v>785.922362598992</v>
      </c>
      <c r="Q241" s="8">
        <f t="shared" ref="Q241:Q246" si="567">AB241/AO241*1.1</f>
        <v>72.8565300971923</v>
      </c>
      <c r="R241" s="8">
        <f t="shared" ref="R241:R246" si="568">AC241/AP241*1.1</f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hidden="1" spans="4:42">
      <c r="D242" s="25"/>
      <c r="F242" s="8" t="s">
        <v>83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</v>
      </c>
      <c r="M242" s="8">
        <f t="shared" si="563"/>
        <v>54.8271769021598</v>
      </c>
      <c r="N242" s="8">
        <f t="shared" si="564"/>
        <v>208.759306356063</v>
      </c>
      <c r="O242" s="8">
        <f t="shared" si="565"/>
        <v>0.776114997521342</v>
      </c>
      <c r="P242" s="8">
        <f t="shared" si="566"/>
        <v>54.0177044009052</v>
      </c>
      <c r="Q242" s="8">
        <f t="shared" si="567"/>
        <v>19.6424903404299</v>
      </c>
      <c r="R242" s="8">
        <f t="shared" si="568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hidden="1" spans="4:42">
      <c r="D243" s="25"/>
      <c r="F243" s="8" t="s">
        <v>83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hidden="1" spans="4:42">
      <c r="D244" s="25"/>
      <c r="F244" s="8" t="s">
        <v>83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221.202264956803</v>
      </c>
      <c r="M244" s="8">
        <f t="shared" si="563"/>
        <v>51.8099224450503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443.685256092513</v>
      </c>
      <c r="Q244" s="8">
        <f t="shared" si="567"/>
        <v>0</v>
      </c>
      <c r="R244" s="8">
        <f t="shared" si="56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hidden="1" spans="4:42">
      <c r="D245" s="25"/>
      <c r="F245" s="8" t="s">
        <v>83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0.0152660307175426</v>
      </c>
      <c r="P245" s="8">
        <f t="shared" si="566"/>
        <v>0.0904589632829373</v>
      </c>
      <c r="Q245" s="8">
        <f t="shared" si="567"/>
        <v>4.48892501895849</v>
      </c>
      <c r="R245" s="8">
        <f t="shared" si="568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5"/>
      <c r="F246" s="8" t="s">
        <v>83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</v>
      </c>
      <c r="M246" s="8">
        <f t="shared" si="563"/>
        <v>262.442684638359</v>
      </c>
      <c r="N246" s="8">
        <f t="shared" si="564"/>
        <v>16.7384182991546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hidden="1" spans="4:42">
      <c r="D247" s="25"/>
      <c r="F247" s="8" t="s">
        <v>83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</v>
      </c>
      <c r="M247" s="8">
        <f t="shared" si="455"/>
        <v>52.7518278977682</v>
      </c>
      <c r="N247" s="8">
        <f t="shared" si="456"/>
        <v>24.6624239596832</v>
      </c>
      <c r="O247" s="8">
        <f t="shared" si="457"/>
        <v>45.0704187544996</v>
      </c>
      <c r="P247" s="34">
        <v>515.258666920086</v>
      </c>
      <c r="Q247" s="8">
        <f t="shared" si="458"/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5"/>
      <c r="F248" s="8" t="s">
        <v>83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</v>
      </c>
      <c r="M248" s="8">
        <f t="shared" ref="M248:R248" si="583">X248/AK248*1.1</f>
        <v>51.9087545969691</v>
      </c>
      <c r="N248" s="8">
        <f t="shared" si="583"/>
        <v>8.97283177429806</v>
      </c>
      <c r="O248" s="8">
        <f t="shared" si="583"/>
        <v>1.34763253891289</v>
      </c>
      <c r="P248" s="8">
        <f t="shared" si="583"/>
        <v>70.276829974802</v>
      </c>
      <c r="Q248" s="8">
        <f t="shared" si="583"/>
        <v>6.28534795788337</v>
      </c>
      <c r="R248" s="8">
        <f t="shared" si="583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5"/>
      <c r="F249" s="8" t="s">
        <v>83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200.351899467243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5.597836312455</v>
      </c>
      <c r="P249" s="8">
        <f t="shared" ref="P249:P254" si="590">AA249/AN249*1.1</f>
        <v>827.825336537077</v>
      </c>
      <c r="Q249" s="8">
        <f t="shared" ref="Q249:Q254" si="591">AB249/AO249*1.1</f>
        <v>72.8565300971923</v>
      </c>
      <c r="R249" s="8">
        <f t="shared" ref="R249:R254" si="592">AC249/AP249*1.1</f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hidden="1" spans="4:42">
      <c r="D250" s="25"/>
      <c r="F250" s="8" t="s">
        <v>83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</v>
      </c>
      <c r="M250" s="8">
        <f t="shared" si="587"/>
        <v>60.1914249535327</v>
      </c>
      <c r="N250" s="8">
        <f t="shared" si="588"/>
        <v>221.713901594158</v>
      </c>
      <c r="O250" s="8">
        <f t="shared" si="589"/>
        <v>0.817021646940246</v>
      </c>
      <c r="P250" s="8">
        <f t="shared" si="590"/>
        <v>56.1856118132264</v>
      </c>
      <c r="Q250" s="8">
        <f t="shared" si="591"/>
        <v>19.7442039679111</v>
      </c>
      <c r="R250" s="8">
        <f t="shared" si="592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hidden="1" spans="4:42">
      <c r="D251" s="25"/>
      <c r="F251" s="8" t="s">
        <v>83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hidden="1" spans="4:42">
      <c r="D252" s="25"/>
      <c r="F252" s="8" t="s">
        <v>83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</v>
      </c>
      <c r="M252" s="8">
        <f t="shared" si="587"/>
        <v>58.7494465483621</v>
      </c>
      <c r="N252" s="8">
        <f t="shared" si="588"/>
        <v>28.5923518817494</v>
      </c>
      <c r="O252" s="8">
        <f t="shared" si="589"/>
        <v>0</v>
      </c>
      <c r="P252" s="8">
        <f t="shared" si="590"/>
        <v>465.154466792656</v>
      </c>
      <c r="Q252" s="8">
        <f t="shared" si="591"/>
        <v>0</v>
      </c>
      <c r="R252" s="8">
        <f t="shared" si="592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hidden="1" spans="4:42">
      <c r="D253" s="25"/>
      <c r="F253" s="8" t="s">
        <v>83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0.00849352051835852</v>
      </c>
      <c r="M253" s="8">
        <f t="shared" si="587"/>
        <v>1.5117796787137</v>
      </c>
      <c r="N253" s="8">
        <f t="shared" si="588"/>
        <v>0.0268545716342692</v>
      </c>
      <c r="O253" s="8">
        <f t="shared" si="589"/>
        <v>0.0499826607559396</v>
      </c>
      <c r="P253" s="8">
        <f t="shared" si="590"/>
        <v>0.180917926565875</v>
      </c>
      <c r="Q253" s="8">
        <f t="shared" si="591"/>
        <v>4.39604031677466</v>
      </c>
      <c r="R253" s="8">
        <f t="shared" si="592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5"/>
      <c r="F254" s="8" t="s">
        <v>83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5.51713900306532</v>
      </c>
      <c r="M254" s="8">
        <f t="shared" si="587"/>
        <v>267.022630953775</v>
      </c>
      <c r="N254" s="8">
        <f t="shared" si="588"/>
        <v>17.0325350292801</v>
      </c>
      <c r="O254" s="8">
        <f t="shared" si="589"/>
        <v>204.447251708936</v>
      </c>
      <c r="P254" s="8">
        <f t="shared" si="590"/>
        <v>166.524173676827</v>
      </c>
      <c r="Q254" s="8">
        <f t="shared" si="591"/>
        <v>1078.76279949975</v>
      </c>
      <c r="R254" s="8">
        <f t="shared" si="592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hidden="1" spans="4:42">
      <c r="D255" s="25"/>
      <c r="F255" s="8" t="s">
        <v>83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</v>
      </c>
      <c r="M255" s="8">
        <f t="shared" si="455"/>
        <v>54.6946333693305</v>
      </c>
      <c r="N255" s="8">
        <f t="shared" si="456"/>
        <v>24.8363823614111</v>
      </c>
      <c r="O255" s="8">
        <f t="shared" si="457"/>
        <v>47.3015178545716</v>
      </c>
      <c r="P255" s="34">
        <v>521.632096725702</v>
      </c>
      <c r="Q255" s="8">
        <f t="shared" si="458"/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5"/>
      <c r="F256" s="8" t="s">
        <v>83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52.7597436767243</v>
      </c>
      <c r="N256" s="8">
        <f t="shared" si="607"/>
        <v>9.10904303995681</v>
      </c>
      <c r="O256" s="8">
        <f t="shared" si="607"/>
        <v>1.35353832091433</v>
      </c>
      <c r="P256" s="8">
        <f t="shared" si="607"/>
        <v>71.309600611951</v>
      </c>
      <c r="Q256" s="8">
        <f t="shared" si="607"/>
        <v>6.40072144600432</v>
      </c>
      <c r="R256" s="8">
        <f t="shared" si="607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5"/>
      <c r="F257" s="8" t="s">
        <v>83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202.366368232542</v>
      </c>
      <c r="M257" s="8">
        <f t="shared" ref="M257:M258" si="611">X257/AK257*1.1</f>
        <v>107.882489524143</v>
      </c>
      <c r="N257" s="8">
        <f t="shared" ref="N257:N258" si="612">Y257/AL257*1.1</f>
        <v>63.0501676565874</v>
      </c>
      <c r="O257" s="8">
        <f t="shared" ref="O257:O258" si="613">Z257/AM257*1.1</f>
        <v>5.63803806947444</v>
      </c>
      <c r="P257" s="8">
        <f t="shared" ref="P257:P258" si="614">AA257/AN257*1.1</f>
        <v>871.249312706983</v>
      </c>
      <c r="Q257" s="8">
        <f t="shared" ref="Q257:Q258" si="615">AB257/AO257*1.1</f>
        <v>72.8565300971923</v>
      </c>
      <c r="R257" s="8">
        <f t="shared" ref="R257:R258" si="616">AC257/AP257*1.1</f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hidden="1" spans="4:42">
      <c r="D258" s="25"/>
      <c r="F258" s="8" t="s">
        <v>83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</v>
      </c>
      <c r="M258" s="8">
        <f t="shared" si="611"/>
        <v>66.6515494510954</v>
      </c>
      <c r="N258" s="8">
        <f t="shared" si="612"/>
        <v>234.655181096369</v>
      </c>
      <c r="O258" s="8">
        <f t="shared" si="613"/>
        <v>0.842950238732901</v>
      </c>
      <c r="P258" s="8">
        <f t="shared" si="614"/>
        <v>58.0100404072816</v>
      </c>
      <c r="Q258" s="8">
        <f t="shared" si="615"/>
        <v>19.8411857626247</v>
      </c>
      <c r="R258" s="8">
        <f t="shared" si="61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filterColumn colId="0">
      <filters blank="1">
        <filter val="ELCHYD00"/>
        <filter val="ELCSOL00"/>
        <filter val="ELCWIN00"/>
        <filter val="Pset_PN"/>
      </filters>
    </filterColumn>
    <extLst/>
  </autoFilter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82" zoomScaleNormal="82" topLeftCell="D7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60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74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spans="3:42">
      <c r="C11" s="41"/>
      <c r="D11" s="25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 t="shared" ref="L11:R11" si="0">W11/AJ11</f>
        <v>266.574866810655</v>
      </c>
      <c r="M11" s="8">
        <f t="shared" si="0"/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2"/>
      <c r="D12" s="25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R12" si="2">W12/AJ12</f>
        <v>372.571546346293</v>
      </c>
      <c r="M12" s="8">
        <f t="shared" si="2"/>
        <v>11.8358234113571</v>
      </c>
      <c r="N12" s="8">
        <f t="shared" si="2"/>
        <v>98.2184221562275</v>
      </c>
      <c r="O12" s="8">
        <f t="shared" si="2"/>
        <v>0.188318401187905</v>
      </c>
      <c r="P12" s="8">
        <f t="shared" si="2"/>
        <v>99.346254049676</v>
      </c>
      <c r="Q12" s="8">
        <f t="shared" si="2"/>
        <v>0.778896498200145</v>
      </c>
      <c r="R12" s="8">
        <f t="shared" si="2"/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85</v>
      </c>
      <c r="AJ12">
        <v>0.4</v>
      </c>
      <c r="AK12">
        <f t="shared" ref="AK12:AP12" si="3">AJ12</f>
        <v>0.4</v>
      </c>
      <c r="AL12">
        <f t="shared" si="3"/>
        <v>0.4</v>
      </c>
      <c r="AM12">
        <f t="shared" si="3"/>
        <v>0.4</v>
      </c>
      <c r="AN12">
        <f t="shared" si="3"/>
        <v>0.4</v>
      </c>
      <c r="AO12">
        <f t="shared" si="3"/>
        <v>0.4</v>
      </c>
      <c r="AP12">
        <f t="shared" si="3"/>
        <v>0.4</v>
      </c>
    </row>
    <row r="13" ht="16" spans="4:42">
      <c r="D13" s="25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ref="L13:R13" si="4">W13/AJ13</f>
        <v>0.187886969042477</v>
      </c>
      <c r="M13" s="8">
        <f t="shared" si="4"/>
        <v>2.21577829949604</v>
      </c>
      <c r="N13" s="8">
        <f t="shared" si="4"/>
        <v>0.0122349892008639</v>
      </c>
      <c r="O13" s="8">
        <f t="shared" si="4"/>
        <v>0.196936273098152</v>
      </c>
      <c r="P13" s="8">
        <f t="shared" si="4"/>
        <v>1.02079121670266</v>
      </c>
      <c r="Q13" s="8">
        <f t="shared" si="4"/>
        <v>6.68061291096713</v>
      </c>
      <c r="R13" s="8">
        <f t="shared" si="4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86</v>
      </c>
      <c r="AJ13">
        <v>0.3</v>
      </c>
      <c r="AK13">
        <f t="shared" ref="AK13:AP13" si="5">AJ13</f>
        <v>0.3</v>
      </c>
      <c r="AL13">
        <f t="shared" si="5"/>
        <v>0.3</v>
      </c>
      <c r="AM13">
        <f t="shared" si="5"/>
        <v>0.3</v>
      </c>
      <c r="AN13">
        <f t="shared" si="5"/>
        <v>0.3</v>
      </c>
      <c r="AO13">
        <f t="shared" si="5"/>
        <v>0.3</v>
      </c>
      <c r="AP13">
        <f t="shared" si="5"/>
        <v>0.3</v>
      </c>
    </row>
    <row r="14" ht="16" spans="4:42">
      <c r="D14" s="25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ref="L14:R14" si="6">W14/AJ14</f>
        <v>9.02182456413796</v>
      </c>
      <c r="M14" s="8">
        <f t="shared" si="6"/>
        <v>239.361263392785</v>
      </c>
      <c r="N14" s="8">
        <f t="shared" si="6"/>
        <v>12.5773461772542</v>
      </c>
      <c r="O14" s="8">
        <f t="shared" si="6"/>
        <v>134.124395990589</v>
      </c>
      <c r="P14" s="8">
        <f t="shared" si="6"/>
        <v>144.749155292319</v>
      </c>
      <c r="Q14" s="8">
        <f t="shared" si="6"/>
        <v>720.786376388858</v>
      </c>
      <c r="R14" s="8">
        <f t="shared" si="6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87</v>
      </c>
      <c r="AJ14">
        <v>0.97</v>
      </c>
      <c r="AK14">
        <f t="shared" ref="AK14:AP14" si="7">AJ14</f>
        <v>0.97</v>
      </c>
      <c r="AL14">
        <f t="shared" si="7"/>
        <v>0.97</v>
      </c>
      <c r="AM14">
        <f t="shared" si="7"/>
        <v>0.97</v>
      </c>
      <c r="AN14">
        <f t="shared" si="7"/>
        <v>0.97</v>
      </c>
      <c r="AO14">
        <f t="shared" si="7"/>
        <v>0.97</v>
      </c>
      <c r="AP14">
        <f t="shared" si="7"/>
        <v>0.97</v>
      </c>
    </row>
    <row r="15" ht="16" spans="4:42">
      <c r="D15" s="25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ref="L15:O15" si="8">W15/AJ15</f>
        <v>0</v>
      </c>
      <c r="M15" s="8">
        <f t="shared" si="8"/>
        <v>0</v>
      </c>
      <c r="N15" s="8">
        <f t="shared" si="8"/>
        <v>0</v>
      </c>
      <c r="O15" s="8">
        <f t="shared" si="8"/>
        <v>0</v>
      </c>
      <c r="P15" s="34">
        <v>32.6480421540679</v>
      </c>
      <c r="Q15" s="8">
        <f>AB15/AO15</f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89</v>
      </c>
      <c r="AJ15" s="45">
        <v>1</v>
      </c>
      <c r="AK15" s="45">
        <v>1</v>
      </c>
      <c r="AL15" s="45">
        <f t="shared" ref="AL15:AP15" si="9">AK15</f>
        <v>1</v>
      </c>
      <c r="AM15" s="45">
        <f t="shared" si="9"/>
        <v>1</v>
      </c>
      <c r="AN15" s="45">
        <f t="shared" si="9"/>
        <v>1</v>
      </c>
      <c r="AO15" s="45">
        <f t="shared" si="9"/>
        <v>1</v>
      </c>
      <c r="AP15" s="45">
        <f t="shared" si="9"/>
        <v>1</v>
      </c>
    </row>
    <row r="16" ht="16" spans="4:42">
      <c r="D16" s="25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ref="L16:R16" si="10">W16/AJ16</f>
        <v>0.641186192584593</v>
      </c>
      <c r="M16" s="8">
        <f t="shared" si="10"/>
        <v>0.103449060183585</v>
      </c>
      <c r="N16" s="8">
        <f t="shared" si="10"/>
        <v>0.115296256803456</v>
      </c>
      <c r="O16" s="8">
        <f t="shared" si="10"/>
        <v>0.0300581751547876</v>
      </c>
      <c r="P16" s="8">
        <f t="shared" si="10"/>
        <v>20.2886954931605</v>
      </c>
      <c r="Q16" s="8">
        <f t="shared" si="10"/>
        <v>0.109915518142549</v>
      </c>
      <c r="R16" s="8">
        <f t="shared" si="10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90</v>
      </c>
      <c r="AJ16">
        <v>1</v>
      </c>
      <c r="AK16">
        <f t="shared" ref="AK16:AP16" si="11">AJ16</f>
        <v>1</v>
      </c>
      <c r="AL16">
        <f t="shared" si="11"/>
        <v>1</v>
      </c>
      <c r="AM16">
        <f t="shared" si="11"/>
        <v>1</v>
      </c>
      <c r="AN16">
        <f t="shared" si="11"/>
        <v>1</v>
      </c>
      <c r="AO16">
        <f t="shared" si="11"/>
        <v>1</v>
      </c>
      <c r="AP16">
        <f t="shared" si="11"/>
        <v>1</v>
      </c>
    </row>
    <row r="17" ht="16" spans="4:42">
      <c r="D17" s="25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ref="L17:R17" si="12">W17/AJ17</f>
        <v>19.6278420554356</v>
      </c>
      <c r="M17" s="8">
        <f t="shared" si="12"/>
        <v>10.8931014612419</v>
      </c>
      <c r="N17" s="8">
        <f t="shared" si="12"/>
        <v>2.95705171202304</v>
      </c>
      <c r="O17" s="8">
        <f t="shared" si="12"/>
        <v>3.3795993912887</v>
      </c>
      <c r="P17" s="8">
        <f t="shared" si="12"/>
        <v>47.4038760979122</v>
      </c>
      <c r="Q17" s="8">
        <f t="shared" si="12"/>
        <v>40.7592956443484</v>
      </c>
      <c r="R17" s="8">
        <f t="shared" si="12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91</v>
      </c>
      <c r="AJ17">
        <v>1</v>
      </c>
      <c r="AK17">
        <f t="shared" ref="AK17:AP17" si="13">AJ17</f>
        <v>1</v>
      </c>
      <c r="AL17">
        <f t="shared" si="13"/>
        <v>1</v>
      </c>
      <c r="AM17">
        <f t="shared" si="13"/>
        <v>1</v>
      </c>
      <c r="AN17">
        <f t="shared" si="13"/>
        <v>1</v>
      </c>
      <c r="AO17">
        <f t="shared" si="13"/>
        <v>1</v>
      </c>
      <c r="AP17">
        <f t="shared" si="13"/>
        <v>1</v>
      </c>
    </row>
    <row r="18" ht="16" spans="4:42">
      <c r="D18" s="25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ref="L18:R18" si="14">W18/AJ18</f>
        <v>18.3557504576777</v>
      </c>
      <c r="M18" s="8">
        <f t="shared" si="14"/>
        <v>40.4756485216189</v>
      </c>
      <c r="N18" s="8">
        <f t="shared" si="14"/>
        <v>1.12363041550962</v>
      </c>
      <c r="O18" s="8">
        <f t="shared" si="14"/>
        <v>0.82176283040214</v>
      </c>
      <c r="P18" s="8">
        <f t="shared" si="14"/>
        <v>11.3133806438342</v>
      </c>
      <c r="Q18" s="8">
        <f t="shared" si="14"/>
        <v>13.4671333024787</v>
      </c>
      <c r="R18" s="8">
        <f t="shared" si="14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5"/>
      <c r="F19" s="8" t="s">
        <v>83</v>
      </c>
      <c r="G19" s="11" t="str">
        <f t="shared" ref="G19:G82" si="16">G18</f>
        <v>ACT_BND</v>
      </c>
      <c r="H19" t="str">
        <f t="shared" ref="H19:H82" si="17">H18</f>
        <v>UP</v>
      </c>
      <c r="J19" s="10">
        <v>2021</v>
      </c>
      <c r="K19" s="10" t="str">
        <f t="shared" ref="K19:K82" si="18">K11</f>
        <v>ELCCOH00</v>
      </c>
      <c r="L19" s="8">
        <f t="shared" ref="L19:R19" si="19">W19/AJ19</f>
        <v>153.614838297147</v>
      </c>
      <c r="M19" s="8">
        <f t="shared" si="19"/>
        <v>0</v>
      </c>
      <c r="N19" s="8">
        <f t="shared" si="19"/>
        <v>97.8987154711834</v>
      </c>
      <c r="O19" s="8">
        <f t="shared" si="19"/>
        <v>0</v>
      </c>
      <c r="P19" s="8">
        <f t="shared" si="19"/>
        <v>0</v>
      </c>
      <c r="Q19" s="8">
        <f t="shared" si="19"/>
        <v>0</v>
      </c>
      <c r="R19" s="8">
        <f t="shared" si="19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20">AJ11</f>
        <v>0.38</v>
      </c>
      <c r="AK19">
        <f t="shared" si="20"/>
        <v>0.38</v>
      </c>
      <c r="AL19">
        <f t="shared" si="20"/>
        <v>0.38</v>
      </c>
      <c r="AM19">
        <f t="shared" si="20"/>
        <v>0.38</v>
      </c>
      <c r="AN19">
        <f t="shared" si="20"/>
        <v>0.38</v>
      </c>
      <c r="AO19">
        <f t="shared" si="20"/>
        <v>0.38</v>
      </c>
      <c r="AP19">
        <f t="shared" si="20"/>
        <v>0.38</v>
      </c>
    </row>
    <row r="20" ht="16" spans="4:42">
      <c r="D20" s="25"/>
      <c r="F20" s="8" t="s">
        <v>83</v>
      </c>
      <c r="G20" s="11" t="str">
        <f t="shared" si="16"/>
        <v>ACT_BND</v>
      </c>
      <c r="H20" t="str">
        <f t="shared" si="17"/>
        <v>UP</v>
      </c>
      <c r="J20" s="10">
        <v>2021</v>
      </c>
      <c r="K20" s="10" t="str">
        <f t="shared" si="18"/>
        <v>ELCGAS00</v>
      </c>
      <c r="L20" s="8">
        <f t="shared" ref="L20:R20" si="21">W20/AJ20</f>
        <v>418.641764578832</v>
      </c>
      <c r="M20" s="8">
        <f t="shared" si="21"/>
        <v>17.040407611951</v>
      </c>
      <c r="N20" s="8">
        <f t="shared" si="21"/>
        <v>99.8375296076315</v>
      </c>
      <c r="O20" s="8">
        <f t="shared" si="21"/>
        <v>0.416650488390927</v>
      </c>
      <c r="P20" s="8">
        <f t="shared" si="21"/>
        <v>102.466607181426</v>
      </c>
      <c r="Q20" s="8">
        <f t="shared" si="21"/>
        <v>0.95759540136789</v>
      </c>
      <c r="R20" s="8">
        <f t="shared" si="21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2">AJ12</f>
        <v>0.4</v>
      </c>
      <c r="AK20">
        <f t="shared" si="22"/>
        <v>0.4</v>
      </c>
      <c r="AL20">
        <f t="shared" si="22"/>
        <v>0.4</v>
      </c>
      <c r="AM20">
        <f t="shared" si="22"/>
        <v>0.4</v>
      </c>
      <c r="AN20">
        <f t="shared" si="22"/>
        <v>0.4</v>
      </c>
      <c r="AO20">
        <f t="shared" si="22"/>
        <v>0.4</v>
      </c>
      <c r="AP20">
        <f t="shared" si="22"/>
        <v>0.4</v>
      </c>
    </row>
    <row r="21" ht="16" spans="4:42">
      <c r="D21" s="25"/>
      <c r="F21" s="8" t="s">
        <v>83</v>
      </c>
      <c r="G21" s="11" t="str">
        <f t="shared" si="16"/>
        <v>ACT_BND</v>
      </c>
      <c r="H21" t="str">
        <f t="shared" si="17"/>
        <v>UP</v>
      </c>
      <c r="J21" s="10">
        <v>2021</v>
      </c>
      <c r="K21" s="10" t="str">
        <f t="shared" si="18"/>
        <v>ELCHFO00</v>
      </c>
      <c r="L21" s="8">
        <f t="shared" ref="L21:R21" si="23">W21/AJ21</f>
        <v>0.187886969042477</v>
      </c>
      <c r="M21" s="8">
        <f t="shared" si="23"/>
        <v>2.23884935145188</v>
      </c>
      <c r="N21" s="8">
        <f t="shared" si="23"/>
        <v>0.0122349892008639</v>
      </c>
      <c r="O21" s="8">
        <f t="shared" si="23"/>
        <v>0.202474522678186</v>
      </c>
      <c r="P21" s="8">
        <f t="shared" si="23"/>
        <v>1.12022678185745</v>
      </c>
      <c r="Q21" s="8">
        <f t="shared" si="23"/>
        <v>6.67702160067193</v>
      </c>
      <c r="R21" s="8">
        <f t="shared" si="23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4">AJ13</f>
        <v>0.3</v>
      </c>
      <c r="AK21">
        <f t="shared" si="24"/>
        <v>0.3</v>
      </c>
      <c r="AL21">
        <f t="shared" si="24"/>
        <v>0.3</v>
      </c>
      <c r="AM21">
        <f t="shared" si="24"/>
        <v>0.3</v>
      </c>
      <c r="AN21">
        <f t="shared" si="24"/>
        <v>0.3</v>
      </c>
      <c r="AO21">
        <f t="shared" si="24"/>
        <v>0.3</v>
      </c>
      <c r="AP21">
        <f t="shared" si="24"/>
        <v>0.3</v>
      </c>
    </row>
    <row r="22" ht="16" spans="4:42">
      <c r="D22" s="25"/>
      <c r="F22" s="8" t="s">
        <v>83</v>
      </c>
      <c r="G22" s="11" t="str">
        <f t="shared" si="16"/>
        <v>ACT_BND</v>
      </c>
      <c r="H22" t="str">
        <f t="shared" si="17"/>
        <v>UP</v>
      </c>
      <c r="J22" s="10">
        <v>2021</v>
      </c>
      <c r="K22" s="10" t="str">
        <f t="shared" si="18"/>
        <v>ELCHYD00</v>
      </c>
      <c r="L22" s="8">
        <f t="shared" ref="L22:R22" si="25">W22/AJ22</f>
        <v>7.98273243377643</v>
      </c>
      <c r="M22" s="8">
        <f t="shared" si="25"/>
        <v>239.562161926551</v>
      </c>
      <c r="N22" s="8">
        <f t="shared" si="25"/>
        <v>9.25741795254318</v>
      </c>
      <c r="O22" s="8">
        <f t="shared" si="25"/>
        <v>107.101476067481</v>
      </c>
      <c r="P22" s="8">
        <f t="shared" si="25"/>
        <v>130.750222477047</v>
      </c>
      <c r="Q22" s="8">
        <f t="shared" si="25"/>
        <v>744.391011853072</v>
      </c>
      <c r="R22" s="8">
        <f t="shared" si="25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6">AJ14</f>
        <v>0.97</v>
      </c>
      <c r="AK22">
        <f t="shared" si="26"/>
        <v>0.97</v>
      </c>
      <c r="AL22">
        <f t="shared" si="26"/>
        <v>0.97</v>
      </c>
      <c r="AM22">
        <f t="shared" si="26"/>
        <v>0.97</v>
      </c>
      <c r="AN22">
        <f t="shared" si="26"/>
        <v>0.97</v>
      </c>
      <c r="AO22">
        <f t="shared" si="26"/>
        <v>0.97</v>
      </c>
      <c r="AP22">
        <f t="shared" si="26"/>
        <v>0.97</v>
      </c>
    </row>
    <row r="23" ht="16" spans="4:42">
      <c r="D23" s="25"/>
      <c r="F23" s="8" t="s">
        <v>83</v>
      </c>
      <c r="G23" s="11" t="str">
        <f t="shared" si="16"/>
        <v>ACT_BND</v>
      </c>
      <c r="H23" t="str">
        <f t="shared" si="17"/>
        <v>UP</v>
      </c>
      <c r="J23" s="10">
        <v>2021</v>
      </c>
      <c r="K23" s="10" t="str">
        <f t="shared" si="18"/>
        <v>ENCAN01_SMR</v>
      </c>
      <c r="L23" s="8">
        <f t="shared" ref="L23:O23" si="27">W23/AJ23</f>
        <v>0</v>
      </c>
      <c r="M23" s="8">
        <f t="shared" si="27"/>
        <v>0</v>
      </c>
      <c r="N23" s="8">
        <f t="shared" si="27"/>
        <v>0</v>
      </c>
      <c r="O23" s="8">
        <f t="shared" si="27"/>
        <v>0</v>
      </c>
      <c r="P23" s="34">
        <v>19.7069732915769</v>
      </c>
      <c r="Q23" s="8">
        <f>AB23/AO23</f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8">AJ15</f>
        <v>1</v>
      </c>
      <c r="AK23">
        <f t="shared" si="28"/>
        <v>1</v>
      </c>
      <c r="AL23">
        <f t="shared" si="28"/>
        <v>1</v>
      </c>
      <c r="AM23">
        <f t="shared" si="28"/>
        <v>1</v>
      </c>
      <c r="AN23">
        <f t="shared" si="28"/>
        <v>1</v>
      </c>
      <c r="AO23">
        <f t="shared" si="28"/>
        <v>1</v>
      </c>
      <c r="AP23">
        <f t="shared" si="28"/>
        <v>1</v>
      </c>
    </row>
    <row r="24" ht="16" spans="4:42">
      <c r="D24" s="25"/>
      <c r="F24" s="8" t="s">
        <v>83</v>
      </c>
      <c r="G24" s="11" t="str">
        <f t="shared" si="16"/>
        <v>ACT_BND</v>
      </c>
      <c r="H24" t="str">
        <f t="shared" si="17"/>
        <v>UP</v>
      </c>
      <c r="J24" s="10">
        <v>2021</v>
      </c>
      <c r="K24" s="10" t="str">
        <f t="shared" si="18"/>
        <v>ELCSOL00</v>
      </c>
      <c r="L24" s="8">
        <f t="shared" ref="L24:R24" si="29">W24/AJ24</f>
        <v>1.46105905867531</v>
      </c>
      <c r="M24" s="8">
        <f t="shared" si="29"/>
        <v>0.115081441227502</v>
      </c>
      <c r="N24" s="8">
        <f t="shared" si="29"/>
        <v>0.127175306479482</v>
      </c>
      <c r="O24" s="8">
        <f t="shared" si="29"/>
        <v>0.0372575992080634</v>
      </c>
      <c r="P24" s="8">
        <f t="shared" si="29"/>
        <v>20.6121506191505</v>
      </c>
      <c r="Q24" s="8">
        <f t="shared" si="29"/>
        <v>0.120714654211663</v>
      </c>
      <c r="R24" s="8">
        <f t="shared" si="29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30">AJ16</f>
        <v>1</v>
      </c>
      <c r="AK24">
        <f t="shared" si="30"/>
        <v>1</v>
      </c>
      <c r="AL24">
        <f t="shared" si="30"/>
        <v>1</v>
      </c>
      <c r="AM24">
        <f t="shared" si="30"/>
        <v>1</v>
      </c>
      <c r="AN24">
        <f t="shared" si="30"/>
        <v>1</v>
      </c>
      <c r="AO24">
        <f t="shared" si="30"/>
        <v>1</v>
      </c>
      <c r="AP24">
        <f t="shared" si="30"/>
        <v>1</v>
      </c>
    </row>
    <row r="25" ht="16" spans="4:42">
      <c r="D25" s="25"/>
      <c r="F25" s="8" t="s">
        <v>83</v>
      </c>
      <c r="G25" s="11" t="str">
        <f t="shared" si="16"/>
        <v>ACT_BND</v>
      </c>
      <c r="H25" t="str">
        <f t="shared" si="17"/>
        <v>UP</v>
      </c>
      <c r="J25" s="10">
        <v>2021</v>
      </c>
      <c r="K25" s="10" t="str">
        <f t="shared" si="18"/>
        <v>ELCWIN00</v>
      </c>
      <c r="L25" s="8">
        <f t="shared" ref="L25:R25" si="31">W25/AJ25</f>
        <v>24.480253862491</v>
      </c>
      <c r="M25" s="8">
        <f t="shared" si="31"/>
        <v>7.29698915022678</v>
      </c>
      <c r="N25" s="8">
        <f t="shared" si="31"/>
        <v>3.13314832469402</v>
      </c>
      <c r="O25" s="8">
        <f t="shared" si="31"/>
        <v>3.41609802663787</v>
      </c>
      <c r="P25" s="8">
        <f t="shared" si="31"/>
        <v>44.7068942044636</v>
      </c>
      <c r="Q25" s="8">
        <f t="shared" si="31"/>
        <v>37.1595836213103</v>
      </c>
      <c r="R25" s="8">
        <f t="shared" si="31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2">AJ17</f>
        <v>1</v>
      </c>
      <c r="AK25">
        <f t="shared" si="32"/>
        <v>1</v>
      </c>
      <c r="AL25">
        <f t="shared" si="32"/>
        <v>1</v>
      </c>
      <c r="AM25">
        <f t="shared" si="32"/>
        <v>1</v>
      </c>
      <c r="AN25">
        <f t="shared" si="32"/>
        <v>1</v>
      </c>
      <c r="AO25">
        <f t="shared" si="32"/>
        <v>1</v>
      </c>
      <c r="AP25">
        <f t="shared" si="32"/>
        <v>1</v>
      </c>
    </row>
    <row r="26" ht="16" spans="4:42">
      <c r="D26" s="25"/>
      <c r="F26" s="8" t="s">
        <v>83</v>
      </c>
      <c r="G26" s="11" t="str">
        <f t="shared" si="16"/>
        <v>ACT_BND</v>
      </c>
      <c r="H26" t="str">
        <f t="shared" si="17"/>
        <v>UP</v>
      </c>
      <c r="J26" s="10">
        <v>2021</v>
      </c>
      <c r="K26" s="10" t="str">
        <f t="shared" si="18"/>
        <v>ELCWOO00</v>
      </c>
      <c r="L26" s="8">
        <f t="shared" ref="L26:R26" si="33">W26/AJ26</f>
        <v>18.44673412527</v>
      </c>
      <c r="M26" s="8">
        <f t="shared" si="33"/>
        <v>41.7663715528334</v>
      </c>
      <c r="N26" s="8">
        <f t="shared" si="33"/>
        <v>1.12991862079605</v>
      </c>
      <c r="O26" s="8">
        <f t="shared" si="33"/>
        <v>0.832006582330557</v>
      </c>
      <c r="P26" s="8">
        <f t="shared" si="33"/>
        <v>12.289220662347</v>
      </c>
      <c r="Q26" s="8">
        <f t="shared" si="33"/>
        <v>13.3829393088553</v>
      </c>
      <c r="R26" s="8">
        <f t="shared" si="33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4">AJ18</f>
        <v>0.35</v>
      </c>
      <c r="AK26">
        <f t="shared" si="34"/>
        <v>0.35</v>
      </c>
      <c r="AL26">
        <f t="shared" si="34"/>
        <v>0.35</v>
      </c>
      <c r="AM26">
        <f t="shared" si="34"/>
        <v>0.35</v>
      </c>
      <c r="AN26">
        <f t="shared" si="34"/>
        <v>0.35</v>
      </c>
      <c r="AO26">
        <f t="shared" si="34"/>
        <v>0.35</v>
      </c>
      <c r="AP26">
        <f t="shared" si="34"/>
        <v>0.35</v>
      </c>
    </row>
    <row r="27" ht="16" spans="4:42">
      <c r="D27" s="25"/>
      <c r="F27" s="8" t="s">
        <v>83</v>
      </c>
      <c r="G27" s="11" t="str">
        <f t="shared" si="16"/>
        <v>ACT_BND</v>
      </c>
      <c r="H27" t="str">
        <f t="shared" si="17"/>
        <v>UP</v>
      </c>
      <c r="J27" s="10">
        <v>2022</v>
      </c>
      <c r="K27" s="10" t="str">
        <f t="shared" si="18"/>
        <v>ELCCOH00</v>
      </c>
      <c r="L27" s="8">
        <f t="shared" ref="L27:R27" si="35">W27/AJ27</f>
        <v>134.814367966352</v>
      </c>
      <c r="M27" s="8">
        <f t="shared" si="35"/>
        <v>0</v>
      </c>
      <c r="N27" s="8">
        <f t="shared" si="35"/>
        <v>74.6413944431813</v>
      </c>
      <c r="O27" s="8">
        <f t="shared" si="35"/>
        <v>0</v>
      </c>
      <c r="P27" s="8">
        <f t="shared" si="35"/>
        <v>0</v>
      </c>
      <c r="Q27" s="8">
        <f t="shared" si="35"/>
        <v>0</v>
      </c>
      <c r="R27" s="8">
        <f t="shared" si="35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5"/>
      <c r="F28" s="8" t="s">
        <v>83</v>
      </c>
      <c r="G28" s="11" t="str">
        <f t="shared" si="16"/>
        <v>ACT_BND</v>
      </c>
      <c r="H28" t="str">
        <f t="shared" si="17"/>
        <v>UP</v>
      </c>
      <c r="J28" s="10">
        <v>2022</v>
      </c>
      <c r="K28" s="10" t="str">
        <f t="shared" si="18"/>
        <v>ELCGAS00</v>
      </c>
      <c r="L28" s="8">
        <f t="shared" ref="L28:R28" si="37">W28/AJ28</f>
        <v>481.51730273578</v>
      </c>
      <c r="M28" s="8">
        <f t="shared" si="37"/>
        <v>16.119301537077</v>
      </c>
      <c r="N28" s="8">
        <f t="shared" si="37"/>
        <v>101.21428599712</v>
      </c>
      <c r="O28" s="8">
        <f t="shared" si="37"/>
        <v>1.58735065514759</v>
      </c>
      <c r="P28" s="8">
        <f t="shared" si="37"/>
        <v>97.5661816954642</v>
      </c>
      <c r="Q28" s="8">
        <f t="shared" si="37"/>
        <v>2.68789715442765</v>
      </c>
      <c r="R28" s="8">
        <f t="shared" si="37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5"/>
      <c r="F29" s="8" t="s">
        <v>83</v>
      </c>
      <c r="G29" s="11" t="str">
        <f t="shared" si="16"/>
        <v>ACT_BND</v>
      </c>
      <c r="H29" t="str">
        <f t="shared" si="17"/>
        <v>UP</v>
      </c>
      <c r="J29" s="10">
        <v>2022</v>
      </c>
      <c r="K29" s="10" t="str">
        <f t="shared" si="18"/>
        <v>ELCHFO00</v>
      </c>
      <c r="L29" s="8">
        <f t="shared" ref="L29:R29" si="39">W29/AJ29</f>
        <v>0.187886969042477</v>
      </c>
      <c r="M29" s="8">
        <f t="shared" si="39"/>
        <v>2.54425610475162</v>
      </c>
      <c r="N29" s="8">
        <f t="shared" si="39"/>
        <v>0.0122349892008639</v>
      </c>
      <c r="O29" s="8">
        <f t="shared" si="39"/>
        <v>0.196085673146148</v>
      </c>
      <c r="P29" s="8">
        <f t="shared" si="39"/>
        <v>1.02079121670266</v>
      </c>
      <c r="Q29" s="8">
        <f t="shared" si="39"/>
        <v>6.91981331653467</v>
      </c>
      <c r="R29" s="8">
        <f t="shared" si="39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83</v>
      </c>
      <c r="G30" s="11" t="str">
        <f t="shared" si="16"/>
        <v>ACT_BND</v>
      </c>
      <c r="H30" t="str">
        <f t="shared" si="17"/>
        <v>UP</v>
      </c>
      <c r="J30" s="10">
        <v>2022</v>
      </c>
      <c r="K30" s="10" t="str">
        <f t="shared" si="18"/>
        <v>ELCHYD00</v>
      </c>
      <c r="L30" s="8">
        <f t="shared" ref="L30:R30" si="41">W30/AJ30</f>
        <v>8.3538367660484</v>
      </c>
      <c r="M30" s="8">
        <f t="shared" si="41"/>
        <v>221.190646442223</v>
      </c>
      <c r="N30" s="8">
        <f t="shared" si="41"/>
        <v>14.337331930559</v>
      </c>
      <c r="O30" s="8">
        <f t="shared" si="41"/>
        <v>136.365703650925</v>
      </c>
      <c r="P30" s="8">
        <f t="shared" si="41"/>
        <v>145.033095863671</v>
      </c>
      <c r="Q30" s="8">
        <f t="shared" si="41"/>
        <v>726.419310042826</v>
      </c>
      <c r="R30" s="8">
        <f t="shared" si="41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5"/>
      <c r="F31" s="8" t="s">
        <v>83</v>
      </c>
      <c r="G31" s="11" t="str">
        <f t="shared" si="16"/>
        <v>ACT_BND</v>
      </c>
      <c r="H31" t="str">
        <f t="shared" si="17"/>
        <v>UP</v>
      </c>
      <c r="J31" s="10">
        <v>2022</v>
      </c>
      <c r="K31" s="10" t="str">
        <f t="shared" si="18"/>
        <v>ENCAN01_SMR</v>
      </c>
      <c r="L31" s="8">
        <f t="shared" ref="L31:O31" si="43">W31/AJ31</f>
        <v>0</v>
      </c>
      <c r="M31" s="8">
        <f t="shared" si="43"/>
        <v>0</v>
      </c>
      <c r="N31" s="8">
        <f t="shared" si="43"/>
        <v>0</v>
      </c>
      <c r="O31" s="8">
        <f t="shared" si="43"/>
        <v>0</v>
      </c>
      <c r="P31" s="34">
        <v>11.4214182519801</v>
      </c>
      <c r="Q31" s="8">
        <f>AB31/AO31</f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83</v>
      </c>
      <c r="G32" s="11" t="str">
        <f t="shared" si="16"/>
        <v>ACT_BND</v>
      </c>
      <c r="H32" t="str">
        <f t="shared" si="17"/>
        <v>UP</v>
      </c>
      <c r="J32" s="10">
        <v>2022</v>
      </c>
      <c r="K32" s="10" t="str">
        <f t="shared" si="18"/>
        <v>ELCSOL00</v>
      </c>
      <c r="L32" s="8">
        <f t="shared" ref="L32:R32" si="45">W32/AJ32</f>
        <v>6.58953784737221</v>
      </c>
      <c r="M32" s="8">
        <f t="shared" si="45"/>
        <v>0.119514398228942</v>
      </c>
      <c r="N32" s="8">
        <f t="shared" si="45"/>
        <v>0.2232876174946</v>
      </c>
      <c r="O32" s="8">
        <f t="shared" si="45"/>
        <v>0.0552561593232541</v>
      </c>
      <c r="P32" s="8">
        <f t="shared" si="45"/>
        <v>21.5674648236141</v>
      </c>
      <c r="Q32" s="8">
        <f t="shared" si="45"/>
        <v>0.10631580611951</v>
      </c>
      <c r="R32" s="8">
        <f t="shared" si="45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83</v>
      </c>
      <c r="G33" s="11" t="str">
        <f t="shared" si="16"/>
        <v>ACT_BND</v>
      </c>
      <c r="H33" t="str">
        <f t="shared" si="17"/>
        <v>UP</v>
      </c>
      <c r="J33" s="10">
        <v>2022</v>
      </c>
      <c r="K33" s="10" t="str">
        <f t="shared" si="18"/>
        <v>ELCWIN00</v>
      </c>
      <c r="L33" s="8">
        <f t="shared" ref="L33:R33" si="47">W33/AJ33</f>
        <v>36.5776192944564</v>
      </c>
      <c r="M33" s="8">
        <f t="shared" si="47"/>
        <v>7.31959329709503</v>
      </c>
      <c r="N33" s="8">
        <f t="shared" si="47"/>
        <v>5.90261866810655</v>
      </c>
      <c r="O33" s="8">
        <f t="shared" si="47"/>
        <v>1.93340874334053</v>
      </c>
      <c r="P33" s="8">
        <f t="shared" si="47"/>
        <v>64.3325957883369</v>
      </c>
      <c r="Q33" s="8">
        <f t="shared" si="47"/>
        <v>51.5584317134629</v>
      </c>
      <c r="R33" s="8">
        <f t="shared" si="47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5"/>
      <c r="F34" s="8" t="s">
        <v>83</v>
      </c>
      <c r="G34" s="11" t="str">
        <f t="shared" si="16"/>
        <v>ACT_BND</v>
      </c>
      <c r="H34" t="str">
        <f t="shared" si="17"/>
        <v>UP</v>
      </c>
      <c r="J34" s="10">
        <v>2022</v>
      </c>
      <c r="K34" s="10" t="str">
        <f t="shared" si="18"/>
        <v>ELCWOO00</v>
      </c>
      <c r="L34" s="8">
        <f t="shared" ref="L34:R34" si="49">W34/AJ34</f>
        <v>20.0269455106449</v>
      </c>
      <c r="M34" s="8">
        <f t="shared" si="49"/>
        <v>57.0245121944257</v>
      </c>
      <c r="N34" s="8">
        <f t="shared" si="49"/>
        <v>2.53789365730741</v>
      </c>
      <c r="O34" s="8">
        <f t="shared" si="49"/>
        <v>0.82822174226062</v>
      </c>
      <c r="P34" s="8">
        <f t="shared" si="49"/>
        <v>11.0159818471665</v>
      </c>
      <c r="Q34" s="8">
        <f t="shared" si="49"/>
        <v>16.1452940553327</v>
      </c>
      <c r="R34" s="8">
        <f t="shared" si="49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5"/>
      <c r="F35" s="8" t="s">
        <v>83</v>
      </c>
      <c r="G35" s="11" t="str">
        <f t="shared" si="16"/>
        <v>ACT_BND</v>
      </c>
      <c r="H35" t="str">
        <f t="shared" si="17"/>
        <v>UP</v>
      </c>
      <c r="J35" s="10">
        <v>2023</v>
      </c>
      <c r="K35" s="10" t="str">
        <f t="shared" si="18"/>
        <v>ELCCOH00</v>
      </c>
      <c r="L35" s="8">
        <f t="shared" ref="L35:R35" si="51">W35/AJ35</f>
        <v>67.4554973854724</v>
      </c>
      <c r="M35" s="8">
        <f t="shared" si="51"/>
        <v>0</v>
      </c>
      <c r="N35" s="8">
        <f t="shared" si="51"/>
        <v>63.6443476185063</v>
      </c>
      <c r="O35" s="8">
        <f t="shared" si="51"/>
        <v>0</v>
      </c>
      <c r="P35" s="8">
        <f t="shared" si="51"/>
        <v>0</v>
      </c>
      <c r="Q35" s="8">
        <f t="shared" si="51"/>
        <v>0</v>
      </c>
      <c r="R35" s="8">
        <f t="shared" si="51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5"/>
      <c r="F36" s="8" t="s">
        <v>83</v>
      </c>
      <c r="G36" s="11" t="str">
        <f t="shared" si="16"/>
        <v>ACT_BND</v>
      </c>
      <c r="H36" t="str">
        <f t="shared" si="17"/>
        <v>UP</v>
      </c>
      <c r="J36" s="10">
        <v>2023</v>
      </c>
      <c r="K36" s="10" t="str">
        <f t="shared" si="18"/>
        <v>ELCGAS00</v>
      </c>
      <c r="L36" s="8">
        <f t="shared" ref="L36:R36" si="53">W36/AJ36</f>
        <v>543.701132019438</v>
      </c>
      <c r="M36" s="8">
        <f t="shared" si="53"/>
        <v>17.6864128670806</v>
      </c>
      <c r="N36" s="8">
        <f t="shared" si="53"/>
        <v>106.479305795536</v>
      </c>
      <c r="O36" s="8">
        <f t="shared" si="53"/>
        <v>1.58871766558675</v>
      </c>
      <c r="P36" s="8">
        <f t="shared" si="53"/>
        <v>101.832385979122</v>
      </c>
      <c r="Q36" s="8">
        <f t="shared" si="53"/>
        <v>2.36336343322534</v>
      </c>
      <c r="R36" s="8">
        <f t="shared" si="53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5"/>
      <c r="F37" s="8" t="s">
        <v>83</v>
      </c>
      <c r="G37" s="11" t="str">
        <f t="shared" si="16"/>
        <v>ACT_BND</v>
      </c>
      <c r="H37" t="str">
        <f t="shared" si="17"/>
        <v>UP</v>
      </c>
      <c r="J37" s="10">
        <v>2023</v>
      </c>
      <c r="K37" s="10" t="str">
        <f t="shared" si="18"/>
        <v>ELCHFO00</v>
      </c>
      <c r="L37" s="8">
        <f t="shared" ref="L37:R37" si="55">W37/AJ37</f>
        <v>0.187886969042477</v>
      </c>
      <c r="M37" s="8">
        <f t="shared" si="55"/>
        <v>2.781135312455</v>
      </c>
      <c r="N37" s="8">
        <f t="shared" si="55"/>
        <v>0.0122349892008639</v>
      </c>
      <c r="O37" s="8">
        <f t="shared" si="55"/>
        <v>0.196085673146148</v>
      </c>
      <c r="P37" s="8">
        <f t="shared" si="55"/>
        <v>1.02079121670266</v>
      </c>
      <c r="Q37" s="8">
        <f t="shared" si="55"/>
        <v>7.12676562035037</v>
      </c>
      <c r="R37" s="8">
        <f t="shared" si="55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83</v>
      </c>
      <c r="G38" s="11" t="str">
        <f t="shared" si="16"/>
        <v>ACT_BND</v>
      </c>
      <c r="H38" t="str">
        <f t="shared" si="17"/>
        <v>UP</v>
      </c>
      <c r="J38" s="10">
        <v>2023</v>
      </c>
      <c r="K38" s="10" t="str">
        <f t="shared" si="18"/>
        <v>ELCHYD00</v>
      </c>
      <c r="L38" s="8">
        <f t="shared" ref="L38:R38" si="57">W38/AJ38</f>
        <v>6.12718069441042</v>
      </c>
      <c r="M38" s="8">
        <f t="shared" si="57"/>
        <v>223.795590925386</v>
      </c>
      <c r="N38" s="8">
        <f t="shared" si="57"/>
        <v>14.7572994626409</v>
      </c>
      <c r="O38" s="8">
        <f t="shared" si="57"/>
        <v>110.520033770494</v>
      </c>
      <c r="P38" s="8">
        <f t="shared" si="57"/>
        <v>134.442336435766</v>
      </c>
      <c r="Q38" s="8">
        <f t="shared" si="57"/>
        <v>726.148560115191</v>
      </c>
      <c r="R38" s="8">
        <f t="shared" si="57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5"/>
      <c r="F39" s="8" t="s">
        <v>83</v>
      </c>
      <c r="G39" s="11" t="str">
        <f t="shared" si="16"/>
        <v>ACT_BND</v>
      </c>
      <c r="H39" t="str">
        <f t="shared" si="17"/>
        <v>UP</v>
      </c>
      <c r="J39" s="10">
        <v>2023</v>
      </c>
      <c r="K39" s="10" t="str">
        <f t="shared" si="18"/>
        <v>ENCAN01_SMR</v>
      </c>
      <c r="L39" s="8">
        <f t="shared" ref="L39:O39" si="59">W39/AJ39</f>
        <v>0</v>
      </c>
      <c r="M39" s="8">
        <f t="shared" si="59"/>
        <v>0</v>
      </c>
      <c r="N39" s="8">
        <f t="shared" si="59"/>
        <v>0</v>
      </c>
      <c r="O39" s="8">
        <f t="shared" si="59"/>
        <v>0</v>
      </c>
      <c r="P39" s="34">
        <v>15.8890492455002</v>
      </c>
      <c r="Q39" s="8">
        <f>AB39/AO39</f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83</v>
      </c>
      <c r="G40" s="11" t="str">
        <f t="shared" si="16"/>
        <v>ACT_BND</v>
      </c>
      <c r="H40" t="str">
        <f t="shared" si="17"/>
        <v>UP</v>
      </c>
      <c r="J40" s="10">
        <v>2023</v>
      </c>
      <c r="K40" s="10" t="str">
        <f t="shared" si="18"/>
        <v>ELCSOL00</v>
      </c>
      <c r="L40" s="8">
        <f t="shared" ref="L40:R40" si="61">W40/AJ40</f>
        <v>8.40833423686105</v>
      </c>
      <c r="M40" s="8">
        <f t="shared" si="61"/>
        <v>0.174343323556515</v>
      </c>
      <c r="N40" s="8">
        <f t="shared" si="61"/>
        <v>0.536462563354932</v>
      </c>
      <c r="O40" s="8">
        <f t="shared" si="61"/>
        <v>0.0624555833693305</v>
      </c>
      <c r="P40" s="8">
        <f t="shared" si="61"/>
        <v>29.0888871562275</v>
      </c>
      <c r="Q40" s="8">
        <f t="shared" si="61"/>
        <v>0.10631580611951</v>
      </c>
      <c r="R40" s="8">
        <f t="shared" si="61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83</v>
      </c>
      <c r="G41" s="11" t="str">
        <f t="shared" si="16"/>
        <v>ACT_BND</v>
      </c>
      <c r="H41" t="str">
        <f t="shared" si="17"/>
        <v>UP</v>
      </c>
      <c r="J41" s="10">
        <v>2023</v>
      </c>
      <c r="K41" s="10" t="str">
        <f t="shared" si="18"/>
        <v>ELCWIN00</v>
      </c>
      <c r="L41" s="8">
        <f t="shared" ref="L41:R41" si="63">W41/AJ41</f>
        <v>48.1342856011519</v>
      </c>
      <c r="M41" s="8">
        <f t="shared" si="63"/>
        <v>7.31959329709503</v>
      </c>
      <c r="N41" s="8">
        <f t="shared" si="63"/>
        <v>5.90261866810655</v>
      </c>
      <c r="O41" s="8">
        <f t="shared" si="63"/>
        <v>1.9353571162707</v>
      </c>
      <c r="P41" s="8">
        <f t="shared" si="63"/>
        <v>64.9949332973362</v>
      </c>
      <c r="Q41" s="8">
        <f t="shared" si="63"/>
        <v>51.5584317134629</v>
      </c>
      <c r="R41" s="8">
        <f t="shared" si="63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5"/>
      <c r="F42" s="8" t="s">
        <v>83</v>
      </c>
      <c r="G42" s="11" t="str">
        <f t="shared" si="16"/>
        <v>ACT_BND</v>
      </c>
      <c r="H42" t="str">
        <f t="shared" si="17"/>
        <v>UP</v>
      </c>
      <c r="J42" s="10">
        <v>2023</v>
      </c>
      <c r="K42" s="10" t="str">
        <f t="shared" si="18"/>
        <v>ELCWOO00</v>
      </c>
      <c r="L42" s="8">
        <f t="shared" ref="L42:R42" si="65">W42/AJ42</f>
        <v>18.5557489149439</v>
      </c>
      <c r="M42" s="8">
        <f t="shared" si="65"/>
        <v>44.5660675334671</v>
      </c>
      <c r="N42" s="8">
        <f t="shared" si="65"/>
        <v>2.82692574102643</v>
      </c>
      <c r="O42" s="8">
        <f t="shared" si="65"/>
        <v>0.808879282114574</v>
      </c>
      <c r="P42" s="8">
        <f t="shared" si="65"/>
        <v>15.1965301553019</v>
      </c>
      <c r="Q42" s="8">
        <f t="shared" si="65"/>
        <v>16.0691779903322</v>
      </c>
      <c r="R42" s="8">
        <f t="shared" si="65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5"/>
      <c r="F43" s="8" t="s">
        <v>83</v>
      </c>
      <c r="G43" s="11" t="str">
        <f t="shared" si="16"/>
        <v>ACT_BND</v>
      </c>
      <c r="H43" t="str">
        <f t="shared" si="17"/>
        <v>UP</v>
      </c>
      <c r="J43" s="10">
        <v>2024</v>
      </c>
      <c r="K43" s="10" t="str">
        <f t="shared" si="18"/>
        <v>ELCCOH00</v>
      </c>
      <c r="L43" s="8">
        <f t="shared" ref="L43:R43" si="67">W43/AJ43</f>
        <v>0</v>
      </c>
      <c r="M43" s="8">
        <f t="shared" si="67"/>
        <v>0</v>
      </c>
      <c r="N43" s="8">
        <f t="shared" si="67"/>
        <v>57.3768216437421</v>
      </c>
      <c r="O43" s="8">
        <f t="shared" si="67"/>
        <v>0</v>
      </c>
      <c r="P43" s="8">
        <f t="shared" si="67"/>
        <v>0</v>
      </c>
      <c r="Q43" s="8">
        <f t="shared" si="67"/>
        <v>0</v>
      </c>
      <c r="R43" s="8">
        <f t="shared" si="67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5"/>
      <c r="F44" s="8" t="s">
        <v>83</v>
      </c>
      <c r="G44" s="11" t="str">
        <f t="shared" si="16"/>
        <v>ACT_BND</v>
      </c>
      <c r="H44" t="str">
        <f t="shared" si="17"/>
        <v>UP</v>
      </c>
      <c r="J44" s="10">
        <v>2024</v>
      </c>
      <c r="K44" s="10" t="str">
        <f t="shared" si="18"/>
        <v>ELCGAS00</v>
      </c>
      <c r="L44" s="8">
        <f t="shared" ref="L44:R44" si="69">W44/AJ44</f>
        <v>614.308178905687</v>
      </c>
      <c r="M44" s="8">
        <f t="shared" si="69"/>
        <v>18.8830492233621</v>
      </c>
      <c r="N44" s="8">
        <f t="shared" si="69"/>
        <v>98.5614316954642</v>
      </c>
      <c r="O44" s="8">
        <f t="shared" si="69"/>
        <v>1.43057156767458</v>
      </c>
      <c r="P44" s="8">
        <f t="shared" si="69"/>
        <v>109.035377429805</v>
      </c>
      <c r="Q44" s="8">
        <f t="shared" si="69"/>
        <v>4.4076190712743</v>
      </c>
      <c r="R44" s="8">
        <f t="shared" si="69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5"/>
      <c r="F45" s="8" t="s">
        <v>83</v>
      </c>
      <c r="G45" s="11" t="str">
        <f t="shared" si="16"/>
        <v>ACT_BND</v>
      </c>
      <c r="H45" t="str">
        <f t="shared" si="17"/>
        <v>UP</v>
      </c>
      <c r="J45" s="10">
        <v>2024</v>
      </c>
      <c r="K45" s="10" t="str">
        <f t="shared" si="18"/>
        <v>ELCHFO00</v>
      </c>
      <c r="L45" s="8">
        <f t="shared" ref="L45:R45" si="71">W45/AJ45</f>
        <v>0.169098272138229</v>
      </c>
      <c r="M45" s="8">
        <f t="shared" si="71"/>
        <v>2.97191751367891</v>
      </c>
      <c r="N45" s="8">
        <f t="shared" si="71"/>
        <v>0.0110114902807775</v>
      </c>
      <c r="O45" s="8">
        <f t="shared" si="71"/>
        <v>0.176477105831533</v>
      </c>
      <c r="P45" s="8">
        <f t="shared" si="71"/>
        <v>0.918712095032397</v>
      </c>
      <c r="Q45" s="8">
        <f t="shared" si="71"/>
        <v>6.92654780057597</v>
      </c>
      <c r="R45" s="8">
        <f t="shared" si="71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83</v>
      </c>
      <c r="G46" s="11" t="str">
        <f t="shared" si="16"/>
        <v>ACT_BND</v>
      </c>
      <c r="H46" t="str">
        <f t="shared" si="17"/>
        <v>UP</v>
      </c>
      <c r="J46" s="10">
        <v>2024</v>
      </c>
      <c r="K46" s="10" t="str">
        <f t="shared" si="18"/>
        <v>ELCHYD00</v>
      </c>
      <c r="L46" s="8">
        <f t="shared" ref="L46:R46" si="73">W46/AJ46</f>
        <v>6.12721077241656</v>
      </c>
      <c r="M46" s="8">
        <f t="shared" si="73"/>
        <v>223.172064647488</v>
      </c>
      <c r="N46" s="8">
        <f t="shared" si="73"/>
        <v>11.2650902080411</v>
      </c>
      <c r="O46" s="8">
        <f t="shared" si="73"/>
        <v>112.251551364551</v>
      </c>
      <c r="P46" s="8">
        <f t="shared" si="73"/>
        <v>136.733381391344</v>
      </c>
      <c r="Q46" s="8">
        <f t="shared" si="73"/>
        <v>739.780749333868</v>
      </c>
      <c r="R46" s="8">
        <f t="shared" si="73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5"/>
      <c r="F47" s="8" t="s">
        <v>83</v>
      </c>
      <c r="G47" s="11" t="str">
        <f t="shared" si="16"/>
        <v>ACT_BND</v>
      </c>
      <c r="H47" t="str">
        <f t="shared" si="17"/>
        <v>UP</v>
      </c>
      <c r="J47" s="10">
        <v>2024</v>
      </c>
      <c r="K47" s="10" t="str">
        <f t="shared" si="18"/>
        <v>ENCAN01_SMR</v>
      </c>
      <c r="L47" s="8">
        <f t="shared" ref="L47:O47" si="75">W47/AJ47</f>
        <v>0</v>
      </c>
      <c r="M47" s="8">
        <f t="shared" si="75"/>
        <v>0</v>
      </c>
      <c r="N47" s="8">
        <f t="shared" si="75"/>
        <v>0</v>
      </c>
      <c r="O47" s="8">
        <f t="shared" si="75"/>
        <v>0</v>
      </c>
      <c r="P47" s="34">
        <v>33.4415695838728</v>
      </c>
      <c r="Q47" s="8">
        <f>AB47/AO47</f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83</v>
      </c>
      <c r="G48" s="11" t="str">
        <f t="shared" si="16"/>
        <v>ACT_BND</v>
      </c>
      <c r="H48" t="str">
        <f t="shared" si="17"/>
        <v>UP</v>
      </c>
      <c r="J48" s="10">
        <v>2024</v>
      </c>
      <c r="K48" s="10" t="str">
        <f t="shared" si="18"/>
        <v>ELCSOL00</v>
      </c>
      <c r="L48" s="8">
        <f t="shared" ref="L48:R48" si="77">W48/AJ48</f>
        <v>8.40833423686105</v>
      </c>
      <c r="M48" s="8">
        <f t="shared" si="77"/>
        <v>0.876595801670266</v>
      </c>
      <c r="N48" s="8">
        <f t="shared" si="77"/>
        <v>0.536462563354932</v>
      </c>
      <c r="O48" s="8">
        <f t="shared" si="77"/>
        <v>0.0624555833693305</v>
      </c>
      <c r="P48" s="8">
        <f t="shared" si="77"/>
        <v>29.4108854391649</v>
      </c>
      <c r="Q48" s="8">
        <f t="shared" si="77"/>
        <v>0.10631580611951</v>
      </c>
      <c r="R48" s="8">
        <f t="shared" si="77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83</v>
      </c>
      <c r="G49" s="11" t="str">
        <f t="shared" si="16"/>
        <v>ACT_BND</v>
      </c>
      <c r="H49" t="str">
        <f t="shared" si="17"/>
        <v>UP</v>
      </c>
      <c r="J49" s="10">
        <v>2024</v>
      </c>
      <c r="K49" s="10" t="str">
        <f t="shared" si="18"/>
        <v>ELCWIN00</v>
      </c>
      <c r="L49" s="8">
        <f t="shared" ref="L49:R49" si="79">W49/AJ49</f>
        <v>48.1342856011519</v>
      </c>
      <c r="M49" s="8">
        <f t="shared" si="79"/>
        <v>7.28356815217063</v>
      </c>
      <c r="N49" s="8">
        <f t="shared" si="79"/>
        <v>20.1766753455724</v>
      </c>
      <c r="O49" s="8">
        <f t="shared" si="79"/>
        <v>1.94424550071994</v>
      </c>
      <c r="P49" s="8">
        <f t="shared" si="79"/>
        <v>66.8118329013679</v>
      </c>
      <c r="Q49" s="8">
        <f t="shared" si="79"/>
        <v>53.9221041396688</v>
      </c>
      <c r="R49" s="8">
        <f t="shared" si="79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5"/>
      <c r="F50" s="8" t="s">
        <v>83</v>
      </c>
      <c r="G50" s="11" t="str">
        <f t="shared" si="16"/>
        <v>ACT_BND</v>
      </c>
      <c r="H50" t="str">
        <f t="shared" si="17"/>
        <v>UP</v>
      </c>
      <c r="J50" s="10">
        <v>2024</v>
      </c>
      <c r="K50" s="10" t="str">
        <f t="shared" si="18"/>
        <v>ELCWOO00</v>
      </c>
      <c r="L50" s="8">
        <f t="shared" ref="L50:R50" si="81">W50/AJ50</f>
        <v>18.6652114059447</v>
      </c>
      <c r="M50" s="8">
        <f t="shared" si="81"/>
        <v>38.8267595887689</v>
      </c>
      <c r="N50" s="8">
        <f t="shared" si="81"/>
        <v>2.09366947649902</v>
      </c>
      <c r="O50" s="8">
        <f t="shared" si="81"/>
        <v>0.64116877548082</v>
      </c>
      <c r="P50" s="8">
        <f t="shared" si="81"/>
        <v>19.771069577291</v>
      </c>
      <c r="Q50" s="8">
        <f t="shared" si="81"/>
        <v>16.3611969351023</v>
      </c>
      <c r="R50" s="8">
        <f t="shared" si="81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5"/>
      <c r="F51" s="8" t="s">
        <v>83</v>
      </c>
      <c r="G51" s="11" t="str">
        <f t="shared" si="16"/>
        <v>ACT_BND</v>
      </c>
      <c r="H51" t="str">
        <f t="shared" si="17"/>
        <v>UP</v>
      </c>
      <c r="J51" s="10">
        <v>2025</v>
      </c>
      <c r="K51" s="10" t="str">
        <f t="shared" si="18"/>
        <v>ELCCOH00</v>
      </c>
      <c r="L51" s="8">
        <f t="shared" ref="L51:R51" si="83">W51/AJ51</f>
        <v>0</v>
      </c>
      <c r="M51" s="8">
        <f t="shared" si="83"/>
        <v>0</v>
      </c>
      <c r="N51" s="8">
        <f t="shared" si="83"/>
        <v>34.6328862112084</v>
      </c>
      <c r="O51" s="8">
        <f t="shared" si="83"/>
        <v>0</v>
      </c>
      <c r="P51" s="8">
        <f t="shared" si="83"/>
        <v>0</v>
      </c>
      <c r="Q51" s="8">
        <f t="shared" si="83"/>
        <v>0</v>
      </c>
      <c r="R51" s="8">
        <f t="shared" si="83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5"/>
      <c r="F52" s="8" t="s">
        <v>83</v>
      </c>
      <c r="G52" s="11" t="str">
        <f t="shared" si="16"/>
        <v>ACT_BND</v>
      </c>
      <c r="H52" t="str">
        <f t="shared" si="17"/>
        <v>UP</v>
      </c>
      <c r="J52" s="10">
        <v>2025</v>
      </c>
      <c r="K52" s="10" t="str">
        <f t="shared" si="18"/>
        <v>ELCGAS00</v>
      </c>
      <c r="L52" s="8">
        <f t="shared" ref="L52:R52" si="85">W52/AJ52</f>
        <v>638.605372030238</v>
      </c>
      <c r="M52" s="8">
        <f t="shared" si="85"/>
        <v>31.7055542107632</v>
      </c>
      <c r="N52" s="8">
        <f t="shared" si="85"/>
        <v>96.772845212383</v>
      </c>
      <c r="O52" s="8">
        <f t="shared" si="85"/>
        <v>1.5913871112311</v>
      </c>
      <c r="P52" s="8">
        <f t="shared" si="85"/>
        <v>85.8985171076315</v>
      </c>
      <c r="Q52" s="8">
        <f t="shared" si="85"/>
        <v>0.0408798826673865</v>
      </c>
      <c r="R52" s="8">
        <f t="shared" si="85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5"/>
      <c r="F53" s="8" t="s">
        <v>83</v>
      </c>
      <c r="G53" s="11" t="str">
        <f t="shared" si="16"/>
        <v>ACT_BND</v>
      </c>
      <c r="H53" t="str">
        <f t="shared" si="17"/>
        <v>UP</v>
      </c>
      <c r="J53" s="10">
        <v>2025</v>
      </c>
      <c r="K53" s="10" t="str">
        <f t="shared" si="18"/>
        <v>ELCHFO00</v>
      </c>
      <c r="L53" s="8">
        <f t="shared" ref="L53:R53" si="87">W53/AJ53</f>
        <v>0.187886969042477</v>
      </c>
      <c r="M53" s="8">
        <f t="shared" si="87"/>
        <v>2.09029935205184</v>
      </c>
      <c r="N53" s="8">
        <f t="shared" si="87"/>
        <v>0</v>
      </c>
      <c r="O53" s="8">
        <f t="shared" si="87"/>
        <v>0.196085673146148</v>
      </c>
      <c r="P53" s="8">
        <f t="shared" si="87"/>
        <v>0.97916702663787</v>
      </c>
      <c r="Q53" s="8">
        <f t="shared" si="87"/>
        <v>6.67669701703863</v>
      </c>
      <c r="R53" s="8">
        <f t="shared" si="87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83</v>
      </c>
      <c r="G54" s="11" t="str">
        <f t="shared" si="16"/>
        <v>ACT_BND</v>
      </c>
      <c r="H54" t="str">
        <f t="shared" si="17"/>
        <v>UP</v>
      </c>
      <c r="J54" s="10">
        <v>2025</v>
      </c>
      <c r="K54" s="10" t="str">
        <f t="shared" si="18"/>
        <v>ELCHYD00</v>
      </c>
      <c r="L54" s="8">
        <f t="shared" ref="L54:R54" si="89">W54/AJ54</f>
        <v>6.12721077241656</v>
      </c>
      <c r="M54" s="8">
        <f t="shared" si="89"/>
        <v>236.35594320174</v>
      </c>
      <c r="N54" s="8">
        <f t="shared" si="89"/>
        <v>14.989402856019</v>
      </c>
      <c r="O54" s="8">
        <f t="shared" si="89"/>
        <v>112.825835875398</v>
      </c>
      <c r="P54" s="8">
        <f t="shared" si="89"/>
        <v>132.454897834977</v>
      </c>
      <c r="Q54" s="8">
        <f t="shared" si="89"/>
        <v>807.397273867575</v>
      </c>
      <c r="R54" s="8">
        <f t="shared" si="89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5"/>
      <c r="F55" s="8" t="s">
        <v>83</v>
      </c>
      <c r="G55" s="11" t="str">
        <f t="shared" si="16"/>
        <v>ACT_BND</v>
      </c>
      <c r="H55" t="str">
        <f t="shared" si="17"/>
        <v>UP</v>
      </c>
      <c r="J55" s="10">
        <v>2025</v>
      </c>
      <c r="K55" s="10" t="str">
        <f t="shared" si="18"/>
        <v>ENCAN01_SMR</v>
      </c>
      <c r="L55" s="8">
        <f t="shared" ref="L55:O55" si="91">W55/AJ55</f>
        <v>0</v>
      </c>
      <c r="M55" s="8">
        <f t="shared" si="91"/>
        <v>0</v>
      </c>
      <c r="N55" s="8">
        <f t="shared" si="91"/>
        <v>0</v>
      </c>
      <c r="O55" s="8">
        <f t="shared" si="91"/>
        <v>0</v>
      </c>
      <c r="P55" s="34">
        <v>15.9089159481644</v>
      </c>
      <c r="Q55" s="8">
        <f>AB55/AO55</f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83</v>
      </c>
      <c r="G56" s="11" t="str">
        <f t="shared" si="16"/>
        <v>ACT_BND</v>
      </c>
      <c r="H56" t="str">
        <f t="shared" si="17"/>
        <v>UP</v>
      </c>
      <c r="J56" s="10">
        <v>2025</v>
      </c>
      <c r="K56" s="10" t="str">
        <f t="shared" si="18"/>
        <v>ELCSOL00</v>
      </c>
      <c r="L56" s="8">
        <f t="shared" ref="L56:R56" si="93">W56/AJ56</f>
        <v>8.71206420446364</v>
      </c>
      <c r="M56" s="8">
        <f t="shared" si="93"/>
        <v>2.79446530771418</v>
      </c>
      <c r="N56" s="8">
        <f t="shared" si="93"/>
        <v>0.536462563354932</v>
      </c>
      <c r="O56" s="8">
        <f t="shared" si="93"/>
        <v>0.0624555833693305</v>
      </c>
      <c r="P56" s="8">
        <f t="shared" si="93"/>
        <v>29.7328837257019</v>
      </c>
      <c r="Q56" s="8">
        <f t="shared" si="93"/>
        <v>0.10631580611951</v>
      </c>
      <c r="R56" s="8">
        <f t="shared" si="93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83</v>
      </c>
      <c r="G57" s="11" t="str">
        <f t="shared" si="16"/>
        <v>ACT_BND</v>
      </c>
      <c r="H57" t="str">
        <f t="shared" si="17"/>
        <v>UP</v>
      </c>
      <c r="J57" s="10">
        <v>2025</v>
      </c>
      <c r="K57" s="10" t="str">
        <f t="shared" si="18"/>
        <v>ELCWIN00</v>
      </c>
      <c r="L57" s="8">
        <f t="shared" ref="L57:R57" si="95">W57/AJ57</f>
        <v>48.1342856011519</v>
      </c>
      <c r="M57" s="8">
        <f t="shared" si="95"/>
        <v>8.49431836418287</v>
      </c>
      <c r="N57" s="8">
        <f t="shared" si="95"/>
        <v>22.1797403347732</v>
      </c>
      <c r="O57" s="8">
        <f t="shared" si="95"/>
        <v>2.57354938084953</v>
      </c>
      <c r="P57" s="8">
        <f t="shared" si="95"/>
        <v>64.206473650108</v>
      </c>
      <c r="Q57" s="8">
        <f t="shared" si="95"/>
        <v>53.9221041396688</v>
      </c>
      <c r="R57" s="8">
        <f t="shared" si="95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5"/>
      <c r="F58" s="8" t="s">
        <v>83</v>
      </c>
      <c r="G58" s="11" t="str">
        <f t="shared" si="16"/>
        <v>ACT_BND</v>
      </c>
      <c r="H58" t="str">
        <f t="shared" si="17"/>
        <v>UP</v>
      </c>
      <c r="J58" s="10">
        <v>2025</v>
      </c>
      <c r="K58" s="10" t="str">
        <f t="shared" si="18"/>
        <v>ELCWOO00</v>
      </c>
      <c r="L58" s="8">
        <f t="shared" ref="L58:R58" si="97">W58/AJ58</f>
        <v>12.7960142137201</v>
      </c>
      <c r="M58" s="8">
        <f t="shared" si="97"/>
        <v>38.9265252565051</v>
      </c>
      <c r="N58" s="8">
        <f t="shared" si="97"/>
        <v>1.61929999691453</v>
      </c>
      <c r="O58" s="8">
        <f t="shared" si="97"/>
        <v>0.794086103877403</v>
      </c>
      <c r="P58" s="8">
        <f t="shared" si="97"/>
        <v>11.3619812917824</v>
      </c>
      <c r="Q58" s="8">
        <f t="shared" si="97"/>
        <v>13.5098419726422</v>
      </c>
      <c r="R58" s="8">
        <f t="shared" si="97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5"/>
      <c r="F59" s="8" t="s">
        <v>83</v>
      </c>
      <c r="G59" s="11" t="str">
        <f t="shared" si="16"/>
        <v>ACT_BND</v>
      </c>
      <c r="H59" t="str">
        <f t="shared" si="17"/>
        <v>UP</v>
      </c>
      <c r="J59" s="10">
        <v>2026</v>
      </c>
      <c r="K59" s="10" t="str">
        <f t="shared" si="18"/>
        <v>ELCCOH00</v>
      </c>
      <c r="L59" s="8">
        <f t="shared" ref="L59:R59" si="99">W59/AJ59</f>
        <v>0</v>
      </c>
      <c r="M59" s="8">
        <f t="shared" si="99"/>
        <v>0</v>
      </c>
      <c r="N59" s="8">
        <f t="shared" si="99"/>
        <v>34.6328862112084</v>
      </c>
      <c r="O59" s="8">
        <f t="shared" si="99"/>
        <v>0</v>
      </c>
      <c r="P59" s="8">
        <f t="shared" si="99"/>
        <v>0</v>
      </c>
      <c r="Q59" s="8">
        <f t="shared" si="99"/>
        <v>0</v>
      </c>
      <c r="R59" s="8">
        <f t="shared" si="99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5"/>
      <c r="F60" s="8" t="s">
        <v>83</v>
      </c>
      <c r="G60" s="11" t="str">
        <f t="shared" si="16"/>
        <v>ACT_BND</v>
      </c>
      <c r="H60" t="str">
        <f t="shared" si="17"/>
        <v>UP</v>
      </c>
      <c r="J60" s="10">
        <v>2026</v>
      </c>
      <c r="K60" s="10" t="str">
        <f t="shared" si="18"/>
        <v>ELCGAS00</v>
      </c>
      <c r="L60" s="8">
        <f t="shared" ref="L60:R60" si="101">W60/AJ60</f>
        <v>640.265462652987</v>
      </c>
      <c r="M60" s="8">
        <f t="shared" si="101"/>
        <v>33.1691657181425</v>
      </c>
      <c r="N60" s="8">
        <f t="shared" si="101"/>
        <v>98.3443663606912</v>
      </c>
      <c r="O60" s="8">
        <f t="shared" si="101"/>
        <v>1.58806034917207</v>
      </c>
      <c r="P60" s="8">
        <f t="shared" si="101"/>
        <v>108.705422786177</v>
      </c>
      <c r="Q60" s="8">
        <f t="shared" si="101"/>
        <v>0.0495400831983442</v>
      </c>
      <c r="R60" s="8">
        <f t="shared" si="101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5"/>
      <c r="F61" s="8" t="s">
        <v>83</v>
      </c>
      <c r="G61" s="11" t="str">
        <f t="shared" si="16"/>
        <v>ACT_BND</v>
      </c>
      <c r="H61" t="str">
        <f t="shared" si="17"/>
        <v>UP</v>
      </c>
      <c r="J61" s="10">
        <v>2026</v>
      </c>
      <c r="K61" s="10" t="str">
        <f t="shared" si="18"/>
        <v>ELCHFO00</v>
      </c>
      <c r="L61" s="8">
        <f t="shared" ref="L61:R61" si="103">W61/AJ61</f>
        <v>0.187886969042477</v>
      </c>
      <c r="M61" s="8">
        <f t="shared" si="103"/>
        <v>2.24099557271418</v>
      </c>
      <c r="N61" s="8">
        <f t="shared" si="103"/>
        <v>0</v>
      </c>
      <c r="O61" s="8">
        <f t="shared" si="103"/>
        <v>0.196085673146148</v>
      </c>
      <c r="P61" s="8">
        <f t="shared" si="103"/>
        <v>0.97916702663787</v>
      </c>
      <c r="Q61" s="8">
        <f t="shared" si="103"/>
        <v>3.85952723782097</v>
      </c>
      <c r="R61" s="8">
        <f t="shared" si="103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83</v>
      </c>
      <c r="G62" s="11" t="str">
        <f t="shared" si="16"/>
        <v>ACT_BND</v>
      </c>
      <c r="H62" t="str">
        <f t="shared" si="17"/>
        <v>UP</v>
      </c>
      <c r="J62" s="10">
        <v>2026</v>
      </c>
      <c r="K62" s="10" t="str">
        <f t="shared" si="18"/>
        <v>ELCHYD00</v>
      </c>
      <c r="L62" s="8">
        <f t="shared" ref="L62:R62" si="105">W62/AJ62</f>
        <v>6.12721077241656</v>
      </c>
      <c r="M62" s="8">
        <f t="shared" si="105"/>
        <v>236.670295125544</v>
      </c>
      <c r="N62" s="8">
        <f t="shared" si="105"/>
        <v>14.774005314214</v>
      </c>
      <c r="O62" s="8">
        <f t="shared" si="105"/>
        <v>115.744231851142</v>
      </c>
      <c r="P62" s="8">
        <f t="shared" si="105"/>
        <v>135.626196477477</v>
      </c>
      <c r="Q62" s="8">
        <f t="shared" si="105"/>
        <v>839.009518455019</v>
      </c>
      <c r="R62" s="8">
        <f t="shared" si="105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5"/>
      <c r="F63" s="8" t="s">
        <v>83</v>
      </c>
      <c r="G63" s="11" t="str">
        <f t="shared" si="16"/>
        <v>ACT_BND</v>
      </c>
      <c r="H63" t="str">
        <f t="shared" si="17"/>
        <v>UP</v>
      </c>
      <c r="J63" s="10">
        <v>2026</v>
      </c>
      <c r="K63" s="10" t="str">
        <f t="shared" si="18"/>
        <v>ENCAN01_SMR</v>
      </c>
      <c r="L63" s="8">
        <f t="shared" ref="L63:O63" si="107">W63/AJ63</f>
        <v>0</v>
      </c>
      <c r="M63" s="8">
        <f t="shared" si="107"/>
        <v>0</v>
      </c>
      <c r="N63" s="8">
        <f t="shared" si="107"/>
        <v>0</v>
      </c>
      <c r="O63" s="8">
        <f t="shared" si="107"/>
        <v>0</v>
      </c>
      <c r="P63" s="34">
        <v>14.8479211677468</v>
      </c>
      <c r="Q63" s="8">
        <f>AB63/AO63</f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83</v>
      </c>
      <c r="G64" s="11" t="str">
        <f t="shared" si="16"/>
        <v>ACT_BND</v>
      </c>
      <c r="H64" t="str">
        <f t="shared" si="17"/>
        <v>UP</v>
      </c>
      <c r="J64" s="10">
        <v>2026</v>
      </c>
      <c r="K64" s="10" t="str">
        <f t="shared" si="18"/>
        <v>ELCSOL00</v>
      </c>
      <c r="L64" s="8">
        <f t="shared" ref="L64:R64" si="109">W64/AJ64</f>
        <v>10.0109072534197</v>
      </c>
      <c r="M64" s="8">
        <f t="shared" si="109"/>
        <v>3.31862918678546</v>
      </c>
      <c r="N64" s="8">
        <f t="shared" si="109"/>
        <v>0.625952061555076</v>
      </c>
      <c r="O64" s="8">
        <f t="shared" si="109"/>
        <v>0.100037832181425</v>
      </c>
      <c r="P64" s="8">
        <f t="shared" si="109"/>
        <v>30.0548820086393</v>
      </c>
      <c r="Q64" s="8">
        <f t="shared" si="109"/>
        <v>0.190223798164147</v>
      </c>
      <c r="R64" s="8">
        <f t="shared" si="109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83</v>
      </c>
      <c r="G65" s="11" t="str">
        <f t="shared" si="16"/>
        <v>ACT_BND</v>
      </c>
      <c r="H65" t="str">
        <f t="shared" si="17"/>
        <v>UP</v>
      </c>
      <c r="J65" s="10">
        <v>2026</v>
      </c>
      <c r="K65" s="10" t="str">
        <f t="shared" si="18"/>
        <v>ELCWIN00</v>
      </c>
      <c r="L65" s="8">
        <f t="shared" ref="L65:R65" si="111">W65/AJ65</f>
        <v>54.6833135709143</v>
      </c>
      <c r="M65" s="8">
        <f t="shared" si="111"/>
        <v>9.55877353084953</v>
      </c>
      <c r="N65" s="8">
        <f t="shared" si="111"/>
        <v>25.4366181785457</v>
      </c>
      <c r="O65" s="8">
        <f t="shared" si="111"/>
        <v>2.83354639812815</v>
      </c>
      <c r="P65" s="8">
        <f t="shared" si="111"/>
        <v>73.0401905687545</v>
      </c>
      <c r="Q65" s="8">
        <f t="shared" si="111"/>
        <v>53.9221041396688</v>
      </c>
      <c r="R65" s="8">
        <f t="shared" si="111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5"/>
      <c r="F66" s="8" t="s">
        <v>83</v>
      </c>
      <c r="G66" s="11" t="str">
        <f t="shared" si="16"/>
        <v>ACT_BND</v>
      </c>
      <c r="H66" t="str">
        <f t="shared" si="17"/>
        <v>UP</v>
      </c>
      <c r="J66" s="10">
        <v>2026</v>
      </c>
      <c r="K66" s="10" t="str">
        <f t="shared" si="18"/>
        <v>ELCWOO00</v>
      </c>
      <c r="L66" s="8">
        <f t="shared" ref="L66:R66" si="113">W66/AJ66</f>
        <v>11.3165382083719</v>
      </c>
      <c r="M66" s="8">
        <f t="shared" si="113"/>
        <v>38.1744422016869</v>
      </c>
      <c r="N66" s="8">
        <f t="shared" si="113"/>
        <v>1.59322520621207</v>
      </c>
      <c r="O66" s="8">
        <f t="shared" si="113"/>
        <v>0.741616744728994</v>
      </c>
      <c r="P66" s="8">
        <f t="shared" si="113"/>
        <v>12.1179399259488</v>
      </c>
      <c r="Q66" s="8">
        <f t="shared" si="113"/>
        <v>13.6385666563818</v>
      </c>
      <c r="R66" s="8">
        <f t="shared" si="113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5"/>
      <c r="F67" s="8" t="s">
        <v>83</v>
      </c>
      <c r="G67" s="11" t="str">
        <f t="shared" si="16"/>
        <v>ACT_BND</v>
      </c>
      <c r="H67" t="str">
        <f t="shared" si="17"/>
        <v>UP</v>
      </c>
      <c r="J67" s="10">
        <v>2027</v>
      </c>
      <c r="K67" s="10" t="str">
        <f t="shared" si="18"/>
        <v>ELCCOH00</v>
      </c>
      <c r="L67" s="8">
        <f t="shared" ref="L67:R67" si="115">W67/AJ67</f>
        <v>0</v>
      </c>
      <c r="M67" s="8">
        <f t="shared" si="115"/>
        <v>0</v>
      </c>
      <c r="N67" s="8">
        <f t="shared" si="115"/>
        <v>27.3884847106968</v>
      </c>
      <c r="O67" s="8">
        <f t="shared" si="115"/>
        <v>0</v>
      </c>
      <c r="P67" s="8">
        <f t="shared" si="115"/>
        <v>0</v>
      </c>
      <c r="Q67" s="8">
        <f t="shared" si="115"/>
        <v>0</v>
      </c>
      <c r="R67" s="8">
        <f t="shared" si="115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5"/>
      <c r="F68" s="8" t="s">
        <v>83</v>
      </c>
      <c r="G68" s="11" t="str">
        <f t="shared" si="16"/>
        <v>ACT_BND</v>
      </c>
      <c r="H68" t="str">
        <f t="shared" si="17"/>
        <v>UP</v>
      </c>
      <c r="J68" s="10">
        <v>2027</v>
      </c>
      <c r="K68" s="10" t="str">
        <f t="shared" si="18"/>
        <v>ELCGAS00</v>
      </c>
      <c r="L68" s="8">
        <f t="shared" ref="L68:R68" si="117">W68/AJ68</f>
        <v>654.940320644347</v>
      </c>
      <c r="M68" s="8">
        <f t="shared" si="117"/>
        <v>35.2941550566955</v>
      </c>
      <c r="N68" s="8">
        <f t="shared" si="117"/>
        <v>105.849216972642</v>
      </c>
      <c r="O68" s="8">
        <f t="shared" si="117"/>
        <v>1.6054607775378</v>
      </c>
      <c r="P68" s="8">
        <f t="shared" si="117"/>
        <v>137.806355561555</v>
      </c>
      <c r="Q68" s="8">
        <f t="shared" si="117"/>
        <v>0.1555490674946</v>
      </c>
      <c r="R68" s="8">
        <f t="shared" si="117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5"/>
      <c r="F69" s="8" t="s">
        <v>83</v>
      </c>
      <c r="G69" s="11" t="str">
        <f t="shared" si="16"/>
        <v>ACT_BND</v>
      </c>
      <c r="H69" t="str">
        <f t="shared" si="17"/>
        <v>UP</v>
      </c>
      <c r="J69" s="10">
        <v>2027</v>
      </c>
      <c r="K69" s="10" t="str">
        <f t="shared" si="18"/>
        <v>ELCHFO00</v>
      </c>
      <c r="L69" s="8">
        <f t="shared" ref="L69:R69" si="119">W69/AJ69</f>
        <v>0.187886969042477</v>
      </c>
      <c r="M69" s="8">
        <f t="shared" si="119"/>
        <v>2.51331886729062</v>
      </c>
      <c r="N69" s="8">
        <f t="shared" si="119"/>
        <v>0</v>
      </c>
      <c r="O69" s="8">
        <f t="shared" si="119"/>
        <v>0.196936273098152</v>
      </c>
      <c r="P69" s="8">
        <f t="shared" si="119"/>
        <v>0.97916702663787</v>
      </c>
      <c r="Q69" s="8">
        <f t="shared" si="119"/>
        <v>3.8665778185745</v>
      </c>
      <c r="R69" s="8">
        <f t="shared" si="119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83</v>
      </c>
      <c r="G70" s="11" t="str">
        <f t="shared" si="16"/>
        <v>ACT_BND</v>
      </c>
      <c r="H70" t="str">
        <f t="shared" si="17"/>
        <v>UP</v>
      </c>
      <c r="J70" s="10">
        <v>2027</v>
      </c>
      <c r="K70" s="10" t="str">
        <f t="shared" si="18"/>
        <v>ELCHYD00</v>
      </c>
      <c r="L70" s="8">
        <f t="shared" ref="L70:R70" si="121">W70/AJ70</f>
        <v>6.12721077241656</v>
      </c>
      <c r="M70" s="8">
        <f t="shared" si="121"/>
        <v>236.822735419681</v>
      </c>
      <c r="N70" s="8">
        <f t="shared" si="121"/>
        <v>14.7773697015579</v>
      </c>
      <c r="O70" s="8">
        <f t="shared" si="121"/>
        <v>122.910686802788</v>
      </c>
      <c r="P70" s="8">
        <f t="shared" si="121"/>
        <v>137.022415889203</v>
      </c>
      <c r="Q70" s="8">
        <f t="shared" si="121"/>
        <v>860.663456614193</v>
      </c>
      <c r="R70" s="8">
        <f t="shared" si="121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5"/>
      <c r="F71" s="8" t="s">
        <v>83</v>
      </c>
      <c r="G71" s="11" t="str">
        <f t="shared" si="16"/>
        <v>ACT_BND</v>
      </c>
      <c r="H71" t="str">
        <f t="shared" si="17"/>
        <v>UP</v>
      </c>
      <c r="J71" s="10">
        <v>2027</v>
      </c>
      <c r="K71" s="10" t="str">
        <f t="shared" si="18"/>
        <v>ENCAN01_SMR</v>
      </c>
      <c r="L71" s="8">
        <f t="shared" ref="L71:O71" si="123">W71/AJ71</f>
        <v>0</v>
      </c>
      <c r="M71" s="8">
        <f t="shared" si="123"/>
        <v>0</v>
      </c>
      <c r="N71" s="8">
        <f t="shared" si="123"/>
        <v>0</v>
      </c>
      <c r="O71" s="8">
        <f t="shared" si="123"/>
        <v>0</v>
      </c>
      <c r="P71" s="34">
        <v>21.7488630323972</v>
      </c>
      <c r="Q71" s="8">
        <f>AB71/AO71</f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83</v>
      </c>
      <c r="G72" s="11" t="str">
        <f t="shared" si="16"/>
        <v>ACT_BND</v>
      </c>
      <c r="H72" t="str">
        <f t="shared" si="17"/>
        <v>UP</v>
      </c>
      <c r="J72" s="10">
        <v>2027</v>
      </c>
      <c r="K72" s="10" t="str">
        <f t="shared" si="18"/>
        <v>ELCSOL00</v>
      </c>
      <c r="L72" s="8">
        <f t="shared" ref="L72:R72" si="125">W72/AJ72</f>
        <v>11.3097503059755</v>
      </c>
      <c r="M72" s="8">
        <f t="shared" si="125"/>
        <v>3.84219142359971</v>
      </c>
      <c r="N72" s="8">
        <f t="shared" si="125"/>
        <v>0.715441560115191</v>
      </c>
      <c r="O72" s="8">
        <f t="shared" si="125"/>
        <v>0.13762008099352</v>
      </c>
      <c r="P72" s="8">
        <f t="shared" si="125"/>
        <v>30.3768802951764</v>
      </c>
      <c r="Q72" s="8">
        <f t="shared" si="125"/>
        <v>0.27413179024478</v>
      </c>
      <c r="R72" s="8">
        <f t="shared" si="125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83</v>
      </c>
      <c r="G73" s="11" t="str">
        <f t="shared" si="16"/>
        <v>ACT_BND</v>
      </c>
      <c r="H73" t="str">
        <f t="shared" si="17"/>
        <v>UP</v>
      </c>
      <c r="J73" s="10">
        <v>2027</v>
      </c>
      <c r="K73" s="10" t="str">
        <f t="shared" si="18"/>
        <v>ELCWIN00</v>
      </c>
      <c r="L73" s="8">
        <f t="shared" ref="L73:R73" si="127">W73/AJ73</f>
        <v>58.8256272858171</v>
      </c>
      <c r="M73" s="8">
        <f t="shared" si="127"/>
        <v>10.1990797106551</v>
      </c>
      <c r="N73" s="8">
        <f t="shared" si="127"/>
        <v>27.669166511879</v>
      </c>
      <c r="O73" s="8">
        <f t="shared" si="127"/>
        <v>3.10592450395968</v>
      </c>
      <c r="P73" s="8">
        <f t="shared" si="127"/>
        <v>78.6007591072714</v>
      </c>
      <c r="Q73" s="8">
        <f t="shared" si="127"/>
        <v>53.9221041396688</v>
      </c>
      <c r="R73" s="8">
        <f t="shared" si="127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5"/>
      <c r="F74" s="8" t="s">
        <v>83</v>
      </c>
      <c r="G74" s="11" t="str">
        <f t="shared" si="16"/>
        <v>ACT_BND</v>
      </c>
      <c r="H74" t="str">
        <f t="shared" si="17"/>
        <v>UP</v>
      </c>
      <c r="J74" s="10">
        <v>2027</v>
      </c>
      <c r="K74" s="10" t="str">
        <f t="shared" si="18"/>
        <v>ELCWOO00</v>
      </c>
      <c r="L74" s="8">
        <f t="shared" ref="L74:R74" si="129">W74/AJ74</f>
        <v>10.5989244780417</v>
      </c>
      <c r="M74" s="8">
        <f t="shared" si="129"/>
        <v>37.9573144586034</v>
      </c>
      <c r="N74" s="8">
        <f t="shared" si="129"/>
        <v>0.952811356885734</v>
      </c>
      <c r="O74" s="8">
        <f t="shared" si="129"/>
        <v>0.828674277486371</v>
      </c>
      <c r="P74" s="8">
        <f t="shared" si="129"/>
        <v>11.3600980253008</v>
      </c>
      <c r="Q74" s="8">
        <f t="shared" si="129"/>
        <v>13.7852746374576</v>
      </c>
      <c r="R74" s="8">
        <f t="shared" si="129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5"/>
      <c r="F75" s="8" t="s">
        <v>83</v>
      </c>
      <c r="G75" s="11" t="str">
        <f t="shared" si="16"/>
        <v>ACT_BND</v>
      </c>
      <c r="H75" t="str">
        <f t="shared" si="17"/>
        <v>UP</v>
      </c>
      <c r="J75" s="10">
        <v>2028</v>
      </c>
      <c r="K75" s="10" t="str">
        <f t="shared" si="18"/>
        <v>ELCCOH00</v>
      </c>
      <c r="L75" s="8">
        <f t="shared" ref="L75:R75" si="131">W75/AJ75</f>
        <v>0</v>
      </c>
      <c r="M75" s="8">
        <f t="shared" si="131"/>
        <v>0</v>
      </c>
      <c r="N75" s="8">
        <f t="shared" si="131"/>
        <v>27.2154654996021</v>
      </c>
      <c r="O75" s="8">
        <f t="shared" si="131"/>
        <v>0</v>
      </c>
      <c r="P75" s="8">
        <f t="shared" si="131"/>
        <v>0</v>
      </c>
      <c r="Q75" s="8">
        <f t="shared" si="131"/>
        <v>0</v>
      </c>
      <c r="R75" s="8">
        <f t="shared" si="131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5"/>
      <c r="F76" s="8" t="s">
        <v>83</v>
      </c>
      <c r="G76" s="11" t="str">
        <f t="shared" si="16"/>
        <v>ACT_BND</v>
      </c>
      <c r="H76" t="str">
        <f t="shared" si="17"/>
        <v>UP</v>
      </c>
      <c r="J76" s="10">
        <v>2028</v>
      </c>
      <c r="K76" s="10" t="str">
        <f t="shared" si="18"/>
        <v>ELCGAS00</v>
      </c>
      <c r="L76" s="8">
        <f t="shared" ref="L76:R76" si="133">W76/AJ76</f>
        <v>658.971557325415</v>
      </c>
      <c r="M76" s="8">
        <f t="shared" si="133"/>
        <v>42.9095390028797</v>
      </c>
      <c r="N76" s="8">
        <f t="shared" si="133"/>
        <v>103.939488480921</v>
      </c>
      <c r="O76" s="8">
        <f t="shared" si="133"/>
        <v>1.358426587473</v>
      </c>
      <c r="P76" s="8">
        <f t="shared" si="133"/>
        <v>166.593716612671</v>
      </c>
      <c r="Q76" s="8">
        <f t="shared" si="133"/>
        <v>6.3896973461123</v>
      </c>
      <c r="R76" s="8">
        <f t="shared" si="133"/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34">AJ68</f>
        <v>0.4</v>
      </c>
      <c r="AK76">
        <f t="shared" si="134"/>
        <v>0.4</v>
      </c>
      <c r="AL76">
        <f t="shared" si="134"/>
        <v>0.4</v>
      </c>
      <c r="AM76">
        <f t="shared" si="134"/>
        <v>0.4</v>
      </c>
      <c r="AN76">
        <f t="shared" si="134"/>
        <v>0.4</v>
      </c>
      <c r="AO76">
        <f t="shared" si="134"/>
        <v>0.4</v>
      </c>
      <c r="AP76">
        <f t="shared" si="134"/>
        <v>0.4</v>
      </c>
    </row>
    <row r="77" ht="16" spans="4:42">
      <c r="D77" s="25"/>
      <c r="F77" s="8" t="s">
        <v>83</v>
      </c>
      <c r="G77" s="11" t="str">
        <f t="shared" si="16"/>
        <v>ACT_BND</v>
      </c>
      <c r="H77" t="str">
        <f t="shared" si="17"/>
        <v>UP</v>
      </c>
      <c r="J77" s="10">
        <v>2028</v>
      </c>
      <c r="K77" s="10" t="str">
        <f t="shared" si="18"/>
        <v>ELCHFO00</v>
      </c>
      <c r="L77" s="8">
        <f t="shared" ref="L77:R77" si="135">W77/AJ77</f>
        <v>0.142728401727862</v>
      </c>
      <c r="M77" s="8">
        <f t="shared" si="135"/>
        <v>2.30979214182865</v>
      </c>
      <c r="N77" s="8">
        <f t="shared" si="135"/>
        <v>0.0062541396688265</v>
      </c>
      <c r="O77" s="8">
        <f t="shared" si="135"/>
        <v>0.170656493280538</v>
      </c>
      <c r="P77" s="8">
        <f t="shared" si="135"/>
        <v>0.776898164146867</v>
      </c>
      <c r="Q77" s="8">
        <f t="shared" si="135"/>
        <v>5.81441081713463</v>
      </c>
      <c r="R77" s="8">
        <f t="shared" si="135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36">AJ69</f>
        <v>0.3</v>
      </c>
      <c r="AK77">
        <f t="shared" si="136"/>
        <v>0.3</v>
      </c>
      <c r="AL77">
        <f t="shared" si="136"/>
        <v>0.3</v>
      </c>
      <c r="AM77">
        <f t="shared" si="136"/>
        <v>0.3</v>
      </c>
      <c r="AN77">
        <f t="shared" si="136"/>
        <v>0.3</v>
      </c>
      <c r="AO77">
        <f t="shared" si="136"/>
        <v>0.3</v>
      </c>
      <c r="AP77">
        <f t="shared" si="136"/>
        <v>0.3</v>
      </c>
    </row>
    <row r="78" ht="16" spans="4:42">
      <c r="D78" s="25"/>
      <c r="F78" s="8" t="s">
        <v>83</v>
      </c>
      <c r="G78" s="11" t="str">
        <f t="shared" si="16"/>
        <v>ACT_BND</v>
      </c>
      <c r="H78" t="str">
        <f t="shared" si="17"/>
        <v>UP</v>
      </c>
      <c r="J78" s="10">
        <v>2028</v>
      </c>
      <c r="K78" s="10" t="str">
        <f t="shared" si="18"/>
        <v>ELCHYD00</v>
      </c>
      <c r="L78" s="8">
        <f t="shared" ref="L78:R78" si="137">W78/AJ78</f>
        <v>6.12721077241656</v>
      </c>
      <c r="M78" s="8">
        <f t="shared" si="137"/>
        <v>236.939959725902</v>
      </c>
      <c r="N78" s="8">
        <f t="shared" si="137"/>
        <v>14.6824104710798</v>
      </c>
      <c r="O78" s="8">
        <f t="shared" si="137"/>
        <v>125.994865957115</v>
      </c>
      <c r="P78" s="8">
        <f t="shared" si="137"/>
        <v>138.947431995131</v>
      </c>
      <c r="Q78" s="8">
        <f t="shared" si="137"/>
        <v>880.342435409291</v>
      </c>
      <c r="R78" s="8">
        <f t="shared" si="137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38">AJ70</f>
        <v>0.97</v>
      </c>
      <c r="AK78">
        <f t="shared" si="138"/>
        <v>0.97</v>
      </c>
      <c r="AL78">
        <f t="shared" si="138"/>
        <v>0.97</v>
      </c>
      <c r="AM78">
        <f t="shared" si="138"/>
        <v>0.97</v>
      </c>
      <c r="AN78">
        <f t="shared" si="138"/>
        <v>0.97</v>
      </c>
      <c r="AO78">
        <f t="shared" si="138"/>
        <v>0.97</v>
      </c>
      <c r="AP78">
        <f t="shared" si="138"/>
        <v>0.97</v>
      </c>
    </row>
    <row r="79" ht="16" spans="4:42">
      <c r="D79" s="25"/>
      <c r="F79" s="8" t="s">
        <v>83</v>
      </c>
      <c r="G79" s="11" t="str">
        <f t="shared" si="16"/>
        <v>ACT_BND</v>
      </c>
      <c r="H79" t="str">
        <f t="shared" si="17"/>
        <v>UP</v>
      </c>
      <c r="J79" s="10">
        <v>2028</v>
      </c>
      <c r="K79" s="10" t="str">
        <f t="shared" si="18"/>
        <v>ENCAN01_SMR</v>
      </c>
      <c r="L79" s="8">
        <f t="shared" ref="L79:O79" si="139">W79/AJ79</f>
        <v>0</v>
      </c>
      <c r="M79" s="8">
        <f t="shared" si="139"/>
        <v>0</v>
      </c>
      <c r="N79" s="8">
        <f t="shared" si="139"/>
        <v>0</v>
      </c>
      <c r="O79" s="8">
        <f t="shared" si="139"/>
        <v>0</v>
      </c>
      <c r="P79" s="34">
        <v>39.4144725716343</v>
      </c>
      <c r="Q79" s="8">
        <f>AB79/AO79</f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0">AJ71</f>
        <v>1</v>
      </c>
      <c r="AK79">
        <f t="shared" si="140"/>
        <v>1</v>
      </c>
      <c r="AL79">
        <f t="shared" si="140"/>
        <v>1</v>
      </c>
      <c r="AM79">
        <f t="shared" si="140"/>
        <v>1</v>
      </c>
      <c r="AN79">
        <f t="shared" si="140"/>
        <v>1</v>
      </c>
      <c r="AO79">
        <f t="shared" si="140"/>
        <v>1</v>
      </c>
      <c r="AP79">
        <f t="shared" si="140"/>
        <v>1</v>
      </c>
    </row>
    <row r="80" ht="16" spans="4:42">
      <c r="D80" s="25"/>
      <c r="F80" s="8" t="s">
        <v>83</v>
      </c>
      <c r="G80" s="11" t="str">
        <f t="shared" si="16"/>
        <v>ACT_BND</v>
      </c>
      <c r="H80" t="str">
        <f t="shared" si="17"/>
        <v>UP</v>
      </c>
      <c r="J80" s="10">
        <v>2028</v>
      </c>
      <c r="K80" s="10" t="str">
        <f t="shared" si="18"/>
        <v>ELCSOL00</v>
      </c>
      <c r="L80" s="8">
        <f t="shared" ref="L80:R80" si="141">W80/AJ80</f>
        <v>12.6085933585313</v>
      </c>
      <c r="M80" s="8">
        <f t="shared" si="141"/>
        <v>4.36574298065875</v>
      </c>
      <c r="N80" s="8">
        <f t="shared" si="141"/>
        <v>0.804931058315335</v>
      </c>
      <c r="O80" s="8">
        <f t="shared" si="141"/>
        <v>0.175202329769618</v>
      </c>
      <c r="P80" s="8">
        <f t="shared" si="141"/>
        <v>30.6988785781137</v>
      </c>
      <c r="Q80" s="8">
        <f t="shared" si="141"/>
        <v>0.358039782289417</v>
      </c>
      <c r="R80" s="8">
        <f t="shared" si="141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2">AJ72</f>
        <v>1</v>
      </c>
      <c r="AK80">
        <f t="shared" si="142"/>
        <v>1</v>
      </c>
      <c r="AL80">
        <f t="shared" si="142"/>
        <v>1</v>
      </c>
      <c r="AM80">
        <f t="shared" si="142"/>
        <v>1</v>
      </c>
      <c r="AN80">
        <f t="shared" si="142"/>
        <v>1</v>
      </c>
      <c r="AO80">
        <f t="shared" si="142"/>
        <v>1</v>
      </c>
      <c r="AP80">
        <f t="shared" si="142"/>
        <v>1</v>
      </c>
    </row>
    <row r="81" ht="16" spans="4:42">
      <c r="D81" s="25"/>
      <c r="F81" s="8" t="s">
        <v>83</v>
      </c>
      <c r="G81" s="11" t="str">
        <f t="shared" si="16"/>
        <v>ACT_BND</v>
      </c>
      <c r="H81" t="str">
        <f t="shared" si="17"/>
        <v>UP</v>
      </c>
      <c r="J81" s="10">
        <v>2028</v>
      </c>
      <c r="K81" s="10" t="str">
        <f t="shared" si="18"/>
        <v>ELCWIN00</v>
      </c>
      <c r="L81" s="8">
        <f t="shared" ref="L81:R81" si="143">W81/AJ81</f>
        <v>62.9679409647228</v>
      </c>
      <c r="M81" s="8">
        <f t="shared" si="143"/>
        <v>10.8402388431246</v>
      </c>
      <c r="N81" s="8">
        <f t="shared" si="143"/>
        <v>29.8459727177826</v>
      </c>
      <c r="O81" s="8">
        <f t="shared" si="143"/>
        <v>3.3705472275018</v>
      </c>
      <c r="P81" s="8">
        <f t="shared" si="143"/>
        <v>85.3731147228222</v>
      </c>
      <c r="Q81" s="8">
        <f t="shared" si="143"/>
        <v>53.9221041396688</v>
      </c>
      <c r="R81" s="8">
        <f t="shared" si="143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44">AJ73</f>
        <v>1</v>
      </c>
      <c r="AK81">
        <f t="shared" si="144"/>
        <v>1</v>
      </c>
      <c r="AL81">
        <f t="shared" si="144"/>
        <v>1</v>
      </c>
      <c r="AM81">
        <f t="shared" si="144"/>
        <v>1</v>
      </c>
      <c r="AN81">
        <f t="shared" si="144"/>
        <v>1</v>
      </c>
      <c r="AO81">
        <f t="shared" si="144"/>
        <v>1</v>
      </c>
      <c r="AP81">
        <f t="shared" si="144"/>
        <v>1</v>
      </c>
    </row>
    <row r="82" ht="16" spans="4:42">
      <c r="D82" s="25"/>
      <c r="F82" s="8" t="s">
        <v>83</v>
      </c>
      <c r="G82" s="11" t="str">
        <f t="shared" si="16"/>
        <v>ACT_BND</v>
      </c>
      <c r="H82" t="str">
        <f t="shared" si="17"/>
        <v>UP</v>
      </c>
      <c r="J82" s="10">
        <v>2028</v>
      </c>
      <c r="K82" s="10" t="str">
        <f t="shared" si="18"/>
        <v>ELCWOO00</v>
      </c>
      <c r="L82" s="8">
        <f t="shared" ref="L82:R82" si="145">W82/AJ82</f>
        <v>9.08887096472283</v>
      </c>
      <c r="M82" s="8">
        <f t="shared" si="145"/>
        <v>40.4171790753883</v>
      </c>
      <c r="N82" s="8">
        <f t="shared" si="145"/>
        <v>0.874521066029003</v>
      </c>
      <c r="O82" s="8">
        <f t="shared" si="145"/>
        <v>0.803579142240049</v>
      </c>
      <c r="P82" s="8">
        <f t="shared" si="145"/>
        <v>15.1290753882547</v>
      </c>
      <c r="Q82" s="8">
        <f t="shared" si="145"/>
        <v>13.8402065926155</v>
      </c>
      <c r="R82" s="8">
        <f t="shared" si="145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46">AJ74</f>
        <v>0.35</v>
      </c>
      <c r="AK82">
        <f t="shared" si="146"/>
        <v>0.35</v>
      </c>
      <c r="AL82">
        <f t="shared" si="146"/>
        <v>0.35</v>
      </c>
      <c r="AM82">
        <f t="shared" si="146"/>
        <v>0.35</v>
      </c>
      <c r="AN82">
        <f t="shared" si="146"/>
        <v>0.35</v>
      </c>
      <c r="AO82">
        <f t="shared" si="146"/>
        <v>0.35</v>
      </c>
      <c r="AP82">
        <f t="shared" si="146"/>
        <v>0.35</v>
      </c>
    </row>
    <row r="83" ht="16" spans="4:42">
      <c r="D83" s="25"/>
      <c r="F83" s="8" t="s">
        <v>83</v>
      </c>
      <c r="G83" s="11" t="str">
        <f t="shared" ref="G83:G146" si="147">G82</f>
        <v>ACT_BND</v>
      </c>
      <c r="H83" t="str">
        <f t="shared" ref="H83:H146" si="148">H82</f>
        <v>UP</v>
      </c>
      <c r="J83" s="10">
        <v>2029</v>
      </c>
      <c r="K83" s="10" t="str">
        <f t="shared" ref="K83:K146" si="149">K75</f>
        <v>ELCCOH00</v>
      </c>
      <c r="L83" s="8">
        <f t="shared" ref="L83:R83" si="150">W83/AJ83</f>
        <v>0</v>
      </c>
      <c r="M83" s="8">
        <f t="shared" si="150"/>
        <v>0</v>
      </c>
      <c r="N83" s="8">
        <f t="shared" si="150"/>
        <v>9.99918267591224</v>
      </c>
      <c r="O83" s="8">
        <f t="shared" si="150"/>
        <v>0</v>
      </c>
      <c r="P83" s="8">
        <f t="shared" si="150"/>
        <v>0</v>
      </c>
      <c r="Q83" s="8">
        <f t="shared" si="150"/>
        <v>0</v>
      </c>
      <c r="R83" s="8">
        <f t="shared" si="15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1">AJ75</f>
        <v>0.38</v>
      </c>
      <c r="AK83">
        <f t="shared" si="151"/>
        <v>0.38</v>
      </c>
      <c r="AL83">
        <f t="shared" si="151"/>
        <v>0.38</v>
      </c>
      <c r="AM83">
        <f t="shared" si="151"/>
        <v>0.38</v>
      </c>
      <c r="AN83">
        <f t="shared" si="151"/>
        <v>0.38</v>
      </c>
      <c r="AO83">
        <f t="shared" si="151"/>
        <v>0.38</v>
      </c>
      <c r="AP83">
        <f t="shared" si="151"/>
        <v>0.38</v>
      </c>
    </row>
    <row r="84" ht="16" spans="4:42">
      <c r="D84" s="25"/>
      <c r="F84" s="8" t="s">
        <v>83</v>
      </c>
      <c r="G84" s="11" t="str">
        <f t="shared" si="147"/>
        <v>ACT_BND</v>
      </c>
      <c r="H84" t="str">
        <f t="shared" si="148"/>
        <v>UP</v>
      </c>
      <c r="J84" s="10">
        <v>2029</v>
      </c>
      <c r="K84" s="10" t="str">
        <f t="shared" si="149"/>
        <v>ELCGAS00</v>
      </c>
      <c r="L84" s="8">
        <f t="shared" ref="L84:R84" si="152">W84/AJ84</f>
        <v>652.689941594673</v>
      </c>
      <c r="M84" s="8">
        <f t="shared" si="152"/>
        <v>78.4625185935925</v>
      </c>
      <c r="N84" s="8">
        <f t="shared" si="152"/>
        <v>121.971641558675</v>
      </c>
      <c r="O84" s="8">
        <f t="shared" si="152"/>
        <v>0.995123887688985</v>
      </c>
      <c r="P84" s="8">
        <f t="shared" si="152"/>
        <v>188.039500089993</v>
      </c>
      <c r="Q84" s="8">
        <f t="shared" si="152"/>
        <v>4.93694179445645</v>
      </c>
      <c r="R84" s="8">
        <f t="shared" si="152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3">AJ76</f>
        <v>0.4</v>
      </c>
      <c r="AK84">
        <f t="shared" si="153"/>
        <v>0.4</v>
      </c>
      <c r="AL84">
        <f t="shared" si="153"/>
        <v>0.4</v>
      </c>
      <c r="AM84">
        <f t="shared" si="153"/>
        <v>0.4</v>
      </c>
      <c r="AN84">
        <f t="shared" si="153"/>
        <v>0.4</v>
      </c>
      <c r="AO84">
        <f t="shared" si="153"/>
        <v>0.4</v>
      </c>
      <c r="AP84">
        <f t="shared" si="153"/>
        <v>0.4</v>
      </c>
    </row>
    <row r="85" ht="16" spans="4:42">
      <c r="D85" s="25"/>
      <c r="F85" s="8" t="s">
        <v>83</v>
      </c>
      <c r="G85" s="11" t="str">
        <f t="shared" si="147"/>
        <v>ACT_BND</v>
      </c>
      <c r="H85" t="str">
        <f t="shared" si="148"/>
        <v>UP</v>
      </c>
      <c r="J85" s="10">
        <v>2029</v>
      </c>
      <c r="K85" s="10" t="str">
        <f t="shared" si="149"/>
        <v>ELCHFO00</v>
      </c>
      <c r="L85" s="8">
        <f t="shared" ref="L85:R85" si="154">W85/AJ85</f>
        <v>0.092773487401008</v>
      </c>
      <c r="M85" s="8">
        <f t="shared" si="154"/>
        <v>2.21103217782577</v>
      </c>
      <c r="N85" s="8">
        <f t="shared" si="154"/>
        <v>0.00406519078473723</v>
      </c>
      <c r="O85" s="8">
        <f t="shared" si="154"/>
        <v>0.121656896808255</v>
      </c>
      <c r="P85" s="8">
        <f t="shared" si="154"/>
        <v>0.50498372786177</v>
      </c>
      <c r="Q85" s="8">
        <f t="shared" si="154"/>
        <v>3.79008767338613</v>
      </c>
      <c r="R85" s="8">
        <f t="shared" si="154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55">AJ77</f>
        <v>0.3</v>
      </c>
      <c r="AK85">
        <f t="shared" si="155"/>
        <v>0.3</v>
      </c>
      <c r="AL85">
        <f t="shared" si="155"/>
        <v>0.3</v>
      </c>
      <c r="AM85">
        <f t="shared" si="155"/>
        <v>0.3</v>
      </c>
      <c r="AN85">
        <f t="shared" si="155"/>
        <v>0.3</v>
      </c>
      <c r="AO85">
        <f t="shared" si="155"/>
        <v>0.3</v>
      </c>
      <c r="AP85">
        <f t="shared" si="155"/>
        <v>0.3</v>
      </c>
    </row>
    <row r="86" ht="16" spans="4:42">
      <c r="D86" s="25"/>
      <c r="F86" s="8" t="s">
        <v>83</v>
      </c>
      <c r="G86" s="11" t="str">
        <f t="shared" si="147"/>
        <v>ACT_BND</v>
      </c>
      <c r="H86" t="str">
        <f t="shared" si="148"/>
        <v>UP</v>
      </c>
      <c r="J86" s="10">
        <v>2029</v>
      </c>
      <c r="K86" s="10" t="str">
        <f t="shared" si="149"/>
        <v>ELCHYD00</v>
      </c>
      <c r="L86" s="8">
        <f t="shared" ref="L86:R86" si="156">W86/AJ86</f>
        <v>6.12721077241656</v>
      </c>
      <c r="M86" s="8">
        <f t="shared" si="156"/>
        <v>237.077936691086</v>
      </c>
      <c r="N86" s="8">
        <f t="shared" si="156"/>
        <v>15.2473780439833</v>
      </c>
      <c r="O86" s="8">
        <f t="shared" si="156"/>
        <v>144.547837278172</v>
      </c>
      <c r="P86" s="8">
        <f t="shared" si="156"/>
        <v>140.083557665902</v>
      </c>
      <c r="Q86" s="8">
        <f t="shared" si="156"/>
        <v>895.197634580986</v>
      </c>
      <c r="R86" s="8">
        <f t="shared" si="156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57">AJ78</f>
        <v>0.97</v>
      </c>
      <c r="AK86">
        <f t="shared" si="157"/>
        <v>0.97</v>
      </c>
      <c r="AL86">
        <f t="shared" si="157"/>
        <v>0.97</v>
      </c>
      <c r="AM86">
        <f t="shared" si="157"/>
        <v>0.97</v>
      </c>
      <c r="AN86">
        <f t="shared" si="157"/>
        <v>0.97</v>
      </c>
      <c r="AO86">
        <f t="shared" si="157"/>
        <v>0.97</v>
      </c>
      <c r="AP86">
        <f t="shared" si="157"/>
        <v>0.97</v>
      </c>
    </row>
    <row r="87" ht="16" spans="4:42">
      <c r="D87" s="25"/>
      <c r="F87" s="8" t="s">
        <v>83</v>
      </c>
      <c r="G87" s="11" t="str">
        <f t="shared" si="147"/>
        <v>ACT_BND</v>
      </c>
      <c r="H87" t="str">
        <f t="shared" si="148"/>
        <v>UP</v>
      </c>
      <c r="J87" s="10">
        <v>2029</v>
      </c>
      <c r="K87" s="10" t="str">
        <f t="shared" si="149"/>
        <v>ENCAN01_SMR</v>
      </c>
      <c r="L87" s="8">
        <f t="shared" ref="L87:O87" si="158">W87/AJ87</f>
        <v>0</v>
      </c>
      <c r="M87" s="8">
        <f t="shared" si="158"/>
        <v>0</v>
      </c>
      <c r="N87" s="8">
        <f t="shared" si="158"/>
        <v>0</v>
      </c>
      <c r="O87" s="8">
        <f t="shared" si="158"/>
        <v>0</v>
      </c>
      <c r="P87" s="34">
        <v>54.8149638963283</v>
      </c>
      <c r="Q87" s="8">
        <f>AB87/AO87</f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59">AJ79</f>
        <v>1</v>
      </c>
      <c r="AK87">
        <f t="shared" si="159"/>
        <v>1</v>
      </c>
      <c r="AL87">
        <f t="shared" si="159"/>
        <v>1</v>
      </c>
      <c r="AM87">
        <f t="shared" si="159"/>
        <v>1</v>
      </c>
      <c r="AN87">
        <f t="shared" si="159"/>
        <v>1</v>
      </c>
      <c r="AO87">
        <f t="shared" si="159"/>
        <v>1</v>
      </c>
      <c r="AP87">
        <f t="shared" si="159"/>
        <v>1</v>
      </c>
    </row>
    <row r="88" ht="16" spans="4:42">
      <c r="D88" s="25"/>
      <c r="F88" s="8" t="s">
        <v>83</v>
      </c>
      <c r="G88" s="11" t="str">
        <f t="shared" si="147"/>
        <v>ACT_BND</v>
      </c>
      <c r="H88" t="str">
        <f t="shared" si="148"/>
        <v>UP</v>
      </c>
      <c r="J88" s="10">
        <v>2029</v>
      </c>
      <c r="K88" s="10" t="str">
        <f t="shared" si="149"/>
        <v>ELCSOL00</v>
      </c>
      <c r="L88" s="8">
        <f t="shared" ref="L88:R88" si="160">W88/AJ88</f>
        <v>13.9074364074874</v>
      </c>
      <c r="M88" s="8">
        <f t="shared" si="160"/>
        <v>4.88928987791937</v>
      </c>
      <c r="N88" s="8">
        <f t="shared" si="160"/>
        <v>0.89442055687545</v>
      </c>
      <c r="O88" s="8">
        <f t="shared" si="160"/>
        <v>0.212784578581713</v>
      </c>
      <c r="P88" s="8">
        <f t="shared" si="160"/>
        <v>31.0208768646508</v>
      </c>
      <c r="Q88" s="8">
        <f t="shared" si="160"/>
        <v>0.441947774298056</v>
      </c>
      <c r="R88" s="8">
        <f t="shared" si="16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1">AJ80</f>
        <v>1</v>
      </c>
      <c r="AK88">
        <f t="shared" si="161"/>
        <v>1</v>
      </c>
      <c r="AL88">
        <f t="shared" si="161"/>
        <v>1</v>
      </c>
      <c r="AM88">
        <f t="shared" si="161"/>
        <v>1</v>
      </c>
      <c r="AN88">
        <f t="shared" si="161"/>
        <v>1</v>
      </c>
      <c r="AO88">
        <f t="shared" si="161"/>
        <v>1</v>
      </c>
      <c r="AP88">
        <f t="shared" si="161"/>
        <v>1</v>
      </c>
    </row>
    <row r="89" ht="16" spans="4:42">
      <c r="D89" s="25"/>
      <c r="F89" s="8" t="s">
        <v>83</v>
      </c>
      <c r="G89" s="11" t="str">
        <f t="shared" si="147"/>
        <v>ACT_BND</v>
      </c>
      <c r="H89" t="str">
        <f t="shared" si="148"/>
        <v>UP</v>
      </c>
      <c r="J89" s="10">
        <v>2029</v>
      </c>
      <c r="K89" s="10" t="str">
        <f t="shared" si="149"/>
        <v>ELCWIN00</v>
      </c>
      <c r="L89" s="8">
        <f t="shared" ref="L89:R89" si="162">W89/AJ89</f>
        <v>67.1102546436285</v>
      </c>
      <c r="M89" s="8">
        <f t="shared" si="162"/>
        <v>11.4831750785817</v>
      </c>
      <c r="N89" s="8">
        <f t="shared" si="162"/>
        <v>32.3397180705544</v>
      </c>
      <c r="O89" s="8">
        <f t="shared" si="162"/>
        <v>3.68601989200864</v>
      </c>
      <c r="P89" s="8">
        <f t="shared" si="162"/>
        <v>91.4756628509719</v>
      </c>
      <c r="Q89" s="8">
        <f t="shared" si="162"/>
        <v>53.9221041396688</v>
      </c>
      <c r="R89" s="8">
        <f t="shared" si="162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3">AJ81</f>
        <v>1</v>
      </c>
      <c r="AK89">
        <f t="shared" si="163"/>
        <v>1</v>
      </c>
      <c r="AL89">
        <f t="shared" si="163"/>
        <v>1</v>
      </c>
      <c r="AM89">
        <f t="shared" si="163"/>
        <v>1</v>
      </c>
      <c r="AN89">
        <f t="shared" si="163"/>
        <v>1</v>
      </c>
      <c r="AO89">
        <f t="shared" si="163"/>
        <v>1</v>
      </c>
      <c r="AP89">
        <f t="shared" si="163"/>
        <v>1</v>
      </c>
    </row>
    <row r="90" ht="16" spans="4:42">
      <c r="D90" s="25"/>
      <c r="F90" s="8" t="s">
        <v>83</v>
      </c>
      <c r="G90" s="11" t="str">
        <f t="shared" si="147"/>
        <v>ACT_BND</v>
      </c>
      <c r="H90" t="str">
        <f t="shared" si="148"/>
        <v>UP</v>
      </c>
      <c r="J90" s="10">
        <v>2029</v>
      </c>
      <c r="K90" s="10" t="str">
        <f t="shared" si="149"/>
        <v>ELCWOO00</v>
      </c>
      <c r="L90" s="8">
        <f t="shared" ref="L90:R90" si="164">W90/AJ90</f>
        <v>10.8467996811684</v>
      </c>
      <c r="M90" s="8">
        <f t="shared" si="164"/>
        <v>35.6937071819397</v>
      </c>
      <c r="N90" s="8">
        <f t="shared" si="164"/>
        <v>0.794927123727246</v>
      </c>
      <c r="O90" s="8">
        <f t="shared" si="164"/>
        <v>0.76473664074874</v>
      </c>
      <c r="P90" s="8">
        <f t="shared" si="164"/>
        <v>11.3318934485241</v>
      </c>
      <c r="Q90" s="8">
        <f t="shared" si="164"/>
        <v>13.8952623572971</v>
      </c>
      <c r="R90" s="8">
        <f t="shared" si="164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65">AJ82</f>
        <v>0.35</v>
      </c>
      <c r="AK90">
        <f t="shared" si="165"/>
        <v>0.35</v>
      </c>
      <c r="AL90">
        <f t="shared" si="165"/>
        <v>0.35</v>
      </c>
      <c r="AM90">
        <f t="shared" si="165"/>
        <v>0.35</v>
      </c>
      <c r="AN90">
        <f t="shared" si="165"/>
        <v>0.35</v>
      </c>
      <c r="AO90">
        <f t="shared" si="165"/>
        <v>0.35</v>
      </c>
      <c r="AP90">
        <f t="shared" si="165"/>
        <v>0.35</v>
      </c>
    </row>
    <row r="91" ht="16" spans="4:42">
      <c r="D91" s="25"/>
      <c r="F91" s="8" t="s">
        <v>83</v>
      </c>
      <c r="G91" s="11" t="str">
        <f t="shared" si="147"/>
        <v>ACT_BND</v>
      </c>
      <c r="H91" t="str">
        <f t="shared" si="148"/>
        <v>UP</v>
      </c>
      <c r="J91" s="10">
        <v>2030</v>
      </c>
      <c r="K91" s="10" t="str">
        <f t="shared" si="149"/>
        <v>ELCCOH00</v>
      </c>
      <c r="L91" s="8">
        <f t="shared" ref="L91:R91" si="166">W91/AJ91</f>
        <v>0</v>
      </c>
      <c r="M91" s="8">
        <f t="shared" si="166"/>
        <v>0</v>
      </c>
      <c r="N91" s="8">
        <f t="shared" si="166"/>
        <v>6.20296692054111</v>
      </c>
      <c r="O91" s="8">
        <f t="shared" si="166"/>
        <v>0</v>
      </c>
      <c r="P91" s="8">
        <f t="shared" si="166"/>
        <v>0</v>
      </c>
      <c r="Q91" s="8">
        <f t="shared" si="166"/>
        <v>0</v>
      </c>
      <c r="R91" s="8">
        <f t="shared" si="166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67">AJ83</f>
        <v>0.38</v>
      </c>
      <c r="AK91">
        <f t="shared" si="167"/>
        <v>0.38</v>
      </c>
      <c r="AL91">
        <f t="shared" si="167"/>
        <v>0.38</v>
      </c>
      <c r="AM91">
        <f t="shared" si="167"/>
        <v>0.38</v>
      </c>
      <c r="AN91">
        <f t="shared" si="167"/>
        <v>0.38</v>
      </c>
      <c r="AO91">
        <f t="shared" si="167"/>
        <v>0.38</v>
      </c>
      <c r="AP91">
        <f t="shared" si="167"/>
        <v>0.38</v>
      </c>
    </row>
    <row r="92" ht="16" spans="4:42">
      <c r="D92" s="25"/>
      <c r="F92" s="8" t="s">
        <v>83</v>
      </c>
      <c r="G92" s="11" t="str">
        <f t="shared" si="147"/>
        <v>ACT_BND</v>
      </c>
      <c r="H92" t="str">
        <f t="shared" si="148"/>
        <v>UP</v>
      </c>
      <c r="J92" s="10">
        <v>2030</v>
      </c>
      <c r="K92" s="10" t="str">
        <f t="shared" si="149"/>
        <v>ELCGAS00</v>
      </c>
      <c r="L92" s="8">
        <f t="shared" ref="L92:R92" si="168">W92/AJ92</f>
        <v>650.691219312455</v>
      </c>
      <c r="M92" s="8">
        <f t="shared" si="168"/>
        <v>94.955235961123</v>
      </c>
      <c r="N92" s="8">
        <f t="shared" si="168"/>
        <v>126.185941864651</v>
      </c>
      <c r="O92" s="8">
        <f t="shared" si="168"/>
        <v>0.111040181785457</v>
      </c>
      <c r="P92" s="8">
        <f t="shared" si="168"/>
        <v>219.698509989201</v>
      </c>
      <c r="Q92" s="8">
        <f t="shared" si="168"/>
        <v>1.52731791306695</v>
      </c>
      <c r="R92" s="8">
        <f t="shared" si="168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69">AJ84</f>
        <v>0.4</v>
      </c>
      <c r="AK92">
        <f t="shared" si="169"/>
        <v>0.4</v>
      </c>
      <c r="AL92">
        <f t="shared" si="169"/>
        <v>0.4</v>
      </c>
      <c r="AM92">
        <f t="shared" si="169"/>
        <v>0.4</v>
      </c>
      <c r="AN92">
        <f t="shared" si="169"/>
        <v>0.4</v>
      </c>
      <c r="AO92">
        <f t="shared" si="169"/>
        <v>0.4</v>
      </c>
      <c r="AP92">
        <f t="shared" si="169"/>
        <v>0.4</v>
      </c>
    </row>
    <row r="93" ht="16" spans="4:42">
      <c r="D93" s="25"/>
      <c r="F93" s="8" t="s">
        <v>83</v>
      </c>
      <c r="G93" s="11" t="str">
        <f t="shared" si="147"/>
        <v>ACT_BND</v>
      </c>
      <c r="H93" t="str">
        <f t="shared" si="148"/>
        <v>UP</v>
      </c>
      <c r="J93" s="10">
        <v>2030</v>
      </c>
      <c r="K93" s="10" t="str">
        <f t="shared" si="149"/>
        <v>ELCHFO00</v>
      </c>
      <c r="L93" s="8">
        <f t="shared" ref="L93:R93" si="170">W93/AJ93</f>
        <v>0</v>
      </c>
      <c r="M93" s="8">
        <f t="shared" si="170"/>
        <v>1.88712694960403</v>
      </c>
      <c r="N93" s="8">
        <f t="shared" si="170"/>
        <v>0</v>
      </c>
      <c r="O93" s="8">
        <f t="shared" si="170"/>
        <v>0.00940136789056877</v>
      </c>
      <c r="P93" s="8">
        <f t="shared" si="170"/>
        <v>0.163931616990641</v>
      </c>
      <c r="Q93" s="8">
        <f t="shared" si="170"/>
        <v>3.8620158387329</v>
      </c>
      <c r="R93" s="8">
        <f t="shared" si="17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1">AJ85</f>
        <v>0.3</v>
      </c>
      <c r="AK93">
        <f t="shared" si="171"/>
        <v>0.3</v>
      </c>
      <c r="AL93">
        <f t="shared" si="171"/>
        <v>0.3</v>
      </c>
      <c r="AM93">
        <f t="shared" si="171"/>
        <v>0.3</v>
      </c>
      <c r="AN93">
        <f t="shared" si="171"/>
        <v>0.3</v>
      </c>
      <c r="AO93">
        <f t="shared" si="171"/>
        <v>0.3</v>
      </c>
      <c r="AP93">
        <f t="shared" si="171"/>
        <v>0.3</v>
      </c>
    </row>
    <row r="94" ht="16" spans="4:42">
      <c r="D94" s="25"/>
      <c r="F94" s="8" t="s">
        <v>83</v>
      </c>
      <c r="G94" s="11" t="str">
        <f t="shared" si="147"/>
        <v>ACT_BND</v>
      </c>
      <c r="H94" t="str">
        <f t="shared" si="148"/>
        <v>UP</v>
      </c>
      <c r="J94" s="10">
        <v>2030</v>
      </c>
      <c r="K94" s="10" t="str">
        <f t="shared" si="149"/>
        <v>ELCHYD00</v>
      </c>
      <c r="L94" s="8">
        <f t="shared" ref="L94:R94" si="172">W94/AJ94</f>
        <v>6.12721077241656</v>
      </c>
      <c r="M94" s="8">
        <f t="shared" si="172"/>
        <v>237.143626424112</v>
      </c>
      <c r="N94" s="8">
        <f t="shared" si="172"/>
        <v>15.372333043872</v>
      </c>
      <c r="O94" s="8">
        <f t="shared" si="172"/>
        <v>148.773664506839</v>
      </c>
      <c r="P94" s="8">
        <f t="shared" si="172"/>
        <v>141.783221890702</v>
      </c>
      <c r="Q94" s="8">
        <f t="shared" si="172"/>
        <v>912.096638165854</v>
      </c>
      <c r="R94" s="8">
        <f t="shared" si="172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3">AJ86</f>
        <v>0.97</v>
      </c>
      <c r="AK94">
        <f t="shared" si="173"/>
        <v>0.97</v>
      </c>
      <c r="AL94">
        <f t="shared" si="173"/>
        <v>0.97</v>
      </c>
      <c r="AM94">
        <f t="shared" si="173"/>
        <v>0.97</v>
      </c>
      <c r="AN94">
        <f t="shared" si="173"/>
        <v>0.97</v>
      </c>
      <c r="AO94">
        <f t="shared" si="173"/>
        <v>0.97</v>
      </c>
      <c r="AP94">
        <f t="shared" si="173"/>
        <v>0.97</v>
      </c>
    </row>
    <row r="95" ht="16" spans="4:42">
      <c r="D95" s="25"/>
      <c r="F95" s="8" t="s">
        <v>83</v>
      </c>
      <c r="G95" s="11" t="str">
        <f t="shared" si="147"/>
        <v>ACT_BND</v>
      </c>
      <c r="H95" t="str">
        <f t="shared" si="148"/>
        <v>UP</v>
      </c>
      <c r="J95" s="10">
        <v>2030</v>
      </c>
      <c r="K95" s="10" t="str">
        <f t="shared" si="149"/>
        <v>ENCAN01_SMR</v>
      </c>
      <c r="L95" s="8">
        <f t="shared" ref="L95:O95" si="174">W95/AJ95</f>
        <v>0</v>
      </c>
      <c r="M95" s="8">
        <f t="shared" si="174"/>
        <v>0</v>
      </c>
      <c r="N95" s="8">
        <f t="shared" si="174"/>
        <v>0</v>
      </c>
      <c r="O95" s="8">
        <f t="shared" si="174"/>
        <v>0</v>
      </c>
      <c r="P95" s="34">
        <v>83.2574103686101</v>
      </c>
      <c r="Q95" s="8">
        <f>AB95/AO95</f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75">AJ87</f>
        <v>1</v>
      </c>
      <c r="AK95">
        <f t="shared" si="175"/>
        <v>1</v>
      </c>
      <c r="AL95">
        <f t="shared" si="175"/>
        <v>1</v>
      </c>
      <c r="AM95">
        <f t="shared" si="175"/>
        <v>1</v>
      </c>
      <c r="AN95">
        <f t="shared" si="175"/>
        <v>1</v>
      </c>
      <c r="AO95">
        <f t="shared" si="175"/>
        <v>1</v>
      </c>
      <c r="AP95">
        <f t="shared" si="175"/>
        <v>1</v>
      </c>
    </row>
    <row r="96" ht="16" spans="4:42">
      <c r="D96" s="25"/>
      <c r="F96" s="8" t="s">
        <v>83</v>
      </c>
      <c r="G96" s="11" t="str">
        <f t="shared" si="147"/>
        <v>ACT_BND</v>
      </c>
      <c r="H96" t="str">
        <f t="shared" si="148"/>
        <v>UP</v>
      </c>
      <c r="J96" s="10">
        <v>2030</v>
      </c>
      <c r="K96" s="10" t="str">
        <f t="shared" si="149"/>
        <v>ELCSOL00</v>
      </c>
      <c r="L96" s="8">
        <f t="shared" ref="L96:R96" si="176">W96/AJ96</f>
        <v>15.2062794600432</v>
      </c>
      <c r="M96" s="8">
        <f t="shared" si="176"/>
        <v>5.4180663999604</v>
      </c>
      <c r="N96" s="8">
        <f t="shared" si="176"/>
        <v>1.20470241396688</v>
      </c>
      <c r="O96" s="8">
        <f t="shared" si="176"/>
        <v>0.250366827393808</v>
      </c>
      <c r="P96" s="8">
        <f t="shared" si="176"/>
        <v>31.3428751475882</v>
      </c>
      <c r="Q96" s="8">
        <f t="shared" si="176"/>
        <v>0.52585576637869</v>
      </c>
      <c r="R96" s="8">
        <f t="shared" si="176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77">AJ88</f>
        <v>1</v>
      </c>
      <c r="AK96">
        <f t="shared" si="177"/>
        <v>1</v>
      </c>
      <c r="AL96">
        <f t="shared" si="177"/>
        <v>1</v>
      </c>
      <c r="AM96">
        <f t="shared" si="177"/>
        <v>1</v>
      </c>
      <c r="AN96">
        <f t="shared" si="177"/>
        <v>1</v>
      </c>
      <c r="AO96">
        <f t="shared" si="177"/>
        <v>1</v>
      </c>
      <c r="AP96">
        <f t="shared" si="177"/>
        <v>1</v>
      </c>
    </row>
    <row r="97" ht="16" spans="4:42">
      <c r="D97" s="25"/>
      <c r="F97" s="8" t="s">
        <v>83</v>
      </c>
      <c r="G97" s="11" t="str">
        <f t="shared" si="147"/>
        <v>ACT_BND</v>
      </c>
      <c r="H97" t="str">
        <f t="shared" si="148"/>
        <v>UP</v>
      </c>
      <c r="J97" s="10">
        <v>2030</v>
      </c>
      <c r="K97" s="10" t="str">
        <f t="shared" si="149"/>
        <v>ELCWIN00</v>
      </c>
      <c r="L97" s="8">
        <f t="shared" ref="L97:R97" si="178">W97/AJ97</f>
        <v>71.2525683225342</v>
      </c>
      <c r="M97" s="8">
        <f t="shared" si="178"/>
        <v>12.1445251689345</v>
      </c>
      <c r="N97" s="8">
        <f t="shared" si="178"/>
        <v>34.7117504463643</v>
      </c>
      <c r="O97" s="8">
        <f t="shared" si="178"/>
        <v>3.95069313534917</v>
      </c>
      <c r="P97" s="8">
        <f t="shared" si="178"/>
        <v>102.751420950324</v>
      </c>
      <c r="Q97" s="8">
        <f t="shared" si="178"/>
        <v>53.9221041396688</v>
      </c>
      <c r="R97" s="8">
        <f t="shared" si="178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79">AJ89</f>
        <v>1</v>
      </c>
      <c r="AK97">
        <f t="shared" si="179"/>
        <v>1</v>
      </c>
      <c r="AL97">
        <f t="shared" si="179"/>
        <v>1</v>
      </c>
      <c r="AM97">
        <f t="shared" si="179"/>
        <v>1</v>
      </c>
      <c r="AN97">
        <f t="shared" si="179"/>
        <v>1</v>
      </c>
      <c r="AO97">
        <f t="shared" si="179"/>
        <v>1</v>
      </c>
      <c r="AP97">
        <f t="shared" si="179"/>
        <v>1</v>
      </c>
    </row>
    <row r="98" ht="16" spans="4:42">
      <c r="D98" s="25"/>
      <c r="F98" s="8" t="s">
        <v>83</v>
      </c>
      <c r="G98" s="11" t="str">
        <f t="shared" si="147"/>
        <v>ACT_BND</v>
      </c>
      <c r="H98" t="str">
        <f t="shared" si="148"/>
        <v>UP</v>
      </c>
      <c r="J98" s="10">
        <v>2030</v>
      </c>
      <c r="K98" s="10" t="str">
        <f t="shared" si="149"/>
        <v>ELCWOO00</v>
      </c>
      <c r="L98" s="8">
        <f t="shared" ref="L98:R98" si="180">W98/AJ98</f>
        <v>11.8934414686825</v>
      </c>
      <c r="M98" s="8">
        <f t="shared" si="180"/>
        <v>32.9747862048751</v>
      </c>
      <c r="N98" s="8">
        <f t="shared" si="180"/>
        <v>0.129959888923172</v>
      </c>
      <c r="O98" s="8">
        <f t="shared" si="180"/>
        <v>0.831761981590043</v>
      </c>
      <c r="P98" s="8">
        <f t="shared" si="180"/>
        <v>12.3572971305153</v>
      </c>
      <c r="Q98" s="8">
        <f t="shared" si="180"/>
        <v>13.9705001645583</v>
      </c>
      <c r="R98" s="8">
        <f t="shared" si="18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1">AJ90</f>
        <v>0.35</v>
      </c>
      <c r="AK98">
        <f t="shared" si="181"/>
        <v>0.35</v>
      </c>
      <c r="AL98">
        <f t="shared" si="181"/>
        <v>0.35</v>
      </c>
      <c r="AM98">
        <f t="shared" si="181"/>
        <v>0.35</v>
      </c>
      <c r="AN98">
        <f t="shared" si="181"/>
        <v>0.35</v>
      </c>
      <c r="AO98">
        <f t="shared" si="181"/>
        <v>0.35</v>
      </c>
      <c r="AP98">
        <f t="shared" si="181"/>
        <v>0.35</v>
      </c>
    </row>
    <row r="99" ht="16" spans="4:42">
      <c r="D99" s="25"/>
      <c r="F99" s="8" t="s">
        <v>83</v>
      </c>
      <c r="G99" s="11" t="str">
        <f t="shared" si="147"/>
        <v>ACT_BND</v>
      </c>
      <c r="H99" t="str">
        <f t="shared" si="148"/>
        <v>UP</v>
      </c>
      <c r="J99" s="10">
        <v>2031</v>
      </c>
      <c r="K99" s="10" t="str">
        <f t="shared" si="149"/>
        <v>ELCCOH00</v>
      </c>
      <c r="L99" s="8">
        <f t="shared" ref="L99:R99" si="182">W99/AJ99</f>
        <v>0</v>
      </c>
      <c r="M99" s="8">
        <f t="shared" si="182"/>
        <v>0</v>
      </c>
      <c r="N99" s="8">
        <f t="shared" si="182"/>
        <v>6.20296692054111</v>
      </c>
      <c r="O99" s="8">
        <f t="shared" si="182"/>
        <v>0</v>
      </c>
      <c r="P99" s="8">
        <f t="shared" si="182"/>
        <v>0</v>
      </c>
      <c r="Q99" s="8">
        <f t="shared" si="182"/>
        <v>0</v>
      </c>
      <c r="R99" s="8">
        <f t="shared" si="182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3">AJ91</f>
        <v>0.38</v>
      </c>
      <c r="AK99">
        <f t="shared" si="183"/>
        <v>0.38</v>
      </c>
      <c r="AL99">
        <f t="shared" si="183"/>
        <v>0.38</v>
      </c>
      <c r="AM99">
        <f t="shared" si="183"/>
        <v>0.38</v>
      </c>
      <c r="AN99">
        <f t="shared" si="183"/>
        <v>0.38</v>
      </c>
      <c r="AO99">
        <f t="shared" si="183"/>
        <v>0.38</v>
      </c>
      <c r="AP99">
        <f t="shared" si="183"/>
        <v>0.38</v>
      </c>
    </row>
    <row r="100" ht="16" spans="4:42">
      <c r="D100" s="25"/>
      <c r="F100" s="8" t="s">
        <v>83</v>
      </c>
      <c r="G100" s="11" t="str">
        <f t="shared" si="147"/>
        <v>ACT_BND</v>
      </c>
      <c r="H100" t="str">
        <f t="shared" si="148"/>
        <v>UP</v>
      </c>
      <c r="J100" s="10">
        <v>2031</v>
      </c>
      <c r="K100" s="10" t="str">
        <f t="shared" si="149"/>
        <v>ELCGAS00</v>
      </c>
      <c r="L100" s="8">
        <f t="shared" ref="L100:R100" si="184">W100/AJ100</f>
        <v>554.361682685385</v>
      </c>
      <c r="M100" s="8">
        <f t="shared" si="184"/>
        <v>91.9141937473002</v>
      </c>
      <c r="N100" s="8">
        <f t="shared" si="184"/>
        <v>107.762666036717</v>
      </c>
      <c r="O100" s="8">
        <f t="shared" si="184"/>
        <v>0.116798972642188</v>
      </c>
      <c r="P100" s="8">
        <f t="shared" si="184"/>
        <v>182.962099352052</v>
      </c>
      <c r="Q100" s="8">
        <f t="shared" si="184"/>
        <v>1.52023284197264</v>
      </c>
      <c r="R100" s="8">
        <f t="shared" si="184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85">AJ92</f>
        <v>0.4</v>
      </c>
      <c r="AK100">
        <f t="shared" si="185"/>
        <v>0.4</v>
      </c>
      <c r="AL100">
        <f t="shared" si="185"/>
        <v>0.4</v>
      </c>
      <c r="AM100">
        <f t="shared" si="185"/>
        <v>0.4</v>
      </c>
      <c r="AN100">
        <f t="shared" si="185"/>
        <v>0.4</v>
      </c>
      <c r="AO100">
        <f t="shared" si="185"/>
        <v>0.4</v>
      </c>
      <c r="AP100">
        <f t="shared" si="185"/>
        <v>0.4</v>
      </c>
    </row>
    <row r="101" ht="16" spans="4:42">
      <c r="D101" s="25"/>
      <c r="F101" s="8" t="s">
        <v>83</v>
      </c>
      <c r="G101" s="11" t="str">
        <f t="shared" si="147"/>
        <v>ACT_BND</v>
      </c>
      <c r="H101" t="str">
        <f t="shared" si="148"/>
        <v>UP</v>
      </c>
      <c r="J101" s="10">
        <v>2031</v>
      </c>
      <c r="K101" s="10" t="str">
        <f t="shared" si="149"/>
        <v>ELCHFO00</v>
      </c>
      <c r="L101" s="8">
        <f t="shared" ref="L101:R101" si="186">W101/AJ101</f>
        <v>0</v>
      </c>
      <c r="M101" s="8">
        <f t="shared" si="186"/>
        <v>2.20324928077754</v>
      </c>
      <c r="N101" s="8">
        <f t="shared" si="186"/>
        <v>0</v>
      </c>
      <c r="O101" s="8">
        <f t="shared" si="186"/>
        <v>0.0109310789056875</v>
      </c>
      <c r="P101" s="8">
        <f t="shared" si="186"/>
        <v>0.163931616990641</v>
      </c>
      <c r="Q101" s="8">
        <f t="shared" si="186"/>
        <v>3.87445884329253</v>
      </c>
      <c r="R101" s="8">
        <f t="shared" si="186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87">AJ93</f>
        <v>0.3</v>
      </c>
      <c r="AK101">
        <f t="shared" si="187"/>
        <v>0.3</v>
      </c>
      <c r="AL101">
        <f t="shared" si="187"/>
        <v>0.3</v>
      </c>
      <c r="AM101">
        <f t="shared" si="187"/>
        <v>0.3</v>
      </c>
      <c r="AN101">
        <f t="shared" si="187"/>
        <v>0.3</v>
      </c>
      <c r="AO101">
        <f t="shared" si="187"/>
        <v>0.3</v>
      </c>
      <c r="AP101">
        <f t="shared" si="187"/>
        <v>0.3</v>
      </c>
    </row>
    <row r="102" ht="16" spans="4:42">
      <c r="D102" s="25"/>
      <c r="F102" s="8" t="s">
        <v>83</v>
      </c>
      <c r="G102" s="11" t="str">
        <f t="shared" si="147"/>
        <v>ACT_BND</v>
      </c>
      <c r="H102" t="str">
        <f t="shared" si="148"/>
        <v>UP</v>
      </c>
      <c r="J102" s="10">
        <v>2031</v>
      </c>
      <c r="K102" s="10" t="str">
        <f t="shared" si="149"/>
        <v>ELCHYD00</v>
      </c>
      <c r="L102" s="8">
        <f t="shared" ref="L102:R102" si="188">W102/AJ102</f>
        <v>6.12721077241656</v>
      </c>
      <c r="M102" s="8">
        <f t="shared" si="188"/>
        <v>237.195845180097</v>
      </c>
      <c r="N102" s="8">
        <f t="shared" si="188"/>
        <v>15.2730588497251</v>
      </c>
      <c r="O102" s="8">
        <f t="shared" si="188"/>
        <v>151.418595704096</v>
      </c>
      <c r="P102" s="8">
        <f t="shared" si="188"/>
        <v>143.756633675492</v>
      </c>
      <c r="Q102" s="8">
        <f t="shared" si="188"/>
        <v>920.976807463651</v>
      </c>
      <c r="R102" s="8">
        <f t="shared" si="188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89">AJ94</f>
        <v>0.97</v>
      </c>
      <c r="AK102">
        <f t="shared" si="189"/>
        <v>0.97</v>
      </c>
      <c r="AL102">
        <f t="shared" si="189"/>
        <v>0.97</v>
      </c>
      <c r="AM102">
        <f t="shared" si="189"/>
        <v>0.97</v>
      </c>
      <c r="AN102">
        <f t="shared" si="189"/>
        <v>0.97</v>
      </c>
      <c r="AO102">
        <f t="shared" si="189"/>
        <v>0.97</v>
      </c>
      <c r="AP102">
        <f t="shared" si="189"/>
        <v>0.97</v>
      </c>
    </row>
    <row r="103" ht="16" spans="4:42">
      <c r="D103" s="25"/>
      <c r="F103" s="8" t="s">
        <v>83</v>
      </c>
      <c r="G103" s="11" t="str">
        <f t="shared" si="147"/>
        <v>ACT_BND</v>
      </c>
      <c r="H103" t="str">
        <f t="shared" si="148"/>
        <v>UP</v>
      </c>
      <c r="J103" s="10">
        <v>2031</v>
      </c>
      <c r="K103" s="10" t="str">
        <f t="shared" si="149"/>
        <v>ENCAN01_SMR</v>
      </c>
      <c r="L103" s="8">
        <f t="shared" ref="L103:O103" si="190">W103/AJ103</f>
        <v>0</v>
      </c>
      <c r="M103" s="8">
        <f t="shared" si="190"/>
        <v>4.80104885889129</v>
      </c>
      <c r="N103" s="8">
        <f t="shared" si="190"/>
        <v>4.35028443484521</v>
      </c>
      <c r="O103" s="8">
        <f t="shared" si="190"/>
        <v>0.224360016954644</v>
      </c>
      <c r="P103" s="34">
        <v>109.265236718503</v>
      </c>
      <c r="Q103" s="8">
        <f>AB103/AO103</f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1">AJ95</f>
        <v>1</v>
      </c>
      <c r="AK103">
        <f t="shared" si="191"/>
        <v>1</v>
      </c>
      <c r="AL103">
        <f t="shared" si="191"/>
        <v>1</v>
      </c>
      <c r="AM103">
        <f t="shared" si="191"/>
        <v>1</v>
      </c>
      <c r="AN103">
        <f t="shared" si="191"/>
        <v>1</v>
      </c>
      <c r="AO103">
        <f t="shared" si="191"/>
        <v>1</v>
      </c>
      <c r="AP103">
        <f t="shared" si="191"/>
        <v>1</v>
      </c>
    </row>
    <row r="104" ht="16" spans="4:42">
      <c r="D104" s="25"/>
      <c r="F104" s="8" t="s">
        <v>83</v>
      </c>
      <c r="G104" s="11" t="str">
        <f t="shared" si="147"/>
        <v>ACT_BND</v>
      </c>
      <c r="H104" t="str">
        <f t="shared" si="148"/>
        <v>UP</v>
      </c>
      <c r="J104" s="10">
        <v>2031</v>
      </c>
      <c r="K104" s="10" t="str">
        <f t="shared" si="149"/>
        <v>ELCSOL00</v>
      </c>
      <c r="L104" s="8">
        <f t="shared" ref="L104:R104" si="192">W104/AJ104</f>
        <v>27.9205831641469</v>
      </c>
      <c r="M104" s="8">
        <f t="shared" si="192"/>
        <v>8.86843644424406</v>
      </c>
      <c r="N104" s="8">
        <f t="shared" si="192"/>
        <v>2.1524052674586</v>
      </c>
      <c r="O104" s="8">
        <f t="shared" si="192"/>
        <v>0.325204629697624</v>
      </c>
      <c r="P104" s="8">
        <f t="shared" si="192"/>
        <v>33.1905861051116</v>
      </c>
      <c r="Q104" s="8">
        <f t="shared" si="192"/>
        <v>0.870490116630669</v>
      </c>
      <c r="R104" s="8">
        <f t="shared" si="192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3">AJ96</f>
        <v>1</v>
      </c>
      <c r="AK104">
        <f t="shared" si="193"/>
        <v>1</v>
      </c>
      <c r="AL104">
        <f t="shared" si="193"/>
        <v>1</v>
      </c>
      <c r="AM104">
        <f t="shared" si="193"/>
        <v>1</v>
      </c>
      <c r="AN104">
        <f t="shared" si="193"/>
        <v>1</v>
      </c>
      <c r="AO104">
        <f t="shared" si="193"/>
        <v>1</v>
      </c>
      <c r="AP104">
        <f t="shared" si="193"/>
        <v>1</v>
      </c>
    </row>
    <row r="105" ht="16" spans="4:42">
      <c r="D105" s="25"/>
      <c r="F105" s="8" t="s">
        <v>83</v>
      </c>
      <c r="G105" s="11" t="str">
        <f t="shared" si="147"/>
        <v>ACT_BND</v>
      </c>
      <c r="H105" t="str">
        <f t="shared" si="148"/>
        <v>UP</v>
      </c>
      <c r="J105" s="10">
        <v>2031</v>
      </c>
      <c r="K105" s="10" t="str">
        <f t="shared" si="149"/>
        <v>ELCWIN00</v>
      </c>
      <c r="L105" s="8">
        <f t="shared" ref="L105:R105" si="194">W105/AJ105</f>
        <v>94.0789572354212</v>
      </c>
      <c r="M105" s="8">
        <f t="shared" si="194"/>
        <v>15.6672951114471</v>
      </c>
      <c r="N105" s="8">
        <f t="shared" si="194"/>
        <v>36.9243125269978</v>
      </c>
      <c r="O105" s="8">
        <f t="shared" si="194"/>
        <v>3.95497268898488</v>
      </c>
      <c r="P105" s="8">
        <f t="shared" si="194"/>
        <v>127.609813822894</v>
      </c>
      <c r="Q105" s="8">
        <f t="shared" si="194"/>
        <v>54.3748444204464</v>
      </c>
      <c r="R105" s="8">
        <f t="shared" si="194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195">AJ97</f>
        <v>1</v>
      </c>
      <c r="AK105">
        <f t="shared" si="195"/>
        <v>1</v>
      </c>
      <c r="AL105">
        <f t="shared" si="195"/>
        <v>1</v>
      </c>
      <c r="AM105">
        <f t="shared" si="195"/>
        <v>1</v>
      </c>
      <c r="AN105">
        <f t="shared" si="195"/>
        <v>1</v>
      </c>
      <c r="AO105">
        <f t="shared" si="195"/>
        <v>1</v>
      </c>
      <c r="AP105">
        <f t="shared" si="195"/>
        <v>1</v>
      </c>
    </row>
    <row r="106" ht="16" spans="4:42">
      <c r="D106" s="25"/>
      <c r="F106" s="8" t="s">
        <v>83</v>
      </c>
      <c r="G106" s="11" t="str">
        <f t="shared" si="147"/>
        <v>ACT_BND</v>
      </c>
      <c r="H106" t="str">
        <f t="shared" si="148"/>
        <v>UP</v>
      </c>
      <c r="J106" s="10">
        <v>2031</v>
      </c>
      <c r="K106" s="10" t="str">
        <f t="shared" si="149"/>
        <v>ELCWOO00</v>
      </c>
      <c r="L106" s="8">
        <f t="shared" ref="L106:R106" si="196">W106/AJ106</f>
        <v>26.6624976756145</v>
      </c>
      <c r="M106" s="8">
        <f t="shared" si="196"/>
        <v>38.1891707238506</v>
      </c>
      <c r="N106" s="8">
        <f t="shared" si="196"/>
        <v>10.4929801707292</v>
      </c>
      <c r="O106" s="8">
        <f t="shared" si="196"/>
        <v>0.857339277074977</v>
      </c>
      <c r="P106" s="8">
        <f t="shared" si="196"/>
        <v>11.9277028180603</v>
      </c>
      <c r="Q106" s="8">
        <f t="shared" si="196"/>
        <v>14.3538365422195</v>
      </c>
      <c r="R106" s="8">
        <f t="shared" si="196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197">AJ98</f>
        <v>0.35</v>
      </c>
      <c r="AK106">
        <f t="shared" si="197"/>
        <v>0.35</v>
      </c>
      <c r="AL106">
        <f t="shared" si="197"/>
        <v>0.35</v>
      </c>
      <c r="AM106">
        <f t="shared" si="197"/>
        <v>0.35</v>
      </c>
      <c r="AN106">
        <f t="shared" si="197"/>
        <v>0.35</v>
      </c>
      <c r="AO106">
        <f t="shared" si="197"/>
        <v>0.35</v>
      </c>
      <c r="AP106">
        <f t="shared" si="197"/>
        <v>0.35</v>
      </c>
    </row>
    <row r="107" ht="16" spans="4:42">
      <c r="D107" s="25"/>
      <c r="F107" s="8" t="s">
        <v>83</v>
      </c>
      <c r="G107" s="11" t="str">
        <f t="shared" si="147"/>
        <v>ACT_BND</v>
      </c>
      <c r="H107" t="str">
        <f t="shared" si="148"/>
        <v>UP</v>
      </c>
      <c r="J107" s="10">
        <v>2032</v>
      </c>
      <c r="K107" s="10" t="str">
        <f t="shared" si="149"/>
        <v>ELCCOH00</v>
      </c>
      <c r="L107" s="8">
        <f t="shared" ref="L107:R107" si="198">W107/AJ107</f>
        <v>0</v>
      </c>
      <c r="M107" s="8">
        <f t="shared" si="198"/>
        <v>0</v>
      </c>
      <c r="N107" s="8">
        <f t="shared" si="198"/>
        <v>6.20296692054111</v>
      </c>
      <c r="O107" s="8">
        <f t="shared" si="198"/>
        <v>0</v>
      </c>
      <c r="P107" s="8">
        <f t="shared" si="198"/>
        <v>0</v>
      </c>
      <c r="Q107" s="8">
        <f t="shared" si="198"/>
        <v>0</v>
      </c>
      <c r="R107" s="8">
        <f t="shared" si="198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199">AJ99</f>
        <v>0.38</v>
      </c>
      <c r="AK107">
        <f t="shared" si="199"/>
        <v>0.38</v>
      </c>
      <c r="AL107">
        <f t="shared" si="199"/>
        <v>0.38</v>
      </c>
      <c r="AM107">
        <f t="shared" si="199"/>
        <v>0.38</v>
      </c>
      <c r="AN107">
        <f t="shared" si="199"/>
        <v>0.38</v>
      </c>
      <c r="AO107">
        <f t="shared" si="199"/>
        <v>0.38</v>
      </c>
      <c r="AP107">
        <f t="shared" si="199"/>
        <v>0.38</v>
      </c>
    </row>
    <row r="108" ht="16" spans="4:42">
      <c r="D108" s="25"/>
      <c r="F108" s="8" t="s">
        <v>83</v>
      </c>
      <c r="G108" s="11" t="str">
        <f t="shared" si="147"/>
        <v>ACT_BND</v>
      </c>
      <c r="H108" t="str">
        <f t="shared" si="148"/>
        <v>UP</v>
      </c>
      <c r="J108" s="10">
        <v>2032</v>
      </c>
      <c r="K108" s="10" t="str">
        <f t="shared" si="149"/>
        <v>ELCGAS00</v>
      </c>
      <c r="L108" s="8">
        <f t="shared" ref="L108:R108" si="200">W108/AJ108</f>
        <v>480.299780687545</v>
      </c>
      <c r="M108" s="8">
        <f t="shared" si="200"/>
        <v>53.162575074694</v>
      </c>
      <c r="N108" s="8">
        <f t="shared" si="200"/>
        <v>91.2512371310295</v>
      </c>
      <c r="O108" s="8">
        <f t="shared" si="200"/>
        <v>0.126643447804176</v>
      </c>
      <c r="P108" s="8">
        <f t="shared" si="200"/>
        <v>145.794638588913</v>
      </c>
      <c r="Q108" s="8">
        <f t="shared" si="200"/>
        <v>1.49533061555076</v>
      </c>
      <c r="R108" s="8">
        <f t="shared" si="20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1">AJ100</f>
        <v>0.4</v>
      </c>
      <c r="AK108">
        <f t="shared" si="201"/>
        <v>0.4</v>
      </c>
      <c r="AL108">
        <f t="shared" si="201"/>
        <v>0.4</v>
      </c>
      <c r="AM108">
        <f t="shared" si="201"/>
        <v>0.4</v>
      </c>
      <c r="AN108">
        <f t="shared" si="201"/>
        <v>0.4</v>
      </c>
      <c r="AO108">
        <f t="shared" si="201"/>
        <v>0.4</v>
      </c>
      <c r="AP108">
        <f t="shared" si="201"/>
        <v>0.4</v>
      </c>
    </row>
    <row r="109" ht="16" spans="4:42">
      <c r="D109" s="25"/>
      <c r="F109" s="8" t="s">
        <v>83</v>
      </c>
      <c r="G109" s="11" t="str">
        <f t="shared" si="147"/>
        <v>ACT_BND</v>
      </c>
      <c r="H109" t="str">
        <f t="shared" si="148"/>
        <v>UP</v>
      </c>
      <c r="J109" s="10">
        <v>2032</v>
      </c>
      <c r="K109" s="10" t="str">
        <f t="shared" si="149"/>
        <v>ELCHFO00</v>
      </c>
      <c r="L109" s="8">
        <f t="shared" ref="L109:R109" si="202">W109/AJ109</f>
        <v>0</v>
      </c>
      <c r="M109" s="8">
        <f t="shared" si="202"/>
        <v>2.08147254307655</v>
      </c>
      <c r="N109" s="8">
        <f t="shared" si="202"/>
        <v>0</v>
      </c>
      <c r="O109" s="8">
        <f t="shared" si="202"/>
        <v>0.013071307775378</v>
      </c>
      <c r="P109" s="8">
        <f t="shared" si="202"/>
        <v>0.163931616990641</v>
      </c>
      <c r="Q109" s="8">
        <f t="shared" si="202"/>
        <v>3.87445884329253</v>
      </c>
      <c r="R109" s="8">
        <f t="shared" si="202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3">AJ101</f>
        <v>0.3</v>
      </c>
      <c r="AK109">
        <f t="shared" si="203"/>
        <v>0.3</v>
      </c>
      <c r="AL109">
        <f t="shared" si="203"/>
        <v>0.3</v>
      </c>
      <c r="AM109">
        <f t="shared" si="203"/>
        <v>0.3</v>
      </c>
      <c r="AN109">
        <f t="shared" si="203"/>
        <v>0.3</v>
      </c>
      <c r="AO109">
        <f t="shared" si="203"/>
        <v>0.3</v>
      </c>
      <c r="AP109">
        <f t="shared" si="203"/>
        <v>0.3</v>
      </c>
    </row>
    <row r="110" ht="16" spans="4:42">
      <c r="D110" s="25"/>
      <c r="F110" s="8" t="s">
        <v>83</v>
      </c>
      <c r="G110" s="11" t="str">
        <f t="shared" si="147"/>
        <v>ACT_BND</v>
      </c>
      <c r="H110" t="str">
        <f t="shared" si="148"/>
        <v>UP</v>
      </c>
      <c r="J110" s="10">
        <v>2032</v>
      </c>
      <c r="K110" s="10" t="str">
        <f t="shared" si="149"/>
        <v>ELCHYD00</v>
      </c>
      <c r="L110" s="8">
        <f t="shared" ref="L110:R110" si="204">W110/AJ110</f>
        <v>6.1102290901264</v>
      </c>
      <c r="M110" s="8">
        <f t="shared" si="204"/>
        <v>237.25104234486</v>
      </c>
      <c r="N110" s="8">
        <f t="shared" si="204"/>
        <v>15.3870211863463</v>
      </c>
      <c r="O110" s="8">
        <f t="shared" si="204"/>
        <v>155.461512955253</v>
      </c>
      <c r="P110" s="8">
        <f t="shared" si="204"/>
        <v>146.642813750158</v>
      </c>
      <c r="Q110" s="8">
        <f t="shared" si="204"/>
        <v>929.676195141502</v>
      </c>
      <c r="R110" s="8">
        <f t="shared" si="204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05">AJ102</f>
        <v>0.97</v>
      </c>
      <c r="AK110">
        <f t="shared" si="205"/>
        <v>0.97</v>
      </c>
      <c r="AL110">
        <f t="shared" si="205"/>
        <v>0.97</v>
      </c>
      <c r="AM110">
        <f t="shared" si="205"/>
        <v>0.97</v>
      </c>
      <c r="AN110">
        <f t="shared" si="205"/>
        <v>0.97</v>
      </c>
      <c r="AO110">
        <f t="shared" si="205"/>
        <v>0.97</v>
      </c>
      <c r="AP110">
        <f t="shared" si="205"/>
        <v>0.97</v>
      </c>
    </row>
    <row r="111" ht="16" spans="4:42">
      <c r="D111" s="25"/>
      <c r="F111" s="8" t="s">
        <v>83</v>
      </c>
      <c r="G111" s="11" t="str">
        <f t="shared" si="147"/>
        <v>ACT_BND</v>
      </c>
      <c r="H111" t="str">
        <f t="shared" si="148"/>
        <v>UP</v>
      </c>
      <c r="J111" s="10">
        <v>2032</v>
      </c>
      <c r="K111" s="10" t="str">
        <f t="shared" si="149"/>
        <v>ENCAN01_SMR</v>
      </c>
      <c r="L111" s="8">
        <f t="shared" ref="L111:O111" si="206">W111/AJ111</f>
        <v>0</v>
      </c>
      <c r="M111" s="8">
        <f t="shared" si="206"/>
        <v>9.54232171706263</v>
      </c>
      <c r="N111" s="8">
        <f t="shared" si="206"/>
        <v>8.48064511159107</v>
      </c>
      <c r="O111" s="8">
        <f t="shared" si="206"/>
        <v>0.453874522678186</v>
      </c>
      <c r="P111" s="34">
        <v>139.925621671706</v>
      </c>
      <c r="Q111" s="8">
        <f>AB111/AO111</f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07">AJ103</f>
        <v>1</v>
      </c>
      <c r="AK111">
        <f t="shared" si="207"/>
        <v>1</v>
      </c>
      <c r="AL111">
        <f t="shared" si="207"/>
        <v>1</v>
      </c>
      <c r="AM111">
        <f t="shared" si="207"/>
        <v>1</v>
      </c>
      <c r="AN111">
        <f t="shared" si="207"/>
        <v>1</v>
      </c>
      <c r="AO111">
        <f t="shared" si="207"/>
        <v>1</v>
      </c>
      <c r="AP111">
        <f t="shared" si="207"/>
        <v>1</v>
      </c>
    </row>
    <row r="112" ht="16" spans="4:42">
      <c r="D112" s="25"/>
      <c r="F112" s="8" t="s">
        <v>83</v>
      </c>
      <c r="G112" s="11" t="str">
        <f t="shared" si="147"/>
        <v>ACT_BND</v>
      </c>
      <c r="H112" t="str">
        <f t="shared" si="148"/>
        <v>UP</v>
      </c>
      <c r="J112" s="10">
        <v>2032</v>
      </c>
      <c r="K112" s="10" t="str">
        <f t="shared" si="149"/>
        <v>ELCSOL00</v>
      </c>
      <c r="L112" s="8">
        <f t="shared" ref="L112:R112" si="208">W112/AJ112</f>
        <v>40.6348868610511</v>
      </c>
      <c r="M112" s="8">
        <f t="shared" si="208"/>
        <v>12.318806567167</v>
      </c>
      <c r="N112" s="8">
        <f t="shared" si="208"/>
        <v>3.10010812059035</v>
      </c>
      <c r="O112" s="8">
        <f t="shared" si="208"/>
        <v>0.400042431965443</v>
      </c>
      <c r="P112" s="8">
        <f t="shared" si="208"/>
        <v>35.0814335601152</v>
      </c>
      <c r="Q112" s="8">
        <f t="shared" si="208"/>
        <v>1.21512446688265</v>
      </c>
      <c r="R112" s="8">
        <f t="shared" si="208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09">AJ104</f>
        <v>1</v>
      </c>
      <c r="AK112">
        <f t="shared" si="209"/>
        <v>1</v>
      </c>
      <c r="AL112">
        <f t="shared" si="209"/>
        <v>1</v>
      </c>
      <c r="AM112">
        <f t="shared" si="209"/>
        <v>1</v>
      </c>
      <c r="AN112">
        <f t="shared" si="209"/>
        <v>1</v>
      </c>
      <c r="AO112">
        <f t="shared" si="209"/>
        <v>1</v>
      </c>
      <c r="AP112">
        <f t="shared" si="209"/>
        <v>1</v>
      </c>
    </row>
    <row r="113" ht="16" spans="4:42">
      <c r="D113" s="25"/>
      <c r="F113" s="8" t="s">
        <v>83</v>
      </c>
      <c r="G113" s="11" t="str">
        <f t="shared" si="147"/>
        <v>ACT_BND</v>
      </c>
      <c r="H113" t="str">
        <f t="shared" si="148"/>
        <v>UP</v>
      </c>
      <c r="J113" s="10">
        <v>2032</v>
      </c>
      <c r="K113" s="10" t="str">
        <f t="shared" si="149"/>
        <v>ELCWIN00</v>
      </c>
      <c r="L113" s="8">
        <f t="shared" ref="L113:R113" si="210">W113/AJ113</f>
        <v>116.859574766019</v>
      </c>
      <c r="M113" s="8">
        <f t="shared" si="210"/>
        <v>19.1898793915767</v>
      </c>
      <c r="N113" s="8">
        <f t="shared" si="210"/>
        <v>39.0796239020878</v>
      </c>
      <c r="O113" s="8">
        <f t="shared" si="210"/>
        <v>3.97951507919366</v>
      </c>
      <c r="P113" s="8">
        <f t="shared" si="210"/>
        <v>155.718433765299</v>
      </c>
      <c r="Q113" s="8">
        <f t="shared" si="210"/>
        <v>54.8275847012239</v>
      </c>
      <c r="R113" s="8">
        <f t="shared" si="21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1">AJ105</f>
        <v>1</v>
      </c>
      <c r="AK113">
        <f t="shared" si="211"/>
        <v>1</v>
      </c>
      <c r="AL113">
        <f t="shared" si="211"/>
        <v>1</v>
      </c>
      <c r="AM113">
        <f t="shared" si="211"/>
        <v>1</v>
      </c>
      <c r="AN113">
        <f t="shared" si="211"/>
        <v>1</v>
      </c>
      <c r="AO113">
        <f t="shared" si="211"/>
        <v>1</v>
      </c>
      <c r="AP113">
        <f t="shared" si="211"/>
        <v>1</v>
      </c>
    </row>
    <row r="114" ht="16" spans="4:42">
      <c r="D114" s="25"/>
      <c r="F114" s="8" t="s">
        <v>83</v>
      </c>
      <c r="G114" s="11" t="str">
        <f t="shared" si="147"/>
        <v>ACT_BND</v>
      </c>
      <c r="H114" t="str">
        <f t="shared" si="148"/>
        <v>UP</v>
      </c>
      <c r="J114" s="10">
        <v>2032</v>
      </c>
      <c r="K114" s="10" t="str">
        <f t="shared" si="149"/>
        <v>ELCWOO00</v>
      </c>
      <c r="L114" s="8">
        <f t="shared" ref="L114:R114" si="212">W114/AJ114</f>
        <v>41.060340861874</v>
      </c>
      <c r="M114" s="8">
        <f t="shared" si="212"/>
        <v>33.784378818266</v>
      </c>
      <c r="N114" s="8">
        <f t="shared" si="212"/>
        <v>20.2861740203641</v>
      </c>
      <c r="O114" s="8">
        <f t="shared" si="212"/>
        <v>0.818690128663991</v>
      </c>
      <c r="P114" s="8">
        <f t="shared" si="212"/>
        <v>24.5673734238404</v>
      </c>
      <c r="Q114" s="8">
        <f t="shared" si="212"/>
        <v>17.9069774863725</v>
      </c>
      <c r="R114" s="8">
        <f t="shared" si="212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3">AJ106</f>
        <v>0.35</v>
      </c>
      <c r="AK114">
        <f t="shared" si="213"/>
        <v>0.35</v>
      </c>
      <c r="AL114">
        <f t="shared" si="213"/>
        <v>0.35</v>
      </c>
      <c r="AM114">
        <f t="shared" si="213"/>
        <v>0.35</v>
      </c>
      <c r="AN114">
        <f t="shared" si="213"/>
        <v>0.35</v>
      </c>
      <c r="AO114">
        <f t="shared" si="213"/>
        <v>0.35</v>
      </c>
      <c r="AP114">
        <f t="shared" si="213"/>
        <v>0.35</v>
      </c>
    </row>
    <row r="115" ht="16" spans="4:42">
      <c r="D115" s="25"/>
      <c r="F115" s="8" t="s">
        <v>83</v>
      </c>
      <c r="G115" s="11" t="str">
        <f t="shared" si="147"/>
        <v>ACT_BND</v>
      </c>
      <c r="H115" t="str">
        <f t="shared" si="148"/>
        <v>UP</v>
      </c>
      <c r="J115" s="10">
        <v>2033</v>
      </c>
      <c r="K115" s="10" t="str">
        <f t="shared" si="149"/>
        <v>ELCCOH00</v>
      </c>
      <c r="L115" s="8">
        <f t="shared" ref="L115:R115" si="214">W115/AJ115</f>
        <v>0</v>
      </c>
      <c r="M115" s="8">
        <f t="shared" si="214"/>
        <v>0</v>
      </c>
      <c r="N115" s="8">
        <f t="shared" si="214"/>
        <v>6.20296692054111</v>
      </c>
      <c r="O115" s="8">
        <f t="shared" si="214"/>
        <v>0</v>
      </c>
      <c r="P115" s="8">
        <f t="shared" si="214"/>
        <v>0</v>
      </c>
      <c r="Q115" s="8">
        <f t="shared" si="214"/>
        <v>0</v>
      </c>
      <c r="R115" s="8">
        <f t="shared" si="214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15">AJ107</f>
        <v>0.38</v>
      </c>
      <c r="AK115">
        <f t="shared" si="215"/>
        <v>0.38</v>
      </c>
      <c r="AL115">
        <f t="shared" si="215"/>
        <v>0.38</v>
      </c>
      <c r="AM115">
        <f t="shared" si="215"/>
        <v>0.38</v>
      </c>
      <c r="AN115">
        <f t="shared" si="215"/>
        <v>0.38</v>
      </c>
      <c r="AO115">
        <f t="shared" si="215"/>
        <v>0.38</v>
      </c>
      <c r="AP115">
        <f t="shared" si="215"/>
        <v>0.38</v>
      </c>
    </row>
    <row r="116" ht="16" spans="4:42">
      <c r="D116" s="25"/>
      <c r="F116" s="8" t="s">
        <v>83</v>
      </c>
      <c r="G116" s="11" t="str">
        <f t="shared" si="147"/>
        <v>ACT_BND</v>
      </c>
      <c r="H116" t="str">
        <f t="shared" si="148"/>
        <v>UP</v>
      </c>
      <c r="J116" s="10">
        <v>2033</v>
      </c>
      <c r="K116" s="10" t="str">
        <f t="shared" si="149"/>
        <v>ELCGAS00</v>
      </c>
      <c r="L116" s="8">
        <f t="shared" ref="L116:R116" si="216">W116/AJ116</f>
        <v>389.528086933045</v>
      </c>
      <c r="M116" s="8">
        <f t="shared" si="216"/>
        <v>26.845162236051</v>
      </c>
      <c r="N116" s="8">
        <f t="shared" si="216"/>
        <v>78.8495548776097</v>
      </c>
      <c r="O116" s="8">
        <f t="shared" si="216"/>
        <v>0.138549769258459</v>
      </c>
      <c r="P116" s="8">
        <f t="shared" si="216"/>
        <v>129.922619240461</v>
      </c>
      <c r="Q116" s="8">
        <f t="shared" si="216"/>
        <v>1.43313563534917</v>
      </c>
      <c r="R116" s="8">
        <f t="shared" si="216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17">AJ108</f>
        <v>0.4</v>
      </c>
      <c r="AK116">
        <f t="shared" si="217"/>
        <v>0.4</v>
      </c>
      <c r="AL116">
        <f t="shared" si="217"/>
        <v>0.4</v>
      </c>
      <c r="AM116">
        <f t="shared" si="217"/>
        <v>0.4</v>
      </c>
      <c r="AN116">
        <f t="shared" si="217"/>
        <v>0.4</v>
      </c>
      <c r="AO116">
        <f t="shared" si="217"/>
        <v>0.4</v>
      </c>
      <c r="AP116">
        <f t="shared" si="217"/>
        <v>0.4</v>
      </c>
    </row>
    <row r="117" ht="16" spans="4:42">
      <c r="D117" s="25"/>
      <c r="F117" s="8" t="s">
        <v>83</v>
      </c>
      <c r="G117" s="11" t="str">
        <f t="shared" si="147"/>
        <v>ACT_BND</v>
      </c>
      <c r="H117" t="str">
        <f t="shared" si="148"/>
        <v>UP</v>
      </c>
      <c r="J117" s="10">
        <v>2033</v>
      </c>
      <c r="K117" s="10" t="str">
        <f t="shared" si="149"/>
        <v>ELCHFO00</v>
      </c>
      <c r="L117" s="8">
        <f t="shared" ref="L117:R117" si="218">W117/AJ117</f>
        <v>0</v>
      </c>
      <c r="M117" s="8">
        <f t="shared" si="218"/>
        <v>1.89961647012239</v>
      </c>
      <c r="N117" s="8">
        <f t="shared" si="218"/>
        <v>0</v>
      </c>
      <c r="O117" s="8">
        <f t="shared" si="218"/>
        <v>0.0138782097432205</v>
      </c>
      <c r="P117" s="8">
        <f t="shared" si="218"/>
        <v>0.163931616990641</v>
      </c>
      <c r="Q117" s="8">
        <f t="shared" si="218"/>
        <v>3.87445884329253</v>
      </c>
      <c r="R117" s="8">
        <f t="shared" si="218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19">AJ109</f>
        <v>0.3</v>
      </c>
      <c r="AK117">
        <f t="shared" si="219"/>
        <v>0.3</v>
      </c>
      <c r="AL117">
        <f t="shared" si="219"/>
        <v>0.3</v>
      </c>
      <c r="AM117">
        <f t="shared" si="219"/>
        <v>0.3</v>
      </c>
      <c r="AN117">
        <f t="shared" si="219"/>
        <v>0.3</v>
      </c>
      <c r="AO117">
        <f t="shared" si="219"/>
        <v>0.3</v>
      </c>
      <c r="AP117">
        <f t="shared" si="219"/>
        <v>0.3</v>
      </c>
    </row>
    <row r="118" ht="16" spans="4:42">
      <c r="D118" s="25"/>
      <c r="F118" s="8" t="s">
        <v>83</v>
      </c>
      <c r="G118" s="11" t="str">
        <f t="shared" si="147"/>
        <v>ACT_BND</v>
      </c>
      <c r="H118" t="str">
        <f t="shared" si="148"/>
        <v>UP</v>
      </c>
      <c r="J118" s="10">
        <v>2033</v>
      </c>
      <c r="K118" s="10" t="str">
        <f t="shared" si="149"/>
        <v>ELCHYD00</v>
      </c>
      <c r="L118" s="8">
        <f t="shared" ref="L118:R118" si="220">W118/AJ118</f>
        <v>6.06546396576934</v>
      </c>
      <c r="M118" s="8">
        <f t="shared" si="220"/>
        <v>237.130793069627</v>
      </c>
      <c r="N118" s="8">
        <f t="shared" si="220"/>
        <v>15.0065896625177</v>
      </c>
      <c r="O118" s="8">
        <f t="shared" si="220"/>
        <v>159.15593288207</v>
      </c>
      <c r="P118" s="8">
        <f t="shared" si="220"/>
        <v>149.082213674453</v>
      </c>
      <c r="Q118" s="8">
        <f t="shared" si="220"/>
        <v>938.146193953968</v>
      </c>
      <c r="R118" s="8">
        <f t="shared" si="22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1">AJ110</f>
        <v>0.97</v>
      </c>
      <c r="AK118">
        <f t="shared" si="221"/>
        <v>0.97</v>
      </c>
      <c r="AL118">
        <f t="shared" si="221"/>
        <v>0.97</v>
      </c>
      <c r="AM118">
        <f t="shared" si="221"/>
        <v>0.97</v>
      </c>
      <c r="AN118">
        <f t="shared" si="221"/>
        <v>0.97</v>
      </c>
      <c r="AO118">
        <f t="shared" si="221"/>
        <v>0.97</v>
      </c>
      <c r="AP118">
        <f t="shared" si="221"/>
        <v>0.97</v>
      </c>
    </row>
    <row r="119" ht="16" spans="4:42">
      <c r="D119" s="25"/>
      <c r="F119" s="8" t="s">
        <v>83</v>
      </c>
      <c r="G119" s="11" t="str">
        <f t="shared" si="147"/>
        <v>ACT_BND</v>
      </c>
      <c r="H119" t="str">
        <f t="shared" si="148"/>
        <v>UP</v>
      </c>
      <c r="J119" s="10">
        <v>2033</v>
      </c>
      <c r="K119" s="10" t="str">
        <f t="shared" si="149"/>
        <v>ENCAN01_SMR</v>
      </c>
      <c r="L119" s="8">
        <f t="shared" ref="L119:O119" si="222">W119/AJ119</f>
        <v>0</v>
      </c>
      <c r="M119" s="8">
        <f t="shared" si="222"/>
        <v>14.0746205615551</v>
      </c>
      <c r="N119" s="8">
        <f t="shared" si="222"/>
        <v>12.4169501763859</v>
      </c>
      <c r="O119" s="8">
        <f t="shared" si="222"/>
        <v>0.707004980201584</v>
      </c>
      <c r="P119" s="34">
        <v>168.720880023038</v>
      </c>
      <c r="Q119" s="8">
        <f>AB119/AO119</f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3">AJ111</f>
        <v>1</v>
      </c>
      <c r="AK119">
        <f t="shared" si="223"/>
        <v>1</v>
      </c>
      <c r="AL119">
        <f t="shared" si="223"/>
        <v>1</v>
      </c>
      <c r="AM119">
        <f t="shared" si="223"/>
        <v>1</v>
      </c>
      <c r="AN119">
        <f t="shared" si="223"/>
        <v>1</v>
      </c>
      <c r="AO119">
        <f t="shared" si="223"/>
        <v>1</v>
      </c>
      <c r="AP119">
        <f t="shared" si="223"/>
        <v>1</v>
      </c>
    </row>
    <row r="120" ht="16" spans="4:42">
      <c r="D120" s="25"/>
      <c r="F120" s="8" t="s">
        <v>83</v>
      </c>
      <c r="G120" s="11" t="str">
        <f t="shared" si="147"/>
        <v>ACT_BND</v>
      </c>
      <c r="H120" t="str">
        <f t="shared" si="148"/>
        <v>UP</v>
      </c>
      <c r="J120" s="10">
        <v>2033</v>
      </c>
      <c r="K120" s="10" t="str">
        <f t="shared" si="149"/>
        <v>ELCSOL00</v>
      </c>
      <c r="L120" s="8">
        <f t="shared" ref="L120:R120" si="224">W120/AJ120</f>
        <v>53.3100558675306</v>
      </c>
      <c r="M120" s="8">
        <f t="shared" si="224"/>
        <v>15.76917495518</v>
      </c>
      <c r="N120" s="8">
        <f t="shared" si="224"/>
        <v>4.04781097552196</v>
      </c>
      <c r="O120" s="8">
        <f t="shared" si="224"/>
        <v>0.474880234341253</v>
      </c>
      <c r="P120" s="8">
        <f t="shared" si="224"/>
        <v>36.9085770338373</v>
      </c>
      <c r="Q120" s="8">
        <f t="shared" si="224"/>
        <v>1.55975881677466</v>
      </c>
      <c r="R120" s="8">
        <f t="shared" si="224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25">AJ112</f>
        <v>1</v>
      </c>
      <c r="AK120">
        <f t="shared" si="225"/>
        <v>1</v>
      </c>
      <c r="AL120">
        <f t="shared" si="225"/>
        <v>1</v>
      </c>
      <c r="AM120">
        <f t="shared" si="225"/>
        <v>1</v>
      </c>
      <c r="AN120">
        <f t="shared" si="225"/>
        <v>1</v>
      </c>
      <c r="AO120">
        <f t="shared" si="225"/>
        <v>1</v>
      </c>
      <c r="AP120">
        <f t="shared" si="225"/>
        <v>1</v>
      </c>
    </row>
    <row r="121" ht="16" spans="4:42">
      <c r="D121" s="25"/>
      <c r="F121" s="8" t="s">
        <v>83</v>
      </c>
      <c r="G121" s="11" t="str">
        <f t="shared" si="147"/>
        <v>ACT_BND</v>
      </c>
      <c r="H121" t="str">
        <f t="shared" si="148"/>
        <v>UP</v>
      </c>
      <c r="J121" s="10">
        <v>2033</v>
      </c>
      <c r="K121" s="10" t="str">
        <f t="shared" si="149"/>
        <v>ELCWIN00</v>
      </c>
      <c r="L121" s="8">
        <f t="shared" ref="L121:R121" si="226">W121/AJ121</f>
        <v>139.055545932325</v>
      </c>
      <c r="M121" s="8">
        <f t="shared" si="226"/>
        <v>22.7114987038877</v>
      </c>
      <c r="N121" s="8">
        <f t="shared" si="226"/>
        <v>41.2704267458603</v>
      </c>
      <c r="O121" s="8">
        <f t="shared" si="226"/>
        <v>4.01667804535637</v>
      </c>
      <c r="P121" s="8">
        <f t="shared" si="226"/>
        <v>183.118116594672</v>
      </c>
      <c r="Q121" s="8">
        <f t="shared" si="226"/>
        <v>55.2803249460043</v>
      </c>
      <c r="R121" s="8">
        <f t="shared" si="226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27">AJ113</f>
        <v>1</v>
      </c>
      <c r="AK121">
        <f t="shared" si="227"/>
        <v>1</v>
      </c>
      <c r="AL121">
        <f t="shared" si="227"/>
        <v>1</v>
      </c>
      <c r="AM121">
        <f t="shared" si="227"/>
        <v>1</v>
      </c>
      <c r="AN121">
        <f t="shared" si="227"/>
        <v>1</v>
      </c>
      <c r="AO121">
        <f t="shared" si="227"/>
        <v>1</v>
      </c>
      <c r="AP121">
        <f t="shared" si="227"/>
        <v>1</v>
      </c>
    </row>
    <row r="122" ht="16" spans="4:42">
      <c r="D122" s="25"/>
      <c r="F122" s="8" t="s">
        <v>83</v>
      </c>
      <c r="G122" s="11" t="str">
        <f t="shared" si="147"/>
        <v>ACT_BND</v>
      </c>
      <c r="H122" t="str">
        <f t="shared" si="148"/>
        <v>UP</v>
      </c>
      <c r="J122" s="10">
        <v>2033</v>
      </c>
      <c r="K122" s="10" t="str">
        <f t="shared" si="149"/>
        <v>ELCWOO00</v>
      </c>
      <c r="L122" s="8">
        <f t="shared" ref="L122:R122" si="228">W122/AJ122</f>
        <v>52.6770213308649</v>
      </c>
      <c r="M122" s="8">
        <f t="shared" si="228"/>
        <v>51.3297269215263</v>
      </c>
      <c r="N122" s="8">
        <f t="shared" si="228"/>
        <v>28.9923556824026</v>
      </c>
      <c r="O122" s="8">
        <f t="shared" si="228"/>
        <v>0.808961901676437</v>
      </c>
      <c r="P122" s="8">
        <f t="shared" si="228"/>
        <v>27.800833929857</v>
      </c>
      <c r="Q122" s="8">
        <f t="shared" si="228"/>
        <v>18.1251942507457</v>
      </c>
      <c r="R122" s="8">
        <f t="shared" si="228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29">AJ114</f>
        <v>0.35</v>
      </c>
      <c r="AK122">
        <f t="shared" si="229"/>
        <v>0.35</v>
      </c>
      <c r="AL122">
        <f t="shared" si="229"/>
        <v>0.35</v>
      </c>
      <c r="AM122">
        <f t="shared" si="229"/>
        <v>0.35</v>
      </c>
      <c r="AN122">
        <f t="shared" si="229"/>
        <v>0.35</v>
      </c>
      <c r="AO122">
        <f t="shared" si="229"/>
        <v>0.35</v>
      </c>
      <c r="AP122">
        <f t="shared" si="229"/>
        <v>0.35</v>
      </c>
    </row>
    <row r="123" ht="16" spans="4:42">
      <c r="D123" s="25"/>
      <c r="F123" s="8" t="s">
        <v>83</v>
      </c>
      <c r="G123" s="11" t="str">
        <f t="shared" si="147"/>
        <v>ACT_BND</v>
      </c>
      <c r="H123" t="str">
        <f t="shared" si="148"/>
        <v>UP</v>
      </c>
      <c r="J123" s="10">
        <v>2034</v>
      </c>
      <c r="K123" s="10" t="str">
        <f t="shared" si="149"/>
        <v>ELCCOH00</v>
      </c>
      <c r="L123" s="8">
        <f t="shared" ref="L123:R123" si="230">W123/AJ123</f>
        <v>0</v>
      </c>
      <c r="M123" s="8">
        <f t="shared" si="230"/>
        <v>0</v>
      </c>
      <c r="N123" s="8">
        <f t="shared" si="230"/>
        <v>6.20296692054111</v>
      </c>
      <c r="O123" s="8">
        <f t="shared" si="230"/>
        <v>0</v>
      </c>
      <c r="P123" s="8">
        <f t="shared" si="230"/>
        <v>0</v>
      </c>
      <c r="Q123" s="8">
        <f t="shared" si="230"/>
        <v>0</v>
      </c>
      <c r="R123" s="8">
        <f t="shared" si="23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1">AJ115</f>
        <v>0.38</v>
      </c>
      <c r="AK123">
        <f t="shared" si="231"/>
        <v>0.38</v>
      </c>
      <c r="AL123">
        <f t="shared" si="231"/>
        <v>0.38</v>
      </c>
      <c r="AM123">
        <f t="shared" si="231"/>
        <v>0.38</v>
      </c>
      <c r="AN123">
        <f t="shared" si="231"/>
        <v>0.38</v>
      </c>
      <c r="AO123">
        <f t="shared" si="231"/>
        <v>0.38</v>
      </c>
      <c r="AP123">
        <f t="shared" si="231"/>
        <v>0.38</v>
      </c>
    </row>
    <row r="124" ht="16" spans="4:42">
      <c r="D124" s="25"/>
      <c r="F124" s="8" t="s">
        <v>83</v>
      </c>
      <c r="G124" s="11" t="str">
        <f t="shared" si="147"/>
        <v>ACT_BND</v>
      </c>
      <c r="H124" t="str">
        <f t="shared" si="148"/>
        <v>UP</v>
      </c>
      <c r="J124" s="10">
        <v>2034</v>
      </c>
      <c r="K124" s="10" t="str">
        <f t="shared" si="149"/>
        <v>ELCGAS00</v>
      </c>
      <c r="L124" s="8">
        <f t="shared" ref="L124:R124" si="232">W124/AJ124</f>
        <v>299.216418646507</v>
      </c>
      <c r="M124" s="8">
        <f t="shared" si="232"/>
        <v>22.0400204737221</v>
      </c>
      <c r="N124" s="8">
        <f t="shared" si="232"/>
        <v>67.5542171436285</v>
      </c>
      <c r="O124" s="8">
        <f t="shared" si="232"/>
        <v>0.152263337652988</v>
      </c>
      <c r="P124" s="8">
        <f t="shared" si="232"/>
        <v>102.962255219583</v>
      </c>
      <c r="Q124" s="8">
        <f t="shared" si="232"/>
        <v>1.16775092602592</v>
      </c>
      <c r="R124" s="8">
        <f t="shared" si="232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3">AJ116</f>
        <v>0.4</v>
      </c>
      <c r="AK124">
        <f t="shared" si="233"/>
        <v>0.4</v>
      </c>
      <c r="AL124">
        <f t="shared" si="233"/>
        <v>0.4</v>
      </c>
      <c r="AM124">
        <f t="shared" si="233"/>
        <v>0.4</v>
      </c>
      <c r="AN124">
        <f t="shared" si="233"/>
        <v>0.4</v>
      </c>
      <c r="AO124">
        <f t="shared" si="233"/>
        <v>0.4</v>
      </c>
      <c r="AP124">
        <f t="shared" si="233"/>
        <v>0.4</v>
      </c>
    </row>
    <row r="125" ht="16" spans="4:42">
      <c r="D125" s="25"/>
      <c r="F125" s="8" t="s">
        <v>83</v>
      </c>
      <c r="G125" s="11" t="str">
        <f t="shared" si="147"/>
        <v>ACT_BND</v>
      </c>
      <c r="H125" t="str">
        <f t="shared" si="148"/>
        <v>UP</v>
      </c>
      <c r="J125" s="10">
        <v>2034</v>
      </c>
      <c r="K125" s="10" t="str">
        <f t="shared" si="149"/>
        <v>ELCHFO00</v>
      </c>
      <c r="L125" s="8">
        <f t="shared" ref="L125:R125" si="234">W125/AJ125</f>
        <v>0</v>
      </c>
      <c r="M125" s="8">
        <f t="shared" si="234"/>
        <v>1.94536145428366</v>
      </c>
      <c r="N125" s="8">
        <f t="shared" si="234"/>
        <v>0</v>
      </c>
      <c r="O125" s="8">
        <f t="shared" si="234"/>
        <v>0.0150561073434125</v>
      </c>
      <c r="P125" s="8">
        <f t="shared" si="234"/>
        <v>0.163931616990641</v>
      </c>
      <c r="Q125" s="8">
        <f t="shared" si="234"/>
        <v>3.87445884329253</v>
      </c>
      <c r="R125" s="8">
        <f t="shared" si="234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35">AJ117</f>
        <v>0.3</v>
      </c>
      <c r="AK125">
        <f t="shared" si="235"/>
        <v>0.3</v>
      </c>
      <c r="AL125">
        <f t="shared" si="235"/>
        <v>0.3</v>
      </c>
      <c r="AM125">
        <f t="shared" si="235"/>
        <v>0.3</v>
      </c>
      <c r="AN125">
        <f t="shared" si="235"/>
        <v>0.3</v>
      </c>
      <c r="AO125">
        <f t="shared" si="235"/>
        <v>0.3</v>
      </c>
      <c r="AP125">
        <f t="shared" si="235"/>
        <v>0.3</v>
      </c>
    </row>
    <row r="126" ht="16" spans="4:42">
      <c r="D126" s="25"/>
      <c r="F126" s="8" t="s">
        <v>83</v>
      </c>
      <c r="G126" s="11" t="str">
        <f t="shared" si="147"/>
        <v>ACT_BND</v>
      </c>
      <c r="H126" t="str">
        <f t="shared" si="148"/>
        <v>UP</v>
      </c>
      <c r="J126" s="10">
        <v>2034</v>
      </c>
      <c r="K126" s="10" t="str">
        <f t="shared" si="149"/>
        <v>ELCHYD00</v>
      </c>
      <c r="L126" s="8">
        <f t="shared" ref="L126:R126" si="236">W126/AJ126</f>
        <v>5.85102995183066</v>
      </c>
      <c r="M126" s="8">
        <f t="shared" si="236"/>
        <v>236.128977603111</v>
      </c>
      <c r="N126" s="8">
        <f t="shared" si="236"/>
        <v>14.4857008936193</v>
      </c>
      <c r="O126" s="8">
        <f t="shared" si="236"/>
        <v>162.804378660017</v>
      </c>
      <c r="P126" s="8">
        <f t="shared" si="236"/>
        <v>151.386540008758</v>
      </c>
      <c r="Q126" s="8">
        <f t="shared" si="236"/>
        <v>946.527653210424</v>
      </c>
      <c r="R126" s="8">
        <f t="shared" si="236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37">AJ118</f>
        <v>0.97</v>
      </c>
      <c r="AK126">
        <f t="shared" si="237"/>
        <v>0.97</v>
      </c>
      <c r="AL126">
        <f t="shared" si="237"/>
        <v>0.97</v>
      </c>
      <c r="AM126">
        <f t="shared" si="237"/>
        <v>0.97</v>
      </c>
      <c r="AN126">
        <f t="shared" si="237"/>
        <v>0.97</v>
      </c>
      <c r="AO126">
        <f t="shared" si="237"/>
        <v>0.97</v>
      </c>
      <c r="AP126">
        <f t="shared" si="237"/>
        <v>0.97</v>
      </c>
    </row>
    <row r="127" ht="16" spans="4:42">
      <c r="D127" s="25"/>
      <c r="F127" s="8" t="s">
        <v>83</v>
      </c>
      <c r="G127" s="11" t="str">
        <f t="shared" si="147"/>
        <v>ACT_BND</v>
      </c>
      <c r="H127" t="str">
        <f t="shared" si="148"/>
        <v>UP</v>
      </c>
      <c r="J127" s="10">
        <v>2034</v>
      </c>
      <c r="K127" s="10" t="str">
        <f t="shared" si="149"/>
        <v>ENCAN01_SMR</v>
      </c>
      <c r="L127" s="8">
        <f t="shared" ref="L127:O127" si="238">W127/AJ127</f>
        <v>0</v>
      </c>
      <c r="M127" s="8">
        <f t="shared" si="238"/>
        <v>18.1290664470842</v>
      </c>
      <c r="N127" s="8">
        <f t="shared" si="238"/>
        <v>16.0358325197984</v>
      </c>
      <c r="O127" s="8">
        <f t="shared" si="238"/>
        <v>0.986186574514039</v>
      </c>
      <c r="P127" s="34">
        <v>214.988555688985</v>
      </c>
      <c r="Q127" s="8">
        <f>AB127/AO127</f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39">AJ119</f>
        <v>1</v>
      </c>
      <c r="AK127">
        <f t="shared" si="239"/>
        <v>1</v>
      </c>
      <c r="AL127">
        <f t="shared" si="239"/>
        <v>1</v>
      </c>
      <c r="AM127">
        <f t="shared" si="239"/>
        <v>1</v>
      </c>
      <c r="AN127">
        <f t="shared" si="239"/>
        <v>1</v>
      </c>
      <c r="AO127">
        <f t="shared" si="239"/>
        <v>1</v>
      </c>
      <c r="AP127">
        <f t="shared" si="239"/>
        <v>1</v>
      </c>
    </row>
    <row r="128" ht="16" spans="4:42">
      <c r="D128" s="25"/>
      <c r="F128" s="8" t="s">
        <v>83</v>
      </c>
      <c r="G128" s="11" t="str">
        <f t="shared" si="147"/>
        <v>ACT_BND</v>
      </c>
      <c r="H128" t="str">
        <f t="shared" si="148"/>
        <v>UP</v>
      </c>
      <c r="J128" s="10">
        <v>2034</v>
      </c>
      <c r="K128" s="10" t="str">
        <f t="shared" si="149"/>
        <v>ELCSOL00</v>
      </c>
      <c r="L128" s="8">
        <f t="shared" ref="L128:R128" si="240">W128/AJ128</f>
        <v>65.6338933045356</v>
      </c>
      <c r="M128" s="8">
        <f t="shared" si="240"/>
        <v>19.2195431468143</v>
      </c>
      <c r="N128" s="8">
        <f t="shared" si="240"/>
        <v>4.99443093232541</v>
      </c>
      <c r="O128" s="8">
        <f t="shared" si="240"/>
        <v>0.549718036717063</v>
      </c>
      <c r="P128" s="8">
        <f t="shared" si="240"/>
        <v>38.6850181065515</v>
      </c>
      <c r="Q128" s="8">
        <f t="shared" si="240"/>
        <v>1.90439316702664</v>
      </c>
      <c r="R128" s="8">
        <f t="shared" si="2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1">AJ120</f>
        <v>1</v>
      </c>
      <c r="AK128">
        <f t="shared" si="241"/>
        <v>1</v>
      </c>
      <c r="AL128">
        <f t="shared" si="241"/>
        <v>1</v>
      </c>
      <c r="AM128">
        <f t="shared" si="241"/>
        <v>1</v>
      </c>
      <c r="AN128">
        <f t="shared" si="241"/>
        <v>1</v>
      </c>
      <c r="AO128">
        <f t="shared" si="241"/>
        <v>1</v>
      </c>
      <c r="AP128">
        <f t="shared" si="241"/>
        <v>1</v>
      </c>
    </row>
    <row r="129" ht="16" spans="4:42">
      <c r="D129" s="25"/>
      <c r="F129" s="8" t="s">
        <v>83</v>
      </c>
      <c r="G129" s="11" t="str">
        <f t="shared" si="147"/>
        <v>ACT_BND</v>
      </c>
      <c r="H129" t="str">
        <f t="shared" si="148"/>
        <v>UP</v>
      </c>
      <c r="J129" s="10">
        <v>2034</v>
      </c>
      <c r="K129" s="10" t="str">
        <f t="shared" si="149"/>
        <v>ELCWIN00</v>
      </c>
      <c r="L129" s="8">
        <f t="shared" ref="L129:R129" si="242">W129/AJ129</f>
        <v>160.265581677466</v>
      </c>
      <c r="M129" s="8">
        <f t="shared" si="242"/>
        <v>26.2310596016199</v>
      </c>
      <c r="N129" s="8">
        <f t="shared" si="242"/>
        <v>44.6091558315335</v>
      </c>
      <c r="O129" s="8">
        <f t="shared" si="242"/>
        <v>4.05289213462923</v>
      </c>
      <c r="P129" s="8">
        <f t="shared" si="242"/>
        <v>210.506922858171</v>
      </c>
      <c r="Q129" s="8">
        <f t="shared" si="242"/>
        <v>55.7330652267819</v>
      </c>
      <c r="R129" s="8">
        <f t="shared" si="242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3">AJ121</f>
        <v>1</v>
      </c>
      <c r="AK129">
        <f t="shared" si="243"/>
        <v>1</v>
      </c>
      <c r="AL129">
        <f t="shared" si="243"/>
        <v>1</v>
      </c>
      <c r="AM129">
        <f t="shared" si="243"/>
        <v>1</v>
      </c>
      <c r="AN129">
        <f t="shared" si="243"/>
        <v>1</v>
      </c>
      <c r="AO129">
        <f t="shared" si="243"/>
        <v>1</v>
      </c>
      <c r="AP129">
        <f t="shared" si="243"/>
        <v>1</v>
      </c>
    </row>
    <row r="130" ht="16" spans="4:42">
      <c r="D130" s="25"/>
      <c r="F130" s="8" t="s">
        <v>83</v>
      </c>
      <c r="G130" s="11" t="str">
        <f t="shared" si="147"/>
        <v>ACT_BND</v>
      </c>
      <c r="H130" t="str">
        <f t="shared" si="148"/>
        <v>UP</v>
      </c>
      <c r="J130" s="10">
        <v>2034</v>
      </c>
      <c r="K130" s="10" t="str">
        <f t="shared" si="149"/>
        <v>ELCWOO00</v>
      </c>
      <c r="L130" s="8">
        <f t="shared" ref="L130:R130" si="244">W130/AJ130</f>
        <v>64.047145130104</v>
      </c>
      <c r="M130" s="8">
        <f t="shared" si="244"/>
        <v>57.3563338776097</v>
      </c>
      <c r="N130" s="8">
        <f t="shared" si="244"/>
        <v>37.535728540574</v>
      </c>
      <c r="O130" s="8">
        <f t="shared" si="244"/>
        <v>0.775639665226783</v>
      </c>
      <c r="P130" s="8">
        <f t="shared" si="244"/>
        <v>26.064567962563</v>
      </c>
      <c r="Q130" s="8">
        <f t="shared" si="244"/>
        <v>17.3859292810861</v>
      </c>
      <c r="R130" s="8">
        <f t="shared" si="244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45">AJ122</f>
        <v>0.35</v>
      </c>
      <c r="AK130">
        <f t="shared" si="245"/>
        <v>0.35</v>
      </c>
      <c r="AL130">
        <f t="shared" si="245"/>
        <v>0.35</v>
      </c>
      <c r="AM130">
        <f t="shared" si="245"/>
        <v>0.35</v>
      </c>
      <c r="AN130">
        <f t="shared" si="245"/>
        <v>0.35</v>
      </c>
      <c r="AO130">
        <f t="shared" si="245"/>
        <v>0.35</v>
      </c>
      <c r="AP130">
        <f t="shared" si="245"/>
        <v>0.35</v>
      </c>
    </row>
    <row r="131" ht="16" spans="4:42">
      <c r="D131" s="25"/>
      <c r="F131" s="8" t="s">
        <v>83</v>
      </c>
      <c r="G131" s="11" t="str">
        <f t="shared" si="147"/>
        <v>ACT_BND</v>
      </c>
      <c r="H131" t="str">
        <f t="shared" si="148"/>
        <v>UP</v>
      </c>
      <c r="J131" s="10">
        <v>2035</v>
      </c>
      <c r="K131" s="10" t="str">
        <f t="shared" si="149"/>
        <v>ELCCOH00</v>
      </c>
      <c r="L131" s="8">
        <f t="shared" ref="L131:R131" si="246">W131/AJ131</f>
        <v>0</v>
      </c>
      <c r="M131" s="8">
        <f t="shared" si="246"/>
        <v>0</v>
      </c>
      <c r="N131" s="8">
        <f t="shared" si="246"/>
        <v>0</v>
      </c>
      <c r="O131" s="8">
        <f t="shared" si="246"/>
        <v>0</v>
      </c>
      <c r="P131" s="8">
        <f t="shared" si="246"/>
        <v>0</v>
      </c>
      <c r="Q131" s="8">
        <f t="shared" si="246"/>
        <v>0</v>
      </c>
      <c r="R131" s="8">
        <f t="shared" si="246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47">AJ123</f>
        <v>0.38</v>
      </c>
      <c r="AK131">
        <f t="shared" si="247"/>
        <v>0.38</v>
      </c>
      <c r="AL131">
        <f t="shared" si="247"/>
        <v>0.38</v>
      </c>
      <c r="AM131">
        <f t="shared" si="247"/>
        <v>0.38</v>
      </c>
      <c r="AN131">
        <f t="shared" si="247"/>
        <v>0.38</v>
      </c>
      <c r="AO131">
        <f t="shared" si="247"/>
        <v>0.38</v>
      </c>
      <c r="AP131">
        <f t="shared" si="247"/>
        <v>0.38</v>
      </c>
    </row>
    <row r="132" ht="16" spans="4:42">
      <c r="D132" s="25"/>
      <c r="F132" s="8" t="s">
        <v>83</v>
      </c>
      <c r="G132" s="11" t="str">
        <f t="shared" si="147"/>
        <v>ACT_BND</v>
      </c>
      <c r="H132" t="str">
        <f t="shared" si="148"/>
        <v>UP</v>
      </c>
      <c r="J132" s="10">
        <v>2035</v>
      </c>
      <c r="K132" s="10" t="str">
        <f t="shared" si="149"/>
        <v>ELCGAS00</v>
      </c>
      <c r="L132" s="8">
        <f t="shared" ref="L132:R132" si="248">W132/AJ132</f>
        <v>244.636456173506</v>
      </c>
      <c r="M132" s="8">
        <f t="shared" si="248"/>
        <v>8.49611338141647</v>
      </c>
      <c r="N132" s="8">
        <f t="shared" si="248"/>
        <v>38.6390315694745</v>
      </c>
      <c r="O132" s="8">
        <f t="shared" si="248"/>
        <v>0.00091412800575954</v>
      </c>
      <c r="P132" s="8">
        <f t="shared" si="248"/>
        <v>84.734356074514</v>
      </c>
      <c r="Q132" s="8">
        <f t="shared" si="248"/>
        <v>0</v>
      </c>
      <c r="R132" s="8">
        <f t="shared" si="248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49">AJ124</f>
        <v>0.4</v>
      </c>
      <c r="AK132">
        <f t="shared" si="249"/>
        <v>0.4</v>
      </c>
      <c r="AL132">
        <f t="shared" si="249"/>
        <v>0.4</v>
      </c>
      <c r="AM132">
        <f t="shared" si="249"/>
        <v>0.4</v>
      </c>
      <c r="AN132">
        <f t="shared" si="249"/>
        <v>0.4</v>
      </c>
      <c r="AO132">
        <f t="shared" si="249"/>
        <v>0.4</v>
      </c>
      <c r="AP132">
        <f t="shared" si="249"/>
        <v>0.4</v>
      </c>
    </row>
    <row r="133" ht="16" spans="4:42">
      <c r="D133" s="25"/>
      <c r="F133" s="8" t="s">
        <v>83</v>
      </c>
      <c r="G133" s="11" t="str">
        <f t="shared" si="147"/>
        <v>ACT_BND</v>
      </c>
      <c r="H133" t="str">
        <f t="shared" si="148"/>
        <v>UP</v>
      </c>
      <c r="J133" s="10">
        <v>2035</v>
      </c>
      <c r="K133" s="10" t="str">
        <f t="shared" si="149"/>
        <v>ELCHFO00</v>
      </c>
      <c r="L133" s="8">
        <f t="shared" ref="L133:R133" si="250">W133/AJ133</f>
        <v>0</v>
      </c>
      <c r="M133" s="8">
        <f t="shared" si="250"/>
        <v>1.08567160139189</v>
      </c>
      <c r="N133" s="8">
        <f t="shared" si="250"/>
        <v>0</v>
      </c>
      <c r="O133" s="8">
        <f t="shared" si="250"/>
        <v>0</v>
      </c>
      <c r="P133" s="8">
        <f t="shared" si="250"/>
        <v>0.163931616990641</v>
      </c>
      <c r="Q133" s="8">
        <f t="shared" si="250"/>
        <v>3.86635521838253</v>
      </c>
      <c r="R133" s="8">
        <f t="shared" si="25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1">AJ125</f>
        <v>0.3</v>
      </c>
      <c r="AK133">
        <f t="shared" si="251"/>
        <v>0.3</v>
      </c>
      <c r="AL133">
        <f t="shared" si="251"/>
        <v>0.3</v>
      </c>
      <c r="AM133">
        <f t="shared" si="251"/>
        <v>0.3</v>
      </c>
      <c r="AN133">
        <f t="shared" si="251"/>
        <v>0.3</v>
      </c>
      <c r="AO133">
        <f t="shared" si="251"/>
        <v>0.3</v>
      </c>
      <c r="AP133">
        <f t="shared" si="251"/>
        <v>0.3</v>
      </c>
    </row>
    <row r="134" ht="16" spans="4:42">
      <c r="D134" s="25"/>
      <c r="F134" s="8" t="s">
        <v>83</v>
      </c>
      <c r="G134" s="11" t="str">
        <f t="shared" si="147"/>
        <v>ACT_BND</v>
      </c>
      <c r="H134" t="str">
        <f t="shared" si="148"/>
        <v>UP</v>
      </c>
      <c r="J134" s="10">
        <v>2035</v>
      </c>
      <c r="K134" s="10" t="str">
        <f t="shared" si="149"/>
        <v>ELCHYD00</v>
      </c>
      <c r="L134" s="8">
        <f t="shared" ref="L134:R134" si="252">W134/AJ134</f>
        <v>5.30390169446238</v>
      </c>
      <c r="M134" s="8">
        <f t="shared" si="252"/>
        <v>232.13738467636</v>
      </c>
      <c r="N134" s="8">
        <f t="shared" si="252"/>
        <v>14.7062411473062</v>
      </c>
      <c r="O134" s="8">
        <f t="shared" si="252"/>
        <v>180.592258578076</v>
      </c>
      <c r="P134" s="8">
        <f t="shared" si="252"/>
        <v>154.263321457995</v>
      </c>
      <c r="Q134" s="8">
        <f t="shared" si="252"/>
        <v>963.390831867471</v>
      </c>
      <c r="R134" s="8">
        <f t="shared" si="252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3">AJ126</f>
        <v>0.97</v>
      </c>
      <c r="AK134">
        <f t="shared" si="253"/>
        <v>0.97</v>
      </c>
      <c r="AL134">
        <f t="shared" si="253"/>
        <v>0.97</v>
      </c>
      <c r="AM134">
        <f t="shared" si="253"/>
        <v>0.97</v>
      </c>
      <c r="AN134">
        <f t="shared" si="253"/>
        <v>0.97</v>
      </c>
      <c r="AO134">
        <f t="shared" si="253"/>
        <v>0.97</v>
      </c>
      <c r="AP134">
        <f t="shared" si="253"/>
        <v>0.97</v>
      </c>
    </row>
    <row r="135" ht="16" spans="4:42">
      <c r="D135" s="25"/>
      <c r="F135" s="8" t="s">
        <v>83</v>
      </c>
      <c r="G135" s="11" t="str">
        <f t="shared" si="147"/>
        <v>ACT_BND</v>
      </c>
      <c r="H135" t="str">
        <f t="shared" si="148"/>
        <v>UP</v>
      </c>
      <c r="J135" s="10">
        <v>2035</v>
      </c>
      <c r="K135" s="10" t="str">
        <f t="shared" si="149"/>
        <v>ENCAN01_SMR</v>
      </c>
      <c r="L135" s="8">
        <f t="shared" ref="L135:O135" si="254">W135/AJ135</f>
        <v>0</v>
      </c>
      <c r="M135" s="8">
        <f t="shared" si="254"/>
        <v>20.3066372930166</v>
      </c>
      <c r="N135" s="8">
        <f t="shared" si="254"/>
        <v>18.1612113606911</v>
      </c>
      <c r="O135" s="8">
        <f t="shared" si="254"/>
        <v>1.57492710187185</v>
      </c>
      <c r="P135" s="34">
        <v>236.55407512743</v>
      </c>
      <c r="Q135" s="8">
        <f>AB135/AO135</f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55">AJ127</f>
        <v>1</v>
      </c>
      <c r="AK135">
        <f t="shared" si="255"/>
        <v>1</v>
      </c>
      <c r="AL135">
        <f t="shared" si="255"/>
        <v>1</v>
      </c>
      <c r="AM135">
        <f t="shared" si="255"/>
        <v>1</v>
      </c>
      <c r="AN135">
        <f t="shared" si="255"/>
        <v>1</v>
      </c>
      <c r="AO135">
        <f t="shared" si="255"/>
        <v>1</v>
      </c>
      <c r="AP135">
        <f t="shared" si="255"/>
        <v>1</v>
      </c>
    </row>
    <row r="136" ht="16" spans="4:42">
      <c r="D136" s="25"/>
      <c r="F136" s="8" t="s">
        <v>83</v>
      </c>
      <c r="G136" s="11" t="str">
        <f t="shared" si="147"/>
        <v>ACT_BND</v>
      </c>
      <c r="H136" t="str">
        <f t="shared" si="148"/>
        <v>UP</v>
      </c>
      <c r="J136" s="10">
        <v>2035</v>
      </c>
      <c r="K136" s="10" t="str">
        <f t="shared" si="149"/>
        <v>ELCSOL00</v>
      </c>
      <c r="L136" s="8">
        <f t="shared" ref="L136:R136" si="256">W136/AJ136</f>
        <v>77.6332798056156</v>
      </c>
      <c r="M136" s="8">
        <f t="shared" si="256"/>
        <v>22.8765080496256</v>
      </c>
      <c r="N136" s="8">
        <f t="shared" si="256"/>
        <v>5.93890497480202</v>
      </c>
      <c r="O136" s="8">
        <f t="shared" si="256"/>
        <v>0.624555839092872</v>
      </c>
      <c r="P136" s="8">
        <f t="shared" si="256"/>
        <v>40.7126627069834</v>
      </c>
      <c r="Q136" s="8">
        <f t="shared" si="256"/>
        <v>2.24902751727862</v>
      </c>
      <c r="R136" s="8">
        <f t="shared" si="256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57">AJ128</f>
        <v>1</v>
      </c>
      <c r="AK136">
        <f t="shared" si="257"/>
        <v>1</v>
      </c>
      <c r="AL136">
        <f t="shared" si="257"/>
        <v>1</v>
      </c>
      <c r="AM136">
        <f t="shared" si="257"/>
        <v>1</v>
      </c>
      <c r="AN136">
        <f t="shared" si="257"/>
        <v>1</v>
      </c>
      <c r="AO136">
        <f t="shared" si="257"/>
        <v>1</v>
      </c>
      <c r="AP136">
        <f t="shared" si="257"/>
        <v>1</v>
      </c>
    </row>
    <row r="137" ht="16" spans="4:42">
      <c r="D137" s="25"/>
      <c r="F137" s="8" t="s">
        <v>83</v>
      </c>
      <c r="G137" s="11" t="str">
        <f t="shared" si="147"/>
        <v>ACT_BND</v>
      </c>
      <c r="H137" t="str">
        <f t="shared" si="148"/>
        <v>UP</v>
      </c>
      <c r="J137" s="10">
        <v>2035</v>
      </c>
      <c r="K137" s="10" t="str">
        <f t="shared" si="149"/>
        <v>ELCWIN00</v>
      </c>
      <c r="L137" s="8">
        <f t="shared" ref="L137:R137" si="258">W137/AJ137</f>
        <v>177.619886825054</v>
      </c>
      <c r="M137" s="8">
        <f t="shared" si="258"/>
        <v>29.7899233533837</v>
      </c>
      <c r="N137" s="8">
        <f t="shared" si="258"/>
        <v>46.7915418646508</v>
      </c>
      <c r="O137" s="8">
        <f t="shared" si="258"/>
        <v>4.74962903527718</v>
      </c>
      <c r="P137" s="8">
        <f t="shared" si="258"/>
        <v>239.740501043916</v>
      </c>
      <c r="Q137" s="8">
        <f t="shared" si="258"/>
        <v>56.1858055075594</v>
      </c>
      <c r="R137" s="8">
        <f t="shared" si="258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59">AJ129</f>
        <v>1</v>
      </c>
      <c r="AK137">
        <f t="shared" si="259"/>
        <v>1</v>
      </c>
      <c r="AL137">
        <f t="shared" si="259"/>
        <v>1</v>
      </c>
      <c r="AM137">
        <f t="shared" si="259"/>
        <v>1</v>
      </c>
      <c r="AN137">
        <f t="shared" si="259"/>
        <v>1</v>
      </c>
      <c r="AO137">
        <f t="shared" si="259"/>
        <v>1</v>
      </c>
      <c r="AP137">
        <f t="shared" si="259"/>
        <v>1</v>
      </c>
    </row>
    <row r="138" ht="16" spans="4:42">
      <c r="D138" s="25"/>
      <c r="F138" s="8" t="s">
        <v>83</v>
      </c>
      <c r="G138" s="11" t="str">
        <f t="shared" si="147"/>
        <v>ACT_BND</v>
      </c>
      <c r="H138" t="str">
        <f t="shared" si="148"/>
        <v>UP</v>
      </c>
      <c r="J138" s="10">
        <v>2035</v>
      </c>
      <c r="K138" s="10" t="str">
        <f t="shared" si="149"/>
        <v>ELCWOO00</v>
      </c>
      <c r="L138" s="8">
        <f t="shared" ref="L138:R138" si="260">W138/AJ138</f>
        <v>71.3701876889849</v>
      </c>
      <c r="M138" s="8">
        <f t="shared" si="260"/>
        <v>39.6583355833591</v>
      </c>
      <c r="N138" s="8">
        <f t="shared" si="260"/>
        <v>46.869524087216</v>
      </c>
      <c r="O138" s="8">
        <f t="shared" si="260"/>
        <v>0.657081147793891</v>
      </c>
      <c r="P138" s="8">
        <f t="shared" si="260"/>
        <v>24.6412783091638</v>
      </c>
      <c r="Q138" s="8">
        <f t="shared" si="260"/>
        <v>17.1982500154273</v>
      </c>
      <c r="R138" s="8">
        <f t="shared" si="26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1">AJ130</f>
        <v>0.35</v>
      </c>
      <c r="AK138">
        <f t="shared" si="261"/>
        <v>0.35</v>
      </c>
      <c r="AL138">
        <f t="shared" si="261"/>
        <v>0.35</v>
      </c>
      <c r="AM138">
        <f t="shared" si="261"/>
        <v>0.35</v>
      </c>
      <c r="AN138">
        <f t="shared" si="261"/>
        <v>0.35</v>
      </c>
      <c r="AO138">
        <f t="shared" si="261"/>
        <v>0.35</v>
      </c>
      <c r="AP138">
        <f t="shared" si="261"/>
        <v>0.35</v>
      </c>
    </row>
    <row r="139" ht="16" spans="4:42">
      <c r="D139" s="25"/>
      <c r="F139" s="8" t="s">
        <v>83</v>
      </c>
      <c r="G139" s="11" t="str">
        <f t="shared" si="147"/>
        <v>ACT_BND</v>
      </c>
      <c r="H139" t="str">
        <f t="shared" si="148"/>
        <v>UP</v>
      </c>
      <c r="J139" s="10">
        <v>2036</v>
      </c>
      <c r="K139" s="10" t="str">
        <f t="shared" si="149"/>
        <v>ELCCOH00</v>
      </c>
      <c r="L139" s="8">
        <f t="shared" ref="L139:R139" si="262">W139/AJ139</f>
        <v>0</v>
      </c>
      <c r="M139" s="8">
        <f t="shared" si="262"/>
        <v>0</v>
      </c>
      <c r="N139" s="8">
        <f t="shared" si="262"/>
        <v>0</v>
      </c>
      <c r="O139" s="8">
        <f t="shared" si="262"/>
        <v>0</v>
      </c>
      <c r="P139" s="8">
        <f t="shared" si="262"/>
        <v>0</v>
      </c>
      <c r="Q139" s="8">
        <f t="shared" si="262"/>
        <v>0</v>
      </c>
      <c r="R139" s="8">
        <f t="shared" si="262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3">AJ131</f>
        <v>0.38</v>
      </c>
      <c r="AK139">
        <f t="shared" si="263"/>
        <v>0.38</v>
      </c>
      <c r="AL139">
        <f t="shared" si="263"/>
        <v>0.38</v>
      </c>
      <c r="AM139">
        <f t="shared" si="263"/>
        <v>0.38</v>
      </c>
      <c r="AN139">
        <f t="shared" si="263"/>
        <v>0.38</v>
      </c>
      <c r="AO139">
        <f t="shared" si="263"/>
        <v>0.38</v>
      </c>
      <c r="AP139">
        <f t="shared" si="263"/>
        <v>0.38</v>
      </c>
    </row>
    <row r="140" ht="16" spans="4:42">
      <c r="D140" s="25"/>
      <c r="F140" s="8" t="s">
        <v>83</v>
      </c>
      <c r="G140" s="11" t="str">
        <f t="shared" si="147"/>
        <v>ACT_BND</v>
      </c>
      <c r="H140" t="str">
        <f t="shared" si="148"/>
        <v>UP</v>
      </c>
      <c r="J140" s="10">
        <v>2036</v>
      </c>
      <c r="K140" s="10" t="str">
        <f t="shared" si="149"/>
        <v>ELCGAS00</v>
      </c>
      <c r="L140" s="8">
        <f t="shared" ref="L140:R140" si="264">W140/AJ140</f>
        <v>231.060193754499</v>
      </c>
      <c r="M140" s="8">
        <f t="shared" si="264"/>
        <v>8.52954457204823</v>
      </c>
      <c r="N140" s="8">
        <f t="shared" si="264"/>
        <v>35.584340199784</v>
      </c>
      <c r="O140" s="8">
        <f t="shared" si="264"/>
        <v>0.000568538759899208</v>
      </c>
      <c r="P140" s="8">
        <f t="shared" si="264"/>
        <v>88.721076412887</v>
      </c>
      <c r="Q140" s="8">
        <f t="shared" si="264"/>
        <v>0</v>
      </c>
      <c r="R140" s="8">
        <f t="shared" si="264"/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65">AJ132</f>
        <v>0.4</v>
      </c>
      <c r="AK140">
        <f t="shared" si="265"/>
        <v>0.4</v>
      </c>
      <c r="AL140">
        <f t="shared" si="265"/>
        <v>0.4</v>
      </c>
      <c r="AM140">
        <f t="shared" si="265"/>
        <v>0.4</v>
      </c>
      <c r="AN140">
        <f t="shared" si="265"/>
        <v>0.4</v>
      </c>
      <c r="AO140">
        <f t="shared" si="265"/>
        <v>0.4</v>
      </c>
      <c r="AP140">
        <f t="shared" si="265"/>
        <v>0.4</v>
      </c>
    </row>
    <row r="141" ht="16" spans="4:42">
      <c r="D141" s="25"/>
      <c r="F141" s="8" t="s">
        <v>83</v>
      </c>
      <c r="G141" s="11" t="str">
        <f t="shared" si="147"/>
        <v>ACT_BND</v>
      </c>
      <c r="H141" t="str">
        <f t="shared" si="148"/>
        <v>UP</v>
      </c>
      <c r="J141" s="10">
        <v>2036</v>
      </c>
      <c r="K141" s="10" t="str">
        <f t="shared" si="149"/>
        <v>ELCHFO00</v>
      </c>
      <c r="L141" s="8">
        <f t="shared" ref="L141:R141" si="266">W141/AJ141</f>
        <v>0</v>
      </c>
      <c r="M141" s="8">
        <f t="shared" si="266"/>
        <v>0.69176117698584</v>
      </c>
      <c r="N141" s="8">
        <f t="shared" si="266"/>
        <v>0</v>
      </c>
      <c r="O141" s="8">
        <f t="shared" si="266"/>
        <v>0</v>
      </c>
      <c r="P141" s="8">
        <f t="shared" si="266"/>
        <v>0</v>
      </c>
      <c r="Q141" s="8">
        <f t="shared" si="266"/>
        <v>3.86671088312933</v>
      </c>
      <c r="R141" s="8">
        <f t="shared" si="266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67">AJ133</f>
        <v>0.3</v>
      </c>
      <c r="AK141">
        <f t="shared" si="267"/>
        <v>0.3</v>
      </c>
      <c r="AL141">
        <f t="shared" si="267"/>
        <v>0.3</v>
      </c>
      <c r="AM141">
        <f t="shared" si="267"/>
        <v>0.3</v>
      </c>
      <c r="AN141">
        <f t="shared" si="267"/>
        <v>0.3</v>
      </c>
      <c r="AO141">
        <f t="shared" si="267"/>
        <v>0.3</v>
      </c>
      <c r="AP141">
        <f t="shared" si="267"/>
        <v>0.3</v>
      </c>
    </row>
    <row r="142" ht="16" spans="4:42">
      <c r="D142" s="25"/>
      <c r="F142" s="8" t="s">
        <v>83</v>
      </c>
      <c r="G142" s="11" t="str">
        <f t="shared" si="147"/>
        <v>ACT_BND</v>
      </c>
      <c r="H142" t="str">
        <f t="shared" si="148"/>
        <v>UP</v>
      </c>
      <c r="J142" s="10">
        <v>2036</v>
      </c>
      <c r="K142" s="10" t="str">
        <f t="shared" si="149"/>
        <v>ELCHYD00</v>
      </c>
      <c r="L142" s="8">
        <f t="shared" ref="L142:R142" si="268">W142/AJ142</f>
        <v>5.2573595258771</v>
      </c>
      <c r="M142" s="8">
        <f t="shared" si="268"/>
        <v>231.085649911677</v>
      </c>
      <c r="N142" s="8">
        <f t="shared" si="268"/>
        <v>14.8082678111525</v>
      </c>
      <c r="O142" s="8">
        <f t="shared" si="268"/>
        <v>182.02552084493</v>
      </c>
      <c r="P142" s="8">
        <f t="shared" si="268"/>
        <v>155.204987122679</v>
      </c>
      <c r="Q142" s="8">
        <f t="shared" si="268"/>
        <v>966.917293090779</v>
      </c>
      <c r="R142" s="8">
        <f t="shared" si="268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69">AJ134</f>
        <v>0.97</v>
      </c>
      <c r="AK142">
        <f t="shared" si="269"/>
        <v>0.97</v>
      </c>
      <c r="AL142">
        <f t="shared" si="269"/>
        <v>0.97</v>
      </c>
      <c r="AM142">
        <f t="shared" si="269"/>
        <v>0.97</v>
      </c>
      <c r="AN142">
        <f t="shared" si="269"/>
        <v>0.97</v>
      </c>
      <c r="AO142">
        <f t="shared" si="269"/>
        <v>0.97</v>
      </c>
      <c r="AP142">
        <f t="shared" si="269"/>
        <v>0.97</v>
      </c>
    </row>
    <row r="143" ht="16" spans="4:42">
      <c r="D143" s="25"/>
      <c r="F143" s="8" t="s">
        <v>83</v>
      </c>
      <c r="G143" s="11" t="str">
        <f t="shared" si="147"/>
        <v>ACT_BND</v>
      </c>
      <c r="H143" t="str">
        <f t="shared" si="148"/>
        <v>UP</v>
      </c>
      <c r="J143" s="10">
        <v>2036</v>
      </c>
      <c r="K143" s="10" t="str">
        <f t="shared" si="149"/>
        <v>ENCAN01_SMR</v>
      </c>
      <c r="L143" s="8">
        <f t="shared" ref="L143:O143" si="270">W143/AJ143</f>
        <v>0</v>
      </c>
      <c r="M143" s="8">
        <f t="shared" si="270"/>
        <v>26.7898798740101</v>
      </c>
      <c r="N143" s="8">
        <f t="shared" si="270"/>
        <v>19.5192863786897</v>
      </c>
      <c r="O143" s="8">
        <f t="shared" si="270"/>
        <v>5.14713864650828</v>
      </c>
      <c r="P143" s="34">
        <v>280.893716956083</v>
      </c>
      <c r="Q143" s="8">
        <f>AB143/AO143</f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71">AJ135</f>
        <v>1</v>
      </c>
      <c r="AK143">
        <f t="shared" si="271"/>
        <v>1</v>
      </c>
      <c r="AL143">
        <f t="shared" si="271"/>
        <v>1</v>
      </c>
      <c r="AM143">
        <f t="shared" si="271"/>
        <v>1</v>
      </c>
      <c r="AN143">
        <f t="shared" si="271"/>
        <v>1</v>
      </c>
      <c r="AO143">
        <f t="shared" si="271"/>
        <v>1</v>
      </c>
      <c r="AP143">
        <f t="shared" si="271"/>
        <v>1</v>
      </c>
    </row>
    <row r="144" ht="16" spans="4:42">
      <c r="D144" s="25"/>
      <c r="F144" s="8" t="s">
        <v>83</v>
      </c>
      <c r="G144" s="11" t="str">
        <f t="shared" si="147"/>
        <v>ACT_BND</v>
      </c>
      <c r="H144" t="str">
        <f t="shared" si="148"/>
        <v>UP</v>
      </c>
      <c r="J144" s="10">
        <v>2036</v>
      </c>
      <c r="K144" s="10" t="str">
        <f t="shared" si="149"/>
        <v>ELCSOL00</v>
      </c>
      <c r="L144" s="8">
        <f t="shared" ref="L144:R144" si="272">W144/AJ144</f>
        <v>78.3030100071994</v>
      </c>
      <c r="M144" s="8">
        <f t="shared" si="272"/>
        <v>23.79372287554</v>
      </c>
      <c r="N144" s="8">
        <f t="shared" si="272"/>
        <v>5.99512244420446</v>
      </c>
      <c r="O144" s="8">
        <f t="shared" si="272"/>
        <v>0.635293624550036</v>
      </c>
      <c r="P144" s="8">
        <f t="shared" si="272"/>
        <v>41.0515657307415</v>
      </c>
      <c r="Q144" s="8">
        <f t="shared" si="272"/>
        <v>2.40635500215983</v>
      </c>
      <c r="R144" s="8">
        <f t="shared" si="272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73">AJ136</f>
        <v>1</v>
      </c>
      <c r="AK144">
        <f t="shared" si="273"/>
        <v>1</v>
      </c>
      <c r="AL144">
        <f t="shared" si="273"/>
        <v>1</v>
      </c>
      <c r="AM144">
        <f t="shared" si="273"/>
        <v>1</v>
      </c>
      <c r="AN144">
        <f t="shared" si="273"/>
        <v>1</v>
      </c>
      <c r="AO144">
        <f t="shared" si="273"/>
        <v>1</v>
      </c>
      <c r="AP144">
        <f t="shared" si="273"/>
        <v>1</v>
      </c>
    </row>
    <row r="145" ht="16" spans="4:42">
      <c r="D145" s="25"/>
      <c r="F145" s="8" t="s">
        <v>83</v>
      </c>
      <c r="G145" s="11" t="str">
        <f t="shared" si="147"/>
        <v>ACT_BND</v>
      </c>
      <c r="H145" t="str">
        <f t="shared" si="148"/>
        <v>UP</v>
      </c>
      <c r="J145" s="10">
        <v>2036</v>
      </c>
      <c r="K145" s="10" t="str">
        <f t="shared" si="149"/>
        <v>ELCWIN00</v>
      </c>
      <c r="L145" s="8">
        <f t="shared" ref="L145:R145" si="274">W145/AJ145</f>
        <v>177.11612199424</v>
      </c>
      <c r="M145" s="8">
        <f t="shared" si="274"/>
        <v>35.9200143721022</v>
      </c>
      <c r="N145" s="8">
        <f t="shared" si="274"/>
        <v>46.8566525197984</v>
      </c>
      <c r="O145" s="8">
        <f t="shared" si="274"/>
        <v>4.79631019078474</v>
      </c>
      <c r="P145" s="8">
        <f t="shared" si="274"/>
        <v>256.766393232541</v>
      </c>
      <c r="Q145" s="8">
        <f t="shared" si="274"/>
        <v>58.1952862491001</v>
      </c>
      <c r="R145" s="8">
        <f t="shared" si="274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75">AJ137</f>
        <v>1</v>
      </c>
      <c r="AK145">
        <f t="shared" si="275"/>
        <v>1</v>
      </c>
      <c r="AL145">
        <f t="shared" si="275"/>
        <v>1</v>
      </c>
      <c r="AM145">
        <f t="shared" si="275"/>
        <v>1</v>
      </c>
      <c r="AN145">
        <f t="shared" si="275"/>
        <v>1</v>
      </c>
      <c r="AO145">
        <f t="shared" si="275"/>
        <v>1</v>
      </c>
      <c r="AP145">
        <f t="shared" si="275"/>
        <v>1</v>
      </c>
    </row>
    <row r="146" ht="16" spans="4:42">
      <c r="D146" s="25"/>
      <c r="F146" s="8" t="s">
        <v>83</v>
      </c>
      <c r="G146" s="11" t="str">
        <f t="shared" si="147"/>
        <v>ACT_BND</v>
      </c>
      <c r="H146" t="str">
        <f t="shared" si="148"/>
        <v>UP</v>
      </c>
      <c r="J146" s="10">
        <v>2036</v>
      </c>
      <c r="K146" s="10" t="str">
        <f t="shared" si="149"/>
        <v>ELCWOO00</v>
      </c>
      <c r="L146" s="8">
        <f t="shared" ref="L146:R146" si="276">W146/AJ146</f>
        <v>83.0276779800474</v>
      </c>
      <c r="M146" s="8">
        <f t="shared" si="276"/>
        <v>38.2804393249409</v>
      </c>
      <c r="N146" s="8">
        <f t="shared" si="276"/>
        <v>57.5967661421371</v>
      </c>
      <c r="O146" s="8">
        <f t="shared" si="276"/>
        <v>0.630877123932943</v>
      </c>
      <c r="P146" s="8">
        <f t="shared" si="276"/>
        <v>25.2526388871747</v>
      </c>
      <c r="Q146" s="8">
        <f t="shared" si="276"/>
        <v>17.0500519798416</v>
      </c>
      <c r="R146" s="8">
        <f t="shared" si="276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77">AJ138</f>
        <v>0.35</v>
      </c>
      <c r="AK146">
        <f t="shared" si="277"/>
        <v>0.35</v>
      </c>
      <c r="AL146">
        <f t="shared" si="277"/>
        <v>0.35</v>
      </c>
      <c r="AM146">
        <f t="shared" si="277"/>
        <v>0.35</v>
      </c>
      <c r="AN146">
        <f t="shared" si="277"/>
        <v>0.35</v>
      </c>
      <c r="AO146">
        <f t="shared" si="277"/>
        <v>0.35</v>
      </c>
      <c r="AP146">
        <f t="shared" si="277"/>
        <v>0.35</v>
      </c>
    </row>
    <row r="147" ht="16" spans="4:42">
      <c r="D147" s="25"/>
      <c r="F147" s="8" t="s">
        <v>83</v>
      </c>
      <c r="G147" s="11" t="str">
        <f t="shared" ref="G147:G210" si="278">G146</f>
        <v>ACT_BND</v>
      </c>
      <c r="H147" t="str">
        <f t="shared" ref="H147:H210" si="279">H146</f>
        <v>UP</v>
      </c>
      <c r="J147" s="10">
        <v>2037</v>
      </c>
      <c r="K147" s="10" t="str">
        <f t="shared" ref="K147:K210" si="280">K139</f>
        <v>ELCCOH00</v>
      </c>
      <c r="L147" s="8">
        <f t="shared" ref="L147:R147" si="281">W147/AJ147</f>
        <v>0</v>
      </c>
      <c r="M147" s="8">
        <f t="shared" si="281"/>
        <v>0</v>
      </c>
      <c r="N147" s="8">
        <f t="shared" si="281"/>
        <v>0</v>
      </c>
      <c r="O147" s="8">
        <f t="shared" si="281"/>
        <v>0</v>
      </c>
      <c r="P147" s="8">
        <f t="shared" si="281"/>
        <v>0</v>
      </c>
      <c r="Q147" s="8">
        <f t="shared" si="281"/>
        <v>0</v>
      </c>
      <c r="R147" s="8">
        <f t="shared" si="281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82">AJ139</f>
        <v>0.38</v>
      </c>
      <c r="AK147">
        <f t="shared" si="282"/>
        <v>0.38</v>
      </c>
      <c r="AL147">
        <f t="shared" si="282"/>
        <v>0.38</v>
      </c>
      <c r="AM147">
        <f t="shared" si="282"/>
        <v>0.38</v>
      </c>
      <c r="AN147">
        <f t="shared" si="282"/>
        <v>0.38</v>
      </c>
      <c r="AO147">
        <f t="shared" si="282"/>
        <v>0.38</v>
      </c>
      <c r="AP147">
        <f t="shared" si="282"/>
        <v>0.38</v>
      </c>
    </row>
    <row r="148" ht="16" spans="4:42">
      <c r="D148" s="25"/>
      <c r="F148" s="8" t="s">
        <v>83</v>
      </c>
      <c r="G148" s="11" t="str">
        <f t="shared" si="278"/>
        <v>ACT_BND</v>
      </c>
      <c r="H148" t="str">
        <f t="shared" si="279"/>
        <v>UP</v>
      </c>
      <c r="J148" s="10">
        <v>2037</v>
      </c>
      <c r="K148" s="10" t="str">
        <f t="shared" si="280"/>
        <v>ELCGAS00</v>
      </c>
      <c r="L148" s="8">
        <f t="shared" ref="L148:R148" si="283">W148/AJ148</f>
        <v>221.115444114471</v>
      </c>
      <c r="M148" s="8">
        <f t="shared" si="283"/>
        <v>8.50551953807595</v>
      </c>
      <c r="N148" s="8">
        <f t="shared" si="283"/>
        <v>32.048186699064</v>
      </c>
      <c r="O148" s="8">
        <f t="shared" si="283"/>
        <v>0</v>
      </c>
      <c r="P148" s="8">
        <f t="shared" si="283"/>
        <v>95.614986411087</v>
      </c>
      <c r="Q148" s="8">
        <f t="shared" si="283"/>
        <v>0</v>
      </c>
      <c r="R148" s="8">
        <f t="shared" si="283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84">AJ140</f>
        <v>0.4</v>
      </c>
      <c r="AK148">
        <f t="shared" si="284"/>
        <v>0.4</v>
      </c>
      <c r="AL148">
        <f t="shared" si="284"/>
        <v>0.4</v>
      </c>
      <c r="AM148">
        <f t="shared" si="284"/>
        <v>0.4</v>
      </c>
      <c r="AN148">
        <f t="shared" si="284"/>
        <v>0.4</v>
      </c>
      <c r="AO148">
        <f t="shared" si="284"/>
        <v>0.4</v>
      </c>
      <c r="AP148">
        <f t="shared" si="284"/>
        <v>0.4</v>
      </c>
    </row>
    <row r="149" ht="16" spans="4:42">
      <c r="D149" s="25"/>
      <c r="F149" s="8" t="s">
        <v>83</v>
      </c>
      <c r="G149" s="11" t="str">
        <f t="shared" si="278"/>
        <v>ACT_BND</v>
      </c>
      <c r="H149" t="str">
        <f t="shared" si="279"/>
        <v>UP</v>
      </c>
      <c r="J149" s="10">
        <v>2037</v>
      </c>
      <c r="K149" s="10" t="str">
        <f t="shared" si="280"/>
        <v>ELCHFO00</v>
      </c>
      <c r="L149" s="8">
        <f t="shared" ref="L149:R149" si="285">W149/AJ149</f>
        <v>0</v>
      </c>
      <c r="M149" s="8">
        <f t="shared" si="285"/>
        <v>0.742552525197983</v>
      </c>
      <c r="N149" s="8">
        <f t="shared" si="285"/>
        <v>0</v>
      </c>
      <c r="O149" s="8">
        <f t="shared" si="285"/>
        <v>0</v>
      </c>
      <c r="P149" s="8">
        <f t="shared" si="285"/>
        <v>0</v>
      </c>
      <c r="Q149" s="8">
        <f t="shared" si="285"/>
        <v>3.86337393208543</v>
      </c>
      <c r="R149" s="8">
        <f t="shared" si="285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86">AJ141</f>
        <v>0.3</v>
      </c>
      <c r="AK149">
        <f t="shared" si="286"/>
        <v>0.3</v>
      </c>
      <c r="AL149">
        <f t="shared" si="286"/>
        <v>0.3</v>
      </c>
      <c r="AM149">
        <f t="shared" si="286"/>
        <v>0.3</v>
      </c>
      <c r="AN149">
        <f t="shared" si="286"/>
        <v>0.3</v>
      </c>
      <c r="AO149">
        <f t="shared" si="286"/>
        <v>0.3</v>
      </c>
      <c r="AP149">
        <f t="shared" si="286"/>
        <v>0.3</v>
      </c>
    </row>
    <row r="150" ht="16" spans="4:42">
      <c r="D150" s="25"/>
      <c r="F150" s="8" t="s">
        <v>83</v>
      </c>
      <c r="G150" s="11" t="str">
        <f t="shared" si="278"/>
        <v>ACT_BND</v>
      </c>
      <c r="H150" t="str">
        <f t="shared" si="279"/>
        <v>UP</v>
      </c>
      <c r="J150" s="10">
        <v>2037</v>
      </c>
      <c r="K150" s="10" t="str">
        <f t="shared" si="280"/>
        <v>ELCHYD00</v>
      </c>
      <c r="L150" s="8">
        <f t="shared" ref="L150:R150" si="287">W150/AJ150</f>
        <v>5.19720032954065</v>
      </c>
      <c r="M150" s="8">
        <f t="shared" si="287"/>
        <v>230.599154469209</v>
      </c>
      <c r="N150" s="8">
        <f t="shared" si="287"/>
        <v>14.8878011622988</v>
      </c>
      <c r="O150" s="8">
        <f t="shared" si="287"/>
        <v>183.294868109521</v>
      </c>
      <c r="P150" s="8">
        <f t="shared" si="287"/>
        <v>156.017928829611</v>
      </c>
      <c r="Q150" s="8">
        <f t="shared" si="287"/>
        <v>970.060219471102</v>
      </c>
      <c r="R150" s="8">
        <f t="shared" si="28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88">AJ142</f>
        <v>0.97</v>
      </c>
      <c r="AK150">
        <f t="shared" si="288"/>
        <v>0.97</v>
      </c>
      <c r="AL150">
        <f t="shared" si="288"/>
        <v>0.97</v>
      </c>
      <c r="AM150">
        <f t="shared" si="288"/>
        <v>0.97</v>
      </c>
      <c r="AN150">
        <f t="shared" si="288"/>
        <v>0.97</v>
      </c>
      <c r="AO150">
        <f t="shared" si="288"/>
        <v>0.97</v>
      </c>
      <c r="AP150">
        <f t="shared" si="288"/>
        <v>0.97</v>
      </c>
    </row>
    <row r="151" ht="16" spans="4:42">
      <c r="D151" s="25"/>
      <c r="F151" s="8" t="s">
        <v>83</v>
      </c>
      <c r="G151" s="11" t="str">
        <f t="shared" si="278"/>
        <v>ACT_BND</v>
      </c>
      <c r="H151" t="str">
        <f t="shared" si="279"/>
        <v>UP</v>
      </c>
      <c r="J151" s="10">
        <v>2037</v>
      </c>
      <c r="K151" s="10" t="str">
        <f t="shared" si="280"/>
        <v>ENCAN01_SMR</v>
      </c>
      <c r="L151" s="8">
        <f t="shared" ref="L151:O151" si="289">W151/AJ151</f>
        <v>0</v>
      </c>
      <c r="M151" s="8">
        <f t="shared" si="289"/>
        <v>33.1032236393089</v>
      </c>
      <c r="N151" s="8">
        <f t="shared" si="289"/>
        <v>20.955950449964</v>
      </c>
      <c r="O151" s="8">
        <f t="shared" si="289"/>
        <v>8.68326339452844</v>
      </c>
      <c r="P151" s="34">
        <v>325.350711196544</v>
      </c>
      <c r="Q151" s="8">
        <f>AB151/AO151</f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290">AJ143</f>
        <v>1</v>
      </c>
      <c r="AK151">
        <f t="shared" si="290"/>
        <v>1</v>
      </c>
      <c r="AL151">
        <f t="shared" si="290"/>
        <v>1</v>
      </c>
      <c r="AM151">
        <f t="shared" si="290"/>
        <v>1</v>
      </c>
      <c r="AN151">
        <f t="shared" si="290"/>
        <v>1</v>
      </c>
      <c r="AO151">
        <f t="shared" si="290"/>
        <v>1</v>
      </c>
      <c r="AP151">
        <f t="shared" si="290"/>
        <v>1</v>
      </c>
    </row>
    <row r="152" ht="16" spans="4:42">
      <c r="D152" s="25"/>
      <c r="F152" s="8" t="s">
        <v>83</v>
      </c>
      <c r="G152" s="11" t="str">
        <f t="shared" si="278"/>
        <v>ACT_BND</v>
      </c>
      <c r="H152" t="str">
        <f t="shared" si="279"/>
        <v>UP</v>
      </c>
      <c r="J152" s="10">
        <v>2037</v>
      </c>
      <c r="K152" s="10" t="str">
        <f t="shared" si="280"/>
        <v>ELCSOL00</v>
      </c>
      <c r="L152" s="8">
        <f t="shared" ref="L152:R152" si="291">W152/AJ152</f>
        <v>78.5753249100072</v>
      </c>
      <c r="M152" s="8">
        <f t="shared" si="291"/>
        <v>24.710937705018</v>
      </c>
      <c r="N152" s="8">
        <f t="shared" si="291"/>
        <v>6.05018498560115</v>
      </c>
      <c r="O152" s="8">
        <f t="shared" si="291"/>
        <v>0.646031409647228</v>
      </c>
      <c r="P152" s="8">
        <f t="shared" si="291"/>
        <v>41.3370672786177</v>
      </c>
      <c r="Q152" s="8">
        <f t="shared" si="291"/>
        <v>2.56368248740101</v>
      </c>
      <c r="R152" s="8">
        <f t="shared" si="291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292">AJ144</f>
        <v>1</v>
      </c>
      <c r="AK152">
        <f t="shared" si="292"/>
        <v>1</v>
      </c>
      <c r="AL152">
        <f t="shared" si="292"/>
        <v>1</v>
      </c>
      <c r="AM152">
        <f t="shared" si="292"/>
        <v>1</v>
      </c>
      <c r="AN152">
        <f t="shared" si="292"/>
        <v>1</v>
      </c>
      <c r="AO152">
        <f t="shared" si="292"/>
        <v>1</v>
      </c>
      <c r="AP152">
        <f t="shared" si="292"/>
        <v>1</v>
      </c>
    </row>
    <row r="153" ht="16" spans="4:42">
      <c r="D153" s="25"/>
      <c r="F153" s="8" t="s">
        <v>83</v>
      </c>
      <c r="G153" s="11" t="str">
        <f t="shared" si="278"/>
        <v>ACT_BND</v>
      </c>
      <c r="H153" t="str">
        <f t="shared" si="279"/>
        <v>UP</v>
      </c>
      <c r="J153" s="10">
        <v>2037</v>
      </c>
      <c r="K153" s="10" t="str">
        <f t="shared" si="280"/>
        <v>ELCWIN00</v>
      </c>
      <c r="L153" s="8">
        <f t="shared" ref="L153:R153" si="293">W153/AJ153</f>
        <v>177.044662491001</v>
      </c>
      <c r="M153" s="8">
        <f t="shared" si="293"/>
        <v>42.0501053944204</v>
      </c>
      <c r="N153" s="8">
        <f t="shared" si="293"/>
        <v>46.964964974802</v>
      </c>
      <c r="O153" s="8">
        <f t="shared" si="293"/>
        <v>4.83654876889849</v>
      </c>
      <c r="P153" s="8">
        <f t="shared" si="293"/>
        <v>273.234162239021</v>
      </c>
      <c r="Q153" s="8">
        <f t="shared" si="293"/>
        <v>60.2047669906407</v>
      </c>
      <c r="R153" s="8">
        <f t="shared" si="293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294">AJ145</f>
        <v>1</v>
      </c>
      <c r="AK153">
        <f t="shared" si="294"/>
        <v>1</v>
      </c>
      <c r="AL153">
        <f t="shared" si="294"/>
        <v>1</v>
      </c>
      <c r="AM153">
        <f t="shared" si="294"/>
        <v>1</v>
      </c>
      <c r="AN153">
        <f t="shared" si="294"/>
        <v>1</v>
      </c>
      <c r="AO153">
        <f t="shared" si="294"/>
        <v>1</v>
      </c>
      <c r="AP153">
        <f t="shared" si="294"/>
        <v>1</v>
      </c>
    </row>
    <row r="154" ht="16" spans="4:42">
      <c r="D154" s="25"/>
      <c r="F154" s="8" t="s">
        <v>83</v>
      </c>
      <c r="G154" s="11" t="str">
        <f t="shared" si="278"/>
        <v>ACT_BND</v>
      </c>
      <c r="H154" t="str">
        <f t="shared" si="279"/>
        <v>UP</v>
      </c>
      <c r="J154" s="10">
        <v>2037</v>
      </c>
      <c r="K154" s="10" t="str">
        <f t="shared" si="280"/>
        <v>ELCWOO00</v>
      </c>
      <c r="L154" s="8">
        <f t="shared" ref="L154:R154" si="295">W154/AJ154</f>
        <v>94.1771232541397</v>
      </c>
      <c r="M154" s="8">
        <f t="shared" si="295"/>
        <v>37.0299395753369</v>
      </c>
      <c r="N154" s="8">
        <f t="shared" si="295"/>
        <v>68.3456909801503</v>
      </c>
      <c r="O154" s="8">
        <f t="shared" si="295"/>
        <v>0.596554234598374</v>
      </c>
      <c r="P154" s="8">
        <f t="shared" si="295"/>
        <v>26.4258067674586</v>
      </c>
      <c r="Q154" s="8">
        <f t="shared" si="295"/>
        <v>16.971784078988</v>
      </c>
      <c r="R154" s="8">
        <f t="shared" si="295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296">AJ146</f>
        <v>0.35</v>
      </c>
      <c r="AK154">
        <f t="shared" si="296"/>
        <v>0.35</v>
      </c>
      <c r="AL154">
        <f t="shared" si="296"/>
        <v>0.35</v>
      </c>
      <c r="AM154">
        <f t="shared" si="296"/>
        <v>0.35</v>
      </c>
      <c r="AN154">
        <f t="shared" si="296"/>
        <v>0.35</v>
      </c>
      <c r="AO154">
        <f t="shared" si="296"/>
        <v>0.35</v>
      </c>
      <c r="AP154">
        <f t="shared" si="296"/>
        <v>0.35</v>
      </c>
    </row>
    <row r="155" ht="16" spans="4:42">
      <c r="D155" s="25"/>
      <c r="F155" s="8" t="s">
        <v>83</v>
      </c>
      <c r="G155" s="11" t="str">
        <f t="shared" si="278"/>
        <v>ACT_BND</v>
      </c>
      <c r="H155" t="str">
        <f t="shared" si="279"/>
        <v>UP</v>
      </c>
      <c r="J155" s="10">
        <v>2038</v>
      </c>
      <c r="K155" s="10" t="str">
        <f t="shared" si="280"/>
        <v>ELCCOH00</v>
      </c>
      <c r="L155" s="8">
        <f t="shared" ref="L155:R155" si="297">W155/AJ155</f>
        <v>0</v>
      </c>
      <c r="M155" s="8">
        <f t="shared" si="297"/>
        <v>0</v>
      </c>
      <c r="N155" s="8">
        <f t="shared" si="297"/>
        <v>0</v>
      </c>
      <c r="O155" s="8">
        <f t="shared" si="297"/>
        <v>0</v>
      </c>
      <c r="P155" s="8">
        <f t="shared" si="297"/>
        <v>0</v>
      </c>
      <c r="Q155" s="8">
        <f t="shared" si="297"/>
        <v>0</v>
      </c>
      <c r="R155" s="8">
        <f t="shared" si="29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298">AJ147</f>
        <v>0.38</v>
      </c>
      <c r="AK155">
        <f t="shared" si="298"/>
        <v>0.38</v>
      </c>
      <c r="AL155">
        <f t="shared" si="298"/>
        <v>0.38</v>
      </c>
      <c r="AM155">
        <f t="shared" si="298"/>
        <v>0.38</v>
      </c>
      <c r="AN155">
        <f t="shared" si="298"/>
        <v>0.38</v>
      </c>
      <c r="AO155">
        <f t="shared" si="298"/>
        <v>0.38</v>
      </c>
      <c r="AP155">
        <f t="shared" si="298"/>
        <v>0.38</v>
      </c>
    </row>
    <row r="156" ht="16" spans="4:42">
      <c r="D156" s="25"/>
      <c r="F156" s="8" t="s">
        <v>83</v>
      </c>
      <c r="G156" s="11" t="str">
        <f t="shared" si="278"/>
        <v>ACT_BND</v>
      </c>
      <c r="H156" t="str">
        <f t="shared" si="279"/>
        <v>UP</v>
      </c>
      <c r="J156" s="10">
        <v>2038</v>
      </c>
      <c r="K156" s="10" t="str">
        <f t="shared" si="280"/>
        <v>ELCGAS00</v>
      </c>
      <c r="L156" s="8">
        <f t="shared" ref="L156:R156" si="299">W156/AJ156</f>
        <v>215.304388678906</v>
      </c>
      <c r="M156" s="8">
        <f t="shared" si="299"/>
        <v>8.24697128644707</v>
      </c>
      <c r="N156" s="8">
        <f t="shared" si="299"/>
        <v>28.3180417026638</v>
      </c>
      <c r="O156" s="8">
        <f t="shared" si="299"/>
        <v>0</v>
      </c>
      <c r="P156" s="8">
        <f t="shared" si="299"/>
        <v>102.089148038157</v>
      </c>
      <c r="Q156" s="8">
        <f t="shared" si="299"/>
        <v>0</v>
      </c>
      <c r="R156" s="8">
        <f t="shared" si="299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00">AJ148</f>
        <v>0.4</v>
      </c>
      <c r="AK156">
        <f t="shared" si="300"/>
        <v>0.4</v>
      </c>
      <c r="AL156">
        <f t="shared" si="300"/>
        <v>0.4</v>
      </c>
      <c r="AM156">
        <f t="shared" si="300"/>
        <v>0.4</v>
      </c>
      <c r="AN156">
        <f t="shared" si="300"/>
        <v>0.4</v>
      </c>
      <c r="AO156">
        <f t="shared" si="300"/>
        <v>0.4</v>
      </c>
      <c r="AP156">
        <f t="shared" si="300"/>
        <v>0.4</v>
      </c>
    </row>
    <row r="157" ht="16" spans="4:42">
      <c r="D157" s="25"/>
      <c r="F157" s="8" t="s">
        <v>83</v>
      </c>
      <c r="G157" s="11" t="str">
        <f t="shared" si="278"/>
        <v>ACT_BND</v>
      </c>
      <c r="H157" t="str">
        <f t="shared" si="279"/>
        <v>UP</v>
      </c>
      <c r="J157" s="10">
        <v>2038</v>
      </c>
      <c r="K157" s="10" t="str">
        <f t="shared" si="280"/>
        <v>ELCHFO00</v>
      </c>
      <c r="L157" s="8">
        <f t="shared" ref="L157:R157" si="301">W157/AJ157</f>
        <v>0</v>
      </c>
      <c r="M157" s="8">
        <f t="shared" si="301"/>
        <v>0.801442977585793</v>
      </c>
      <c r="N157" s="8">
        <f t="shared" si="301"/>
        <v>0</v>
      </c>
      <c r="O157" s="8">
        <f t="shared" si="301"/>
        <v>0</v>
      </c>
      <c r="P157" s="8">
        <f t="shared" si="301"/>
        <v>0</v>
      </c>
      <c r="Q157" s="8">
        <f t="shared" si="301"/>
        <v>3.8620158387329</v>
      </c>
      <c r="R157" s="8">
        <f t="shared" si="301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02">AJ149</f>
        <v>0.3</v>
      </c>
      <c r="AK157">
        <f t="shared" si="302"/>
        <v>0.3</v>
      </c>
      <c r="AL157">
        <f t="shared" si="302"/>
        <v>0.3</v>
      </c>
      <c r="AM157">
        <f t="shared" si="302"/>
        <v>0.3</v>
      </c>
      <c r="AN157">
        <f t="shared" si="302"/>
        <v>0.3</v>
      </c>
      <c r="AO157">
        <f t="shared" si="302"/>
        <v>0.3</v>
      </c>
      <c r="AP157">
        <f t="shared" si="302"/>
        <v>0.3</v>
      </c>
    </row>
    <row r="158" ht="16" spans="4:42">
      <c r="D158" s="25"/>
      <c r="F158" s="8" t="s">
        <v>83</v>
      </c>
      <c r="G158" s="11" t="str">
        <f t="shared" si="278"/>
        <v>ACT_BND</v>
      </c>
      <c r="H158" t="str">
        <f t="shared" si="279"/>
        <v>UP</v>
      </c>
      <c r="J158" s="10">
        <v>2038</v>
      </c>
      <c r="K158" s="10" t="str">
        <f t="shared" si="280"/>
        <v>ELCHYD00</v>
      </c>
      <c r="L158" s="8">
        <f t="shared" ref="L158:R158" si="303">W158/AJ158</f>
        <v>5.10636564167651</v>
      </c>
      <c r="M158" s="8">
        <f t="shared" si="303"/>
        <v>229.96821893597</v>
      </c>
      <c r="N158" s="8">
        <f t="shared" si="303"/>
        <v>14.9060924272449</v>
      </c>
      <c r="O158" s="8">
        <f t="shared" si="303"/>
        <v>184.66863114456</v>
      </c>
      <c r="P158" s="8">
        <f t="shared" si="303"/>
        <v>156.677434704193</v>
      </c>
      <c r="Q158" s="8">
        <f t="shared" si="303"/>
        <v>972.728288169936</v>
      </c>
      <c r="R158" s="8">
        <f t="shared" si="303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04">AJ150</f>
        <v>0.97</v>
      </c>
      <c r="AK158">
        <f t="shared" si="304"/>
        <v>0.97</v>
      </c>
      <c r="AL158">
        <f t="shared" si="304"/>
        <v>0.97</v>
      </c>
      <c r="AM158">
        <f t="shared" si="304"/>
        <v>0.97</v>
      </c>
      <c r="AN158">
        <f t="shared" si="304"/>
        <v>0.97</v>
      </c>
      <c r="AO158">
        <f t="shared" si="304"/>
        <v>0.97</v>
      </c>
      <c r="AP158">
        <f t="shared" si="304"/>
        <v>0.97</v>
      </c>
    </row>
    <row r="159" ht="16" spans="4:42">
      <c r="D159" s="25"/>
      <c r="F159" s="8" t="s">
        <v>83</v>
      </c>
      <c r="G159" s="11" t="str">
        <f t="shared" si="278"/>
        <v>ACT_BND</v>
      </c>
      <c r="H159" t="str">
        <f t="shared" si="279"/>
        <v>UP</v>
      </c>
      <c r="J159" s="10">
        <v>2038</v>
      </c>
      <c r="K159" s="10" t="str">
        <f t="shared" si="280"/>
        <v>ENCAN01_SMR</v>
      </c>
      <c r="L159" s="8">
        <f t="shared" ref="L159:O159" si="305">W159/AJ159</f>
        <v>0</v>
      </c>
      <c r="M159" s="8">
        <f t="shared" si="305"/>
        <v>39.0972954283657</v>
      </c>
      <c r="N159" s="8">
        <f t="shared" si="305"/>
        <v>22.2496309791217</v>
      </c>
      <c r="O159" s="8">
        <f t="shared" si="305"/>
        <v>12.2539586213103</v>
      </c>
      <c r="P159" s="34">
        <v>371.601571527718</v>
      </c>
      <c r="Q159" s="8">
        <f>AB159/AO159</f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06">AJ151</f>
        <v>1</v>
      </c>
      <c r="AK159">
        <f t="shared" si="306"/>
        <v>1</v>
      </c>
      <c r="AL159">
        <f t="shared" si="306"/>
        <v>1</v>
      </c>
      <c r="AM159">
        <f t="shared" si="306"/>
        <v>1</v>
      </c>
      <c r="AN159">
        <f t="shared" si="306"/>
        <v>1</v>
      </c>
      <c r="AO159">
        <f t="shared" si="306"/>
        <v>1</v>
      </c>
      <c r="AP159">
        <f t="shared" si="306"/>
        <v>1</v>
      </c>
    </row>
    <row r="160" ht="16" spans="4:42">
      <c r="D160" s="25"/>
      <c r="F160" s="8" t="s">
        <v>83</v>
      </c>
      <c r="G160" s="11" t="str">
        <f t="shared" si="278"/>
        <v>ACT_BND</v>
      </c>
      <c r="H160" t="str">
        <f t="shared" si="279"/>
        <v>UP</v>
      </c>
      <c r="J160" s="10">
        <v>2038</v>
      </c>
      <c r="K160" s="10" t="str">
        <f t="shared" si="280"/>
        <v>ELCSOL00</v>
      </c>
      <c r="L160" s="8">
        <f t="shared" ref="L160:R160" si="307">W160/AJ160</f>
        <v>79.0448233261339</v>
      </c>
      <c r="M160" s="8">
        <f t="shared" si="307"/>
        <v>25.628152534532</v>
      </c>
      <c r="N160" s="8">
        <f t="shared" si="307"/>
        <v>6.10348460403168</v>
      </c>
      <c r="O160" s="8">
        <f t="shared" si="307"/>
        <v>0.656769195104392</v>
      </c>
      <c r="P160" s="8">
        <f t="shared" si="307"/>
        <v>41.6873816054716</v>
      </c>
      <c r="Q160" s="8">
        <f t="shared" si="307"/>
        <v>2.72100997264219</v>
      </c>
      <c r="R160" s="8">
        <f t="shared" si="30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08">AJ152</f>
        <v>1</v>
      </c>
      <c r="AK160">
        <f t="shared" si="308"/>
        <v>1</v>
      </c>
      <c r="AL160">
        <f t="shared" si="308"/>
        <v>1</v>
      </c>
      <c r="AM160">
        <f t="shared" si="308"/>
        <v>1</v>
      </c>
      <c r="AN160">
        <f t="shared" si="308"/>
        <v>1</v>
      </c>
      <c r="AO160">
        <f t="shared" si="308"/>
        <v>1</v>
      </c>
      <c r="AP160">
        <f t="shared" si="308"/>
        <v>1</v>
      </c>
    </row>
    <row r="161" ht="16" spans="4:42">
      <c r="D161" s="25"/>
      <c r="F161" s="8" t="s">
        <v>83</v>
      </c>
      <c r="G161" s="11" t="str">
        <f t="shared" si="278"/>
        <v>ACT_BND</v>
      </c>
      <c r="H161" t="str">
        <f t="shared" si="279"/>
        <v>UP</v>
      </c>
      <c r="J161" s="10">
        <v>2038</v>
      </c>
      <c r="K161" s="10" t="str">
        <f t="shared" si="280"/>
        <v>ELCWIN00</v>
      </c>
      <c r="L161" s="8">
        <f t="shared" ref="L161:R161" si="309">W161/AJ161</f>
        <v>176.752617386609</v>
      </c>
      <c r="M161" s="8">
        <f t="shared" si="309"/>
        <v>48.1801964311375</v>
      </c>
      <c r="N161" s="8">
        <f t="shared" si="309"/>
        <v>48.3124696904248</v>
      </c>
      <c r="O161" s="8">
        <f t="shared" si="309"/>
        <v>4.90349467602592</v>
      </c>
      <c r="P161" s="8">
        <f t="shared" si="309"/>
        <v>290.062388300936</v>
      </c>
      <c r="Q161" s="8">
        <f t="shared" si="309"/>
        <v>62.2142477321814</v>
      </c>
      <c r="R161" s="8">
        <f t="shared" si="309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10">AJ153</f>
        <v>1</v>
      </c>
      <c r="AK161">
        <f t="shared" si="310"/>
        <v>1</v>
      </c>
      <c r="AL161">
        <f t="shared" si="310"/>
        <v>1</v>
      </c>
      <c r="AM161">
        <f t="shared" si="310"/>
        <v>1</v>
      </c>
      <c r="AN161">
        <f t="shared" si="310"/>
        <v>1</v>
      </c>
      <c r="AO161">
        <f t="shared" si="310"/>
        <v>1</v>
      </c>
      <c r="AP161">
        <f t="shared" si="310"/>
        <v>1</v>
      </c>
    </row>
    <row r="162" ht="16" spans="4:42">
      <c r="D162" s="25"/>
      <c r="F162" s="8" t="s">
        <v>83</v>
      </c>
      <c r="G162" s="11" t="str">
        <f t="shared" si="278"/>
        <v>ACT_BND</v>
      </c>
      <c r="H162" t="str">
        <f t="shared" si="279"/>
        <v>UP</v>
      </c>
      <c r="J162" s="10">
        <v>2038</v>
      </c>
      <c r="K162" s="10" t="str">
        <f t="shared" si="280"/>
        <v>ELCWOO00</v>
      </c>
      <c r="L162" s="8">
        <f t="shared" ref="L162:R162" si="311">W162/AJ162</f>
        <v>105.218125167129</v>
      </c>
      <c r="M162" s="8">
        <f t="shared" si="311"/>
        <v>36.461262291772</v>
      </c>
      <c r="N162" s="8">
        <f t="shared" si="311"/>
        <v>79.0488241900649</v>
      </c>
      <c r="O162" s="8">
        <f t="shared" si="311"/>
        <v>0.564922967499743</v>
      </c>
      <c r="P162" s="8">
        <f t="shared" si="311"/>
        <v>27.2473432582536</v>
      </c>
      <c r="Q162" s="8">
        <f t="shared" si="311"/>
        <v>16.8689553944256</v>
      </c>
      <c r="R162" s="8">
        <f t="shared" si="311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12">AJ154</f>
        <v>0.35</v>
      </c>
      <c r="AK162">
        <f t="shared" si="312"/>
        <v>0.35</v>
      </c>
      <c r="AL162">
        <f t="shared" si="312"/>
        <v>0.35</v>
      </c>
      <c r="AM162">
        <f t="shared" si="312"/>
        <v>0.35</v>
      </c>
      <c r="AN162">
        <f t="shared" si="312"/>
        <v>0.35</v>
      </c>
      <c r="AO162">
        <f t="shared" si="312"/>
        <v>0.35</v>
      </c>
      <c r="AP162">
        <f t="shared" si="312"/>
        <v>0.35</v>
      </c>
    </row>
    <row r="163" ht="16" spans="4:42">
      <c r="D163" s="25"/>
      <c r="F163" s="8" t="s">
        <v>83</v>
      </c>
      <c r="G163" s="11" t="str">
        <f t="shared" si="278"/>
        <v>ACT_BND</v>
      </c>
      <c r="H163" t="str">
        <f t="shared" si="279"/>
        <v>UP</v>
      </c>
      <c r="J163" s="10">
        <v>2039</v>
      </c>
      <c r="K163" s="10" t="str">
        <f t="shared" si="280"/>
        <v>ELCCOH00</v>
      </c>
      <c r="L163" s="8">
        <f t="shared" ref="L163:R163" si="313">W163/AJ163</f>
        <v>0</v>
      </c>
      <c r="M163" s="8">
        <f t="shared" si="313"/>
        <v>0</v>
      </c>
      <c r="N163" s="8">
        <f t="shared" si="313"/>
        <v>0</v>
      </c>
      <c r="O163" s="8">
        <f t="shared" si="313"/>
        <v>0</v>
      </c>
      <c r="P163" s="8">
        <f t="shared" si="313"/>
        <v>0</v>
      </c>
      <c r="Q163" s="8">
        <f t="shared" si="313"/>
        <v>0</v>
      </c>
      <c r="R163" s="8">
        <f t="shared" si="313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14">AJ155</f>
        <v>0.38</v>
      </c>
      <c r="AK163">
        <f t="shared" si="314"/>
        <v>0.38</v>
      </c>
      <c r="AL163">
        <f t="shared" si="314"/>
        <v>0.38</v>
      </c>
      <c r="AM163">
        <f t="shared" si="314"/>
        <v>0.38</v>
      </c>
      <c r="AN163">
        <f t="shared" si="314"/>
        <v>0.38</v>
      </c>
      <c r="AO163">
        <f t="shared" si="314"/>
        <v>0.38</v>
      </c>
      <c r="AP163">
        <f t="shared" si="314"/>
        <v>0.38</v>
      </c>
    </row>
    <row r="164" ht="16" spans="4:42">
      <c r="D164" s="25"/>
      <c r="F164" s="8" t="s">
        <v>83</v>
      </c>
      <c r="G164" s="11" t="str">
        <f t="shared" si="278"/>
        <v>ACT_BND</v>
      </c>
      <c r="H164" t="str">
        <f t="shared" si="279"/>
        <v>UP</v>
      </c>
      <c r="J164" s="10">
        <v>2039</v>
      </c>
      <c r="K164" s="10" t="str">
        <f t="shared" si="280"/>
        <v>ELCGAS00</v>
      </c>
      <c r="L164" s="8">
        <f t="shared" ref="L164:R164" si="315">W164/AJ164</f>
        <v>213.581550395968</v>
      </c>
      <c r="M164" s="8">
        <f t="shared" si="315"/>
        <v>8.90488648947085</v>
      </c>
      <c r="N164" s="8">
        <f t="shared" si="315"/>
        <v>25.8142996670268</v>
      </c>
      <c r="O164" s="8">
        <f t="shared" si="315"/>
        <v>0</v>
      </c>
      <c r="P164" s="8">
        <f t="shared" si="315"/>
        <v>110.265848902088</v>
      </c>
      <c r="Q164" s="8">
        <f t="shared" si="315"/>
        <v>0</v>
      </c>
      <c r="R164" s="8">
        <f t="shared" si="315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16">AJ156</f>
        <v>0.4</v>
      </c>
      <c r="AK164">
        <f t="shared" si="316"/>
        <v>0.4</v>
      </c>
      <c r="AL164">
        <f t="shared" si="316"/>
        <v>0.4</v>
      </c>
      <c r="AM164">
        <f t="shared" si="316"/>
        <v>0.4</v>
      </c>
      <c r="AN164">
        <f t="shared" si="316"/>
        <v>0.4</v>
      </c>
      <c r="AO164">
        <f t="shared" si="316"/>
        <v>0.4</v>
      </c>
      <c r="AP164">
        <f t="shared" si="316"/>
        <v>0.4</v>
      </c>
    </row>
    <row r="165" ht="16" spans="4:42">
      <c r="D165" s="25"/>
      <c r="F165" s="8" t="s">
        <v>83</v>
      </c>
      <c r="G165" s="11" t="str">
        <f t="shared" si="278"/>
        <v>ACT_BND</v>
      </c>
      <c r="H165" t="str">
        <f t="shared" si="279"/>
        <v>UP</v>
      </c>
      <c r="J165" s="10">
        <v>2039</v>
      </c>
      <c r="K165" s="10" t="str">
        <f t="shared" si="280"/>
        <v>ELCHFO00</v>
      </c>
      <c r="L165" s="8">
        <f t="shared" ref="L165:R165" si="317">W165/AJ165</f>
        <v>0</v>
      </c>
      <c r="M165" s="8">
        <f t="shared" si="317"/>
        <v>0.869959401439883</v>
      </c>
      <c r="N165" s="8">
        <f t="shared" si="317"/>
        <v>0</v>
      </c>
      <c r="O165" s="8">
        <f t="shared" si="317"/>
        <v>0</v>
      </c>
      <c r="P165" s="8">
        <f t="shared" si="317"/>
        <v>0</v>
      </c>
      <c r="Q165" s="8">
        <f t="shared" si="317"/>
        <v>3.8620158387329</v>
      </c>
      <c r="R165" s="8">
        <f t="shared" si="31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18">AJ157</f>
        <v>0.3</v>
      </c>
      <c r="AK165">
        <f t="shared" si="318"/>
        <v>0.3</v>
      </c>
      <c r="AL165">
        <f t="shared" si="318"/>
        <v>0.3</v>
      </c>
      <c r="AM165">
        <f t="shared" si="318"/>
        <v>0.3</v>
      </c>
      <c r="AN165">
        <f t="shared" si="318"/>
        <v>0.3</v>
      </c>
      <c r="AO165">
        <f t="shared" si="318"/>
        <v>0.3</v>
      </c>
      <c r="AP165">
        <f t="shared" si="318"/>
        <v>0.3</v>
      </c>
    </row>
    <row r="166" ht="16" spans="4:42">
      <c r="D166" s="25"/>
      <c r="F166" s="8" t="s">
        <v>83</v>
      </c>
      <c r="G166" s="11" t="str">
        <f t="shared" si="278"/>
        <v>ACT_BND</v>
      </c>
      <c r="H166" t="str">
        <f t="shared" si="279"/>
        <v>UP</v>
      </c>
      <c r="J166" s="10">
        <v>2039</v>
      </c>
      <c r="K166" s="10" t="str">
        <f t="shared" si="280"/>
        <v>ELCHYD00</v>
      </c>
      <c r="L166" s="8">
        <f t="shared" ref="L166:R166" si="319">W166/AJ166</f>
        <v>5.01935469038766</v>
      </c>
      <c r="M166" s="8">
        <f t="shared" si="319"/>
        <v>229.734225081458</v>
      </c>
      <c r="N166" s="8">
        <f t="shared" si="319"/>
        <v>15.0457314800382</v>
      </c>
      <c r="O166" s="8">
        <f t="shared" si="319"/>
        <v>185.562179569964</v>
      </c>
      <c r="P166" s="8">
        <f t="shared" si="319"/>
        <v>157.133825677451</v>
      </c>
      <c r="Q166" s="8">
        <f t="shared" si="319"/>
        <v>975.693170195869</v>
      </c>
      <c r="R166" s="8">
        <f t="shared" si="319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20">AJ158</f>
        <v>0.97</v>
      </c>
      <c r="AK166">
        <f t="shared" si="320"/>
        <v>0.97</v>
      </c>
      <c r="AL166">
        <f t="shared" si="320"/>
        <v>0.97</v>
      </c>
      <c r="AM166">
        <f t="shared" si="320"/>
        <v>0.97</v>
      </c>
      <c r="AN166">
        <f t="shared" si="320"/>
        <v>0.97</v>
      </c>
      <c r="AO166">
        <f t="shared" si="320"/>
        <v>0.97</v>
      </c>
      <c r="AP166">
        <f t="shared" si="320"/>
        <v>0.97</v>
      </c>
    </row>
    <row r="167" ht="16" spans="4:42">
      <c r="D167" s="25"/>
      <c r="F167" s="8" t="s">
        <v>83</v>
      </c>
      <c r="G167" s="11" t="str">
        <f t="shared" si="278"/>
        <v>ACT_BND</v>
      </c>
      <c r="H167" t="str">
        <f t="shared" si="279"/>
        <v>UP</v>
      </c>
      <c r="J167" s="10">
        <v>2039</v>
      </c>
      <c r="K167" s="10" t="str">
        <f t="shared" si="280"/>
        <v>ENCAN01_SMR</v>
      </c>
      <c r="L167" s="8">
        <f t="shared" ref="L167:O167" si="321">W167/AJ167</f>
        <v>0</v>
      </c>
      <c r="M167" s="8">
        <f t="shared" si="321"/>
        <v>44.9672764218862</v>
      </c>
      <c r="N167" s="8">
        <f t="shared" si="321"/>
        <v>23.557080975522</v>
      </c>
      <c r="O167" s="8">
        <f t="shared" si="321"/>
        <v>15.8899430201584</v>
      </c>
      <c r="P167" s="34">
        <v>419.476458136789</v>
      </c>
      <c r="Q167" s="8">
        <f>AB167/AO167</f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22">AJ159</f>
        <v>1</v>
      </c>
      <c r="AK167">
        <f t="shared" si="322"/>
        <v>1</v>
      </c>
      <c r="AL167">
        <f t="shared" si="322"/>
        <v>1</v>
      </c>
      <c r="AM167">
        <f t="shared" si="322"/>
        <v>1</v>
      </c>
      <c r="AN167">
        <f t="shared" si="322"/>
        <v>1</v>
      </c>
      <c r="AO167">
        <f t="shared" si="322"/>
        <v>1</v>
      </c>
      <c r="AP167">
        <f t="shared" si="322"/>
        <v>1</v>
      </c>
    </row>
    <row r="168" ht="16" spans="4:42">
      <c r="D168" s="25"/>
      <c r="F168" s="8" t="s">
        <v>83</v>
      </c>
      <c r="G168" s="11" t="str">
        <f t="shared" si="278"/>
        <v>ACT_BND</v>
      </c>
      <c r="H168" t="str">
        <f t="shared" si="279"/>
        <v>UP</v>
      </c>
      <c r="J168" s="10">
        <v>2039</v>
      </c>
      <c r="K168" s="10" t="str">
        <f t="shared" si="280"/>
        <v>ELCSOL00</v>
      </c>
      <c r="L168" s="8">
        <f t="shared" ref="L168:R168" si="323">W168/AJ168</f>
        <v>79.4343396688265</v>
      </c>
      <c r="M168" s="8">
        <f t="shared" si="323"/>
        <v>26.5453673640461</v>
      </c>
      <c r="N168" s="8">
        <f t="shared" si="323"/>
        <v>6.15857278257739</v>
      </c>
      <c r="O168" s="8">
        <f t="shared" si="323"/>
        <v>0.667506980561555</v>
      </c>
      <c r="P168" s="8">
        <f t="shared" si="323"/>
        <v>41.9822476961843</v>
      </c>
      <c r="Q168" s="8">
        <f t="shared" si="323"/>
        <v>2.8783374575234</v>
      </c>
      <c r="R168" s="8">
        <f t="shared" si="323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24">AJ160</f>
        <v>1</v>
      </c>
      <c r="AK168">
        <f t="shared" si="324"/>
        <v>1</v>
      </c>
      <c r="AL168">
        <f t="shared" si="324"/>
        <v>1</v>
      </c>
      <c r="AM168">
        <f t="shared" si="324"/>
        <v>1</v>
      </c>
      <c r="AN168">
        <f t="shared" si="324"/>
        <v>1</v>
      </c>
      <c r="AO168">
        <f t="shared" si="324"/>
        <v>1</v>
      </c>
      <c r="AP168">
        <f t="shared" si="324"/>
        <v>1</v>
      </c>
    </row>
    <row r="169" ht="16" spans="4:42">
      <c r="D169" s="25"/>
      <c r="F169" s="8" t="s">
        <v>83</v>
      </c>
      <c r="G169" s="11" t="str">
        <f t="shared" si="278"/>
        <v>ACT_BND</v>
      </c>
      <c r="H169" t="str">
        <f t="shared" si="279"/>
        <v>UP</v>
      </c>
      <c r="J169" s="10">
        <v>2039</v>
      </c>
      <c r="K169" s="10" t="str">
        <f t="shared" si="280"/>
        <v>ELCWIN00</v>
      </c>
      <c r="L169" s="8">
        <f t="shared" ref="L169:R169" si="325">W169/AJ169</f>
        <v>176.751875305976</v>
      </c>
      <c r="M169" s="8">
        <f t="shared" si="325"/>
        <v>54.3102874318574</v>
      </c>
      <c r="N169" s="8">
        <f t="shared" si="325"/>
        <v>48.4077875809935</v>
      </c>
      <c r="O169" s="8">
        <f t="shared" si="325"/>
        <v>4.98148225341973</v>
      </c>
      <c r="P169" s="8">
        <f t="shared" si="325"/>
        <v>306.576707631389</v>
      </c>
      <c r="Q169" s="8">
        <f t="shared" si="325"/>
        <v>64.223728437725</v>
      </c>
      <c r="R169" s="8">
        <f t="shared" si="325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26">AJ161</f>
        <v>1</v>
      </c>
      <c r="AK169">
        <f t="shared" si="326"/>
        <v>1</v>
      </c>
      <c r="AL169">
        <f t="shared" si="326"/>
        <v>1</v>
      </c>
      <c r="AM169">
        <f t="shared" si="326"/>
        <v>1</v>
      </c>
      <c r="AN169">
        <f t="shared" si="326"/>
        <v>1</v>
      </c>
      <c r="AO169">
        <f t="shared" si="326"/>
        <v>1</v>
      </c>
      <c r="AP169">
        <f t="shared" si="326"/>
        <v>1</v>
      </c>
    </row>
    <row r="170" ht="16" spans="4:42">
      <c r="D170" s="25"/>
      <c r="F170" s="8" t="s">
        <v>83</v>
      </c>
      <c r="G170" s="11" t="str">
        <f t="shared" si="278"/>
        <v>ACT_BND</v>
      </c>
      <c r="H170" t="str">
        <f t="shared" si="279"/>
        <v>UP</v>
      </c>
      <c r="J170" s="10">
        <v>2039</v>
      </c>
      <c r="K170" s="10" t="str">
        <f t="shared" si="280"/>
        <v>ELCWOO00</v>
      </c>
      <c r="L170" s="8">
        <f t="shared" ref="L170:R170" si="327">W170/AJ170</f>
        <v>116.640598272138</v>
      </c>
      <c r="M170" s="8">
        <f t="shared" si="327"/>
        <v>36.0352793324797</v>
      </c>
      <c r="N170" s="8">
        <f t="shared" si="327"/>
        <v>89.740439247146</v>
      </c>
      <c r="O170" s="8">
        <f t="shared" si="327"/>
        <v>0.546105487401009</v>
      </c>
      <c r="P170" s="8">
        <f t="shared" si="327"/>
        <v>28.3952090095649</v>
      </c>
      <c r="Q170" s="8">
        <f t="shared" si="327"/>
        <v>16.8775035894271</v>
      </c>
      <c r="R170" s="8">
        <f t="shared" si="32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28">AJ162</f>
        <v>0.35</v>
      </c>
      <c r="AK170">
        <f t="shared" si="328"/>
        <v>0.35</v>
      </c>
      <c r="AL170">
        <f t="shared" si="328"/>
        <v>0.35</v>
      </c>
      <c r="AM170">
        <f t="shared" si="328"/>
        <v>0.35</v>
      </c>
      <c r="AN170">
        <f t="shared" si="328"/>
        <v>0.35</v>
      </c>
      <c r="AO170">
        <f t="shared" si="328"/>
        <v>0.35</v>
      </c>
      <c r="AP170">
        <f t="shared" si="328"/>
        <v>0.35</v>
      </c>
    </row>
    <row r="171" ht="16" spans="4:42">
      <c r="D171" s="25"/>
      <c r="F171" s="8" t="s">
        <v>83</v>
      </c>
      <c r="G171" s="11" t="str">
        <f t="shared" si="278"/>
        <v>ACT_BND</v>
      </c>
      <c r="H171" t="str">
        <f t="shared" si="279"/>
        <v>UP</v>
      </c>
      <c r="J171" s="10">
        <v>2040</v>
      </c>
      <c r="K171" s="10" t="str">
        <f t="shared" si="280"/>
        <v>ELCCOH00</v>
      </c>
      <c r="L171" s="8">
        <f t="shared" ref="L171:R171" si="329">W171/AJ171*1.1</f>
        <v>0</v>
      </c>
      <c r="M171" s="8">
        <f t="shared" si="329"/>
        <v>0</v>
      </c>
      <c r="N171" s="8">
        <f t="shared" si="329"/>
        <v>0</v>
      </c>
      <c r="O171" s="8">
        <f t="shared" si="329"/>
        <v>0</v>
      </c>
      <c r="P171" s="8">
        <f t="shared" si="329"/>
        <v>0</v>
      </c>
      <c r="Q171" s="8">
        <f t="shared" si="329"/>
        <v>0</v>
      </c>
      <c r="R171" s="8">
        <f t="shared" si="329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30">AJ163</f>
        <v>0.38</v>
      </c>
      <c r="AK171">
        <f t="shared" si="330"/>
        <v>0.38</v>
      </c>
      <c r="AL171">
        <f t="shared" si="330"/>
        <v>0.38</v>
      </c>
      <c r="AM171">
        <f t="shared" si="330"/>
        <v>0.38</v>
      </c>
      <c r="AN171">
        <f t="shared" si="330"/>
        <v>0.38</v>
      </c>
      <c r="AO171">
        <f t="shared" si="330"/>
        <v>0.38</v>
      </c>
      <c r="AP171">
        <f t="shared" si="330"/>
        <v>0.38</v>
      </c>
    </row>
    <row r="172" ht="16" spans="4:42">
      <c r="D172" s="25"/>
      <c r="F172" s="8" t="s">
        <v>83</v>
      </c>
      <c r="G172" s="11" t="str">
        <f t="shared" si="278"/>
        <v>ACT_BND</v>
      </c>
      <c r="H172" t="str">
        <f t="shared" si="279"/>
        <v>UP</v>
      </c>
      <c r="J172" s="10">
        <v>2040</v>
      </c>
      <c r="K172" s="10" t="str">
        <f t="shared" si="280"/>
        <v>ELCGAS00</v>
      </c>
      <c r="L172" s="8">
        <f t="shared" ref="L172:R172" si="331">W172/AJ172*1.1</f>
        <v>233.107084647228</v>
      </c>
      <c r="M172" s="8">
        <f t="shared" si="331"/>
        <v>8.83971427111231</v>
      </c>
      <c r="N172" s="8">
        <f t="shared" si="331"/>
        <v>26.1615318889489</v>
      </c>
      <c r="O172" s="8">
        <f t="shared" si="331"/>
        <v>0</v>
      </c>
      <c r="P172" s="8">
        <f t="shared" si="331"/>
        <v>133.866416090713</v>
      </c>
      <c r="Q172" s="8">
        <f t="shared" si="331"/>
        <v>0</v>
      </c>
      <c r="R172" s="8">
        <f t="shared" si="331"/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32">AJ164</f>
        <v>0.4</v>
      </c>
      <c r="AK172">
        <f t="shared" si="332"/>
        <v>0.4</v>
      </c>
      <c r="AL172">
        <f t="shared" si="332"/>
        <v>0.4</v>
      </c>
      <c r="AM172">
        <f t="shared" si="332"/>
        <v>0.4</v>
      </c>
      <c r="AN172">
        <f t="shared" si="332"/>
        <v>0.4</v>
      </c>
      <c r="AO172">
        <f t="shared" si="332"/>
        <v>0.4</v>
      </c>
      <c r="AP172">
        <f t="shared" si="332"/>
        <v>0.4</v>
      </c>
    </row>
    <row r="173" ht="16" spans="4:42">
      <c r="D173" s="25"/>
      <c r="F173" s="8" t="s">
        <v>83</v>
      </c>
      <c r="G173" s="11" t="str">
        <f t="shared" si="278"/>
        <v>ACT_BND</v>
      </c>
      <c r="H173" t="str">
        <f t="shared" si="279"/>
        <v>UP</v>
      </c>
      <c r="J173" s="10">
        <v>2040</v>
      </c>
      <c r="K173" s="10" t="str">
        <f t="shared" si="280"/>
        <v>ELCHFO00</v>
      </c>
      <c r="L173" s="8">
        <f t="shared" ref="L173:R173" si="333">W173/AJ173*1.1</f>
        <v>0</v>
      </c>
      <c r="M173" s="8">
        <f t="shared" si="333"/>
        <v>0.88938896660907</v>
      </c>
      <c r="N173" s="8">
        <f t="shared" si="333"/>
        <v>0</v>
      </c>
      <c r="O173" s="8">
        <f t="shared" si="333"/>
        <v>0</v>
      </c>
      <c r="P173" s="8">
        <f t="shared" si="333"/>
        <v>0</v>
      </c>
      <c r="Q173" s="8">
        <f t="shared" si="333"/>
        <v>4.31974828833695</v>
      </c>
      <c r="R173" s="8">
        <f t="shared" si="333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34">AJ165</f>
        <v>0.3</v>
      </c>
      <c r="AK173">
        <f t="shared" si="334"/>
        <v>0.3</v>
      </c>
      <c r="AL173">
        <f t="shared" si="334"/>
        <v>0.3</v>
      </c>
      <c r="AM173">
        <f t="shared" si="334"/>
        <v>0.3</v>
      </c>
      <c r="AN173">
        <f t="shared" si="334"/>
        <v>0.3</v>
      </c>
      <c r="AO173">
        <f t="shared" si="334"/>
        <v>0.3</v>
      </c>
      <c r="AP173">
        <f t="shared" si="334"/>
        <v>0.3</v>
      </c>
    </row>
    <row r="174" ht="16" spans="4:42">
      <c r="D174" s="25"/>
      <c r="F174" s="8" t="s">
        <v>83</v>
      </c>
      <c r="G174" s="11" t="str">
        <f t="shared" si="278"/>
        <v>ACT_BND</v>
      </c>
      <c r="H174" t="str">
        <f t="shared" si="279"/>
        <v>UP</v>
      </c>
      <c r="J174" s="10">
        <v>2040</v>
      </c>
      <c r="K174" s="10" t="str">
        <f t="shared" si="280"/>
        <v>ELCHYD00</v>
      </c>
      <c r="L174" s="8">
        <f t="shared" ref="L174:R174" si="335">W174/AJ174*1.1</f>
        <v>5.50668454944223</v>
      </c>
      <c r="M174" s="8">
        <f t="shared" si="335"/>
        <v>251.991895132633</v>
      </c>
      <c r="N174" s="8">
        <f t="shared" si="335"/>
        <v>16.8813014680887</v>
      </c>
      <c r="O174" s="8">
        <f t="shared" si="335"/>
        <v>204.552307044302</v>
      </c>
      <c r="P174" s="8">
        <f t="shared" si="335"/>
        <v>173.197559873974</v>
      </c>
      <c r="Q174" s="8">
        <f t="shared" si="335"/>
        <v>1075.74048473648</v>
      </c>
      <c r="R174" s="8">
        <f t="shared" si="335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36">AJ166</f>
        <v>0.97</v>
      </c>
      <c r="AK174">
        <f t="shared" si="336"/>
        <v>0.97</v>
      </c>
      <c r="AL174">
        <f t="shared" si="336"/>
        <v>0.97</v>
      </c>
      <c r="AM174">
        <f t="shared" si="336"/>
        <v>0.97</v>
      </c>
      <c r="AN174">
        <f t="shared" si="336"/>
        <v>0.97</v>
      </c>
      <c r="AO174">
        <f t="shared" si="336"/>
        <v>0.97</v>
      </c>
      <c r="AP174">
        <f t="shared" si="336"/>
        <v>0.97</v>
      </c>
    </row>
    <row r="175" ht="16" spans="4:42">
      <c r="D175" s="25"/>
      <c r="F175" s="8" t="s">
        <v>83</v>
      </c>
      <c r="G175" s="11" t="str">
        <f t="shared" si="278"/>
        <v>ACT_BND</v>
      </c>
      <c r="H175" t="str">
        <f t="shared" si="279"/>
        <v>UP</v>
      </c>
      <c r="J175" s="10">
        <v>2040</v>
      </c>
      <c r="K175" s="10" t="str">
        <f t="shared" si="280"/>
        <v>ENCAN01_SMR</v>
      </c>
      <c r="L175" s="8">
        <f t="shared" ref="L175:O175" si="337">W175/AJ175</f>
        <v>0.773170108711303</v>
      </c>
      <c r="M175" s="8">
        <f t="shared" si="337"/>
        <v>50.6591033477322</v>
      </c>
      <c r="N175" s="8">
        <f t="shared" si="337"/>
        <v>25.1014059647228</v>
      </c>
      <c r="O175" s="8">
        <f t="shared" si="337"/>
        <v>20.0714783801296</v>
      </c>
      <c r="P175" s="34">
        <v>469.36069787761</v>
      </c>
      <c r="Q175" s="8">
        <f>AB175/AO175</f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38">AJ167</f>
        <v>1</v>
      </c>
      <c r="AK175">
        <f t="shared" si="338"/>
        <v>1</v>
      </c>
      <c r="AL175">
        <f t="shared" si="338"/>
        <v>1</v>
      </c>
      <c r="AM175">
        <f t="shared" si="338"/>
        <v>1</v>
      </c>
      <c r="AN175">
        <f t="shared" si="338"/>
        <v>1</v>
      </c>
      <c r="AO175">
        <f t="shared" si="338"/>
        <v>1</v>
      </c>
      <c r="AP175">
        <f t="shared" si="338"/>
        <v>1</v>
      </c>
    </row>
    <row r="176" ht="16" spans="4:42">
      <c r="D176" s="25"/>
      <c r="F176" s="8" t="s">
        <v>83</v>
      </c>
      <c r="G176" s="11" t="str">
        <f t="shared" si="278"/>
        <v>ACT_BND</v>
      </c>
      <c r="H176" t="str">
        <f t="shared" si="279"/>
        <v>UP</v>
      </c>
      <c r="J176" s="10">
        <v>2040</v>
      </c>
      <c r="K176" s="10" t="str">
        <f t="shared" si="280"/>
        <v>ELCSOL00</v>
      </c>
      <c r="L176" s="8">
        <f t="shared" ref="L176:R176" si="339">W176/AJ176*1.1</f>
        <v>88.3551617278617</v>
      </c>
      <c r="M176" s="8">
        <f t="shared" si="339"/>
        <v>30.3321429289129</v>
      </c>
      <c r="N176" s="8">
        <f t="shared" si="339"/>
        <v>6.83968245284377</v>
      </c>
      <c r="O176" s="8">
        <f t="shared" si="339"/>
        <v>0.74606924262059</v>
      </c>
      <c r="P176" s="8">
        <f t="shared" si="339"/>
        <v>46.4867724550037</v>
      </c>
      <c r="Q176" s="8">
        <f t="shared" si="339"/>
        <v>3.33923143704104</v>
      </c>
      <c r="R176" s="8">
        <f t="shared" si="339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40">AJ168</f>
        <v>1</v>
      </c>
      <c r="AK176">
        <f t="shared" si="340"/>
        <v>1</v>
      </c>
      <c r="AL176">
        <f t="shared" si="340"/>
        <v>1</v>
      </c>
      <c r="AM176">
        <f t="shared" si="340"/>
        <v>1</v>
      </c>
      <c r="AN176">
        <f t="shared" si="340"/>
        <v>1</v>
      </c>
      <c r="AO176">
        <f t="shared" si="340"/>
        <v>1</v>
      </c>
      <c r="AP176">
        <f t="shared" si="340"/>
        <v>1</v>
      </c>
    </row>
    <row r="177" ht="16" spans="4:42">
      <c r="D177" s="25"/>
      <c r="F177" s="8" t="s">
        <v>83</v>
      </c>
      <c r="G177" s="11" t="str">
        <f t="shared" si="278"/>
        <v>ACT_BND</v>
      </c>
      <c r="H177" t="str">
        <f t="shared" si="279"/>
        <v>UP</v>
      </c>
      <c r="J177" s="10">
        <v>2040</v>
      </c>
      <c r="K177" s="10" t="str">
        <f t="shared" si="280"/>
        <v>ELCWIN00</v>
      </c>
      <c r="L177" s="8">
        <f t="shared" ref="L177:R177" si="341">W177/AJ177*1.1</f>
        <v>194.32156163067</v>
      </c>
      <c r="M177" s="8">
        <f t="shared" si="341"/>
        <v>66.5903796320087</v>
      </c>
      <c r="N177" s="8">
        <f t="shared" si="341"/>
        <v>53.3505144420446</v>
      </c>
      <c r="O177" s="8">
        <f t="shared" si="341"/>
        <v>5.52939807019438</v>
      </c>
      <c r="P177" s="8">
        <f t="shared" si="341"/>
        <v>355.471013808495</v>
      </c>
      <c r="Q177" s="8">
        <f t="shared" si="341"/>
        <v>72.8565300971923</v>
      </c>
      <c r="R177" s="8">
        <f t="shared" si="341"/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42">AJ169</f>
        <v>1</v>
      </c>
      <c r="AK177">
        <f t="shared" si="342"/>
        <v>1</v>
      </c>
      <c r="AL177">
        <f t="shared" si="342"/>
        <v>1</v>
      </c>
      <c r="AM177">
        <f t="shared" si="342"/>
        <v>1</v>
      </c>
      <c r="AN177">
        <f t="shared" si="342"/>
        <v>1</v>
      </c>
      <c r="AO177">
        <f t="shared" si="342"/>
        <v>1</v>
      </c>
      <c r="AP177">
        <f t="shared" si="342"/>
        <v>1</v>
      </c>
    </row>
    <row r="178" ht="16" spans="4:42">
      <c r="D178" s="25"/>
      <c r="F178" s="8" t="s">
        <v>83</v>
      </c>
      <c r="G178" s="11" t="str">
        <f t="shared" si="278"/>
        <v>ACT_BND</v>
      </c>
      <c r="H178" t="str">
        <f t="shared" si="279"/>
        <v>UP</v>
      </c>
      <c r="J178" s="10">
        <v>2040</v>
      </c>
      <c r="K178" s="10" t="str">
        <f t="shared" si="280"/>
        <v>ELCWOO00</v>
      </c>
      <c r="L178" s="8">
        <f t="shared" ref="L178:R178" si="343">W178/AJ178*1.1</f>
        <v>140.841014172581</v>
      </c>
      <c r="M178" s="8">
        <f t="shared" si="343"/>
        <v>38.1585338261317</v>
      </c>
      <c r="N178" s="8">
        <f t="shared" si="343"/>
        <v>110.499015560012</v>
      </c>
      <c r="O178" s="8">
        <f t="shared" si="343"/>
        <v>0.579765663087525</v>
      </c>
      <c r="P178" s="8">
        <f t="shared" si="343"/>
        <v>32.923885204155</v>
      </c>
      <c r="Q178" s="8">
        <f t="shared" si="343"/>
        <v>18.6779749295485</v>
      </c>
      <c r="R178" s="8">
        <f t="shared" si="343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44">AJ170</f>
        <v>0.35</v>
      </c>
      <c r="AK178">
        <f t="shared" si="344"/>
        <v>0.35</v>
      </c>
      <c r="AL178">
        <f t="shared" si="344"/>
        <v>0.35</v>
      </c>
      <c r="AM178">
        <f t="shared" si="344"/>
        <v>0.35</v>
      </c>
      <c r="AN178">
        <f t="shared" si="344"/>
        <v>0.35</v>
      </c>
      <c r="AO178">
        <f t="shared" si="344"/>
        <v>0.35</v>
      </c>
      <c r="AP178">
        <f t="shared" si="344"/>
        <v>0.35</v>
      </c>
    </row>
    <row r="179" ht="16" spans="4:42">
      <c r="D179" s="25"/>
      <c r="F179" s="8" t="s">
        <v>83</v>
      </c>
      <c r="G179" s="11" t="str">
        <f t="shared" si="278"/>
        <v>ACT_BND</v>
      </c>
      <c r="H179" t="str">
        <f t="shared" si="279"/>
        <v>UP</v>
      </c>
      <c r="J179" s="10">
        <v>2041</v>
      </c>
      <c r="K179" s="10" t="str">
        <f t="shared" si="280"/>
        <v>ELCCOH00</v>
      </c>
      <c r="L179" s="8">
        <f t="shared" ref="L179:R179" si="345">W179/AJ179*1.1</f>
        <v>0</v>
      </c>
      <c r="M179" s="8">
        <f t="shared" si="345"/>
        <v>0</v>
      </c>
      <c r="N179" s="8">
        <f t="shared" si="345"/>
        <v>0</v>
      </c>
      <c r="O179" s="8">
        <f t="shared" si="345"/>
        <v>0</v>
      </c>
      <c r="P179" s="8">
        <f t="shared" si="345"/>
        <v>0</v>
      </c>
      <c r="Q179" s="8">
        <f t="shared" si="345"/>
        <v>0</v>
      </c>
      <c r="R179" s="8">
        <f t="shared" si="345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46">AJ171</f>
        <v>0.38</v>
      </c>
      <c r="AK179">
        <f t="shared" si="346"/>
        <v>0.38</v>
      </c>
      <c r="AL179">
        <f t="shared" si="346"/>
        <v>0.38</v>
      </c>
      <c r="AM179">
        <f t="shared" si="346"/>
        <v>0.38</v>
      </c>
      <c r="AN179">
        <f t="shared" si="346"/>
        <v>0.38</v>
      </c>
      <c r="AO179">
        <f t="shared" si="346"/>
        <v>0.38</v>
      </c>
      <c r="AP179">
        <f t="shared" si="346"/>
        <v>0.38</v>
      </c>
    </row>
    <row r="180" ht="16" spans="4:42">
      <c r="D180" s="25"/>
      <c r="F180" s="8" t="s">
        <v>83</v>
      </c>
      <c r="G180" s="11" t="str">
        <f t="shared" si="278"/>
        <v>ACT_BND</v>
      </c>
      <c r="H180" t="str">
        <f t="shared" si="279"/>
        <v>UP</v>
      </c>
      <c r="J180" s="10">
        <v>2041</v>
      </c>
      <c r="K180" s="10" t="str">
        <f t="shared" si="280"/>
        <v>ELCGAS00</v>
      </c>
      <c r="L180" s="8">
        <f t="shared" ref="L180:R180" si="347">W180/AJ180*1.1</f>
        <v>225.984269555436</v>
      </c>
      <c r="M180" s="8">
        <f t="shared" si="347"/>
        <v>14.0463343962563</v>
      </c>
      <c r="N180" s="8">
        <f t="shared" si="347"/>
        <v>26.4792926367891</v>
      </c>
      <c r="O180" s="8">
        <f t="shared" si="347"/>
        <v>0</v>
      </c>
      <c r="P180" s="8">
        <f t="shared" si="347"/>
        <v>168.380821589273</v>
      </c>
      <c r="Q180" s="8">
        <f t="shared" si="347"/>
        <v>0</v>
      </c>
      <c r="R180" s="8">
        <f t="shared" si="347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48">AJ172</f>
        <v>0.4</v>
      </c>
      <c r="AK180">
        <f t="shared" si="348"/>
        <v>0.4</v>
      </c>
      <c r="AL180">
        <f t="shared" si="348"/>
        <v>0.4</v>
      </c>
      <c r="AM180">
        <f t="shared" si="348"/>
        <v>0.4</v>
      </c>
      <c r="AN180">
        <f t="shared" si="348"/>
        <v>0.4</v>
      </c>
      <c r="AO180">
        <f t="shared" si="348"/>
        <v>0.4</v>
      </c>
      <c r="AP180">
        <f t="shared" si="348"/>
        <v>0.4</v>
      </c>
    </row>
    <row r="181" ht="16" spans="4:42">
      <c r="D181" s="25"/>
      <c r="F181" s="8" t="s">
        <v>83</v>
      </c>
      <c r="G181" s="11" t="str">
        <f t="shared" si="278"/>
        <v>ACT_BND</v>
      </c>
      <c r="H181" t="str">
        <f t="shared" si="279"/>
        <v>UP</v>
      </c>
      <c r="J181" s="10">
        <v>2041</v>
      </c>
      <c r="K181" s="10" t="str">
        <f t="shared" si="280"/>
        <v>ELCHFO00</v>
      </c>
      <c r="L181" s="8">
        <f t="shared" ref="L181:R181" si="349">W181/AJ181*1.1</f>
        <v>0</v>
      </c>
      <c r="M181" s="8">
        <f t="shared" si="349"/>
        <v>0.9498373862443</v>
      </c>
      <c r="N181" s="8">
        <f t="shared" si="349"/>
        <v>0</v>
      </c>
      <c r="O181" s="8">
        <f t="shared" si="349"/>
        <v>0</v>
      </c>
      <c r="P181" s="8">
        <f t="shared" si="349"/>
        <v>0</v>
      </c>
      <c r="Q181" s="8">
        <f t="shared" si="349"/>
        <v>4.24741810379168</v>
      </c>
      <c r="R181" s="8">
        <f t="shared" si="34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50">AJ173</f>
        <v>0.3</v>
      </c>
      <c r="AK181">
        <f t="shared" si="350"/>
        <v>0.3</v>
      </c>
      <c r="AL181">
        <f t="shared" si="350"/>
        <v>0.3</v>
      </c>
      <c r="AM181">
        <f t="shared" si="350"/>
        <v>0.3</v>
      </c>
      <c r="AN181">
        <f t="shared" si="350"/>
        <v>0.3</v>
      </c>
      <c r="AO181">
        <f t="shared" si="350"/>
        <v>0.3</v>
      </c>
      <c r="AP181">
        <f t="shared" si="350"/>
        <v>0.3</v>
      </c>
    </row>
    <row r="182" ht="16" spans="4:42">
      <c r="D182" s="25"/>
      <c r="F182" s="8" t="s">
        <v>83</v>
      </c>
      <c r="G182" s="11" t="str">
        <f t="shared" si="278"/>
        <v>ACT_BND</v>
      </c>
      <c r="H182" t="str">
        <f t="shared" si="279"/>
        <v>UP</v>
      </c>
      <c r="J182" s="10">
        <v>2041</v>
      </c>
      <c r="K182" s="10" t="str">
        <f t="shared" si="280"/>
        <v>ELCHYD00</v>
      </c>
      <c r="L182" s="8">
        <f t="shared" ref="L182:R182" si="351">W182/AJ182*1.1</f>
        <v>5.37206955014732</v>
      </c>
      <c r="M182" s="8">
        <f t="shared" si="351"/>
        <v>252.716624827065</v>
      </c>
      <c r="N182" s="8">
        <f t="shared" si="351"/>
        <v>16.8993515616071</v>
      </c>
      <c r="O182" s="8">
        <f t="shared" si="351"/>
        <v>204.578389110314</v>
      </c>
      <c r="P182" s="8">
        <f t="shared" si="351"/>
        <v>172.752641090156</v>
      </c>
      <c r="Q182" s="8">
        <f t="shared" si="351"/>
        <v>1076.76056771541</v>
      </c>
      <c r="R182" s="8">
        <f t="shared" si="351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52">AJ174</f>
        <v>0.97</v>
      </c>
      <c r="AK182">
        <f t="shared" si="352"/>
        <v>0.97</v>
      </c>
      <c r="AL182">
        <f t="shared" si="352"/>
        <v>0.97</v>
      </c>
      <c r="AM182">
        <f t="shared" si="352"/>
        <v>0.97</v>
      </c>
      <c r="AN182">
        <f t="shared" si="352"/>
        <v>0.97</v>
      </c>
      <c r="AO182">
        <f t="shared" si="352"/>
        <v>0.97</v>
      </c>
      <c r="AP182">
        <f t="shared" si="352"/>
        <v>0.97</v>
      </c>
    </row>
    <row r="183" ht="16" spans="4:42">
      <c r="D183" s="25"/>
      <c r="F183" s="8" t="s">
        <v>83</v>
      </c>
      <c r="G183" s="11" t="str">
        <f t="shared" si="278"/>
        <v>ACT_BND</v>
      </c>
      <c r="H183" t="str">
        <f t="shared" si="279"/>
        <v>UP</v>
      </c>
      <c r="J183" s="10">
        <v>2041</v>
      </c>
      <c r="K183" s="10" t="str">
        <f t="shared" si="280"/>
        <v>ENCAN01_SMR</v>
      </c>
      <c r="L183" s="8">
        <f t="shared" ref="L183:O183" si="353">W183/AJ183</f>
        <v>5.16298912167027</v>
      </c>
      <c r="M183" s="8">
        <f t="shared" si="353"/>
        <v>50.5417012958963</v>
      </c>
      <c r="N183" s="8">
        <f t="shared" si="353"/>
        <v>24.8509117962563</v>
      </c>
      <c r="O183" s="8">
        <f t="shared" si="353"/>
        <v>23.5346820014399</v>
      </c>
      <c r="P183" s="34">
        <v>476.373389022318</v>
      </c>
      <c r="Q183" s="8">
        <f>AB183/AO183</f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54">AJ175</f>
        <v>1</v>
      </c>
      <c r="AK183">
        <f t="shared" si="354"/>
        <v>1</v>
      </c>
      <c r="AL183">
        <f t="shared" si="354"/>
        <v>1</v>
      </c>
      <c r="AM183">
        <f t="shared" si="354"/>
        <v>1</v>
      </c>
      <c r="AN183">
        <f t="shared" si="354"/>
        <v>1</v>
      </c>
      <c r="AO183">
        <f t="shared" si="354"/>
        <v>1</v>
      </c>
      <c r="AP183">
        <f t="shared" si="354"/>
        <v>1</v>
      </c>
    </row>
    <row r="184" ht="16" spans="4:42">
      <c r="D184" s="25"/>
      <c r="F184" s="8" t="s">
        <v>83</v>
      </c>
      <c r="G184" s="11" t="str">
        <f t="shared" si="278"/>
        <v>ACT_BND</v>
      </c>
      <c r="H184" t="str">
        <f t="shared" si="279"/>
        <v>UP</v>
      </c>
      <c r="J184" s="10">
        <v>2041</v>
      </c>
      <c r="K184" s="10" t="str">
        <f t="shared" si="280"/>
        <v>ELCSOL00</v>
      </c>
      <c r="L184" s="8">
        <f t="shared" ref="L184:R184" si="355">W184/AJ184*1.1</f>
        <v>90.7559198452124</v>
      </c>
      <c r="M184" s="8">
        <f t="shared" si="355"/>
        <v>33.5407443938193</v>
      </c>
      <c r="N184" s="8">
        <f t="shared" si="355"/>
        <v>7.18266946940245</v>
      </c>
      <c r="O184" s="8">
        <f t="shared" si="355"/>
        <v>0.861657276277898</v>
      </c>
      <c r="P184" s="8">
        <f t="shared" si="355"/>
        <v>50.753745313175</v>
      </c>
      <c r="Q184" s="8">
        <f t="shared" si="355"/>
        <v>3.83615595</v>
      </c>
      <c r="R184" s="8">
        <f t="shared" si="355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56">AJ176</f>
        <v>1</v>
      </c>
      <c r="AK184">
        <f t="shared" si="356"/>
        <v>1</v>
      </c>
      <c r="AL184">
        <f t="shared" si="356"/>
        <v>1</v>
      </c>
      <c r="AM184">
        <f t="shared" si="356"/>
        <v>1</v>
      </c>
      <c r="AN184">
        <f t="shared" si="356"/>
        <v>1</v>
      </c>
      <c r="AO184">
        <f t="shared" si="356"/>
        <v>1</v>
      </c>
      <c r="AP184">
        <f t="shared" si="356"/>
        <v>1</v>
      </c>
    </row>
    <row r="185" ht="16" spans="4:42">
      <c r="D185" s="25"/>
      <c r="F185" s="8" t="s">
        <v>83</v>
      </c>
      <c r="G185" s="11" t="str">
        <f t="shared" si="278"/>
        <v>ACT_BND</v>
      </c>
      <c r="H185" t="str">
        <f t="shared" si="279"/>
        <v>UP</v>
      </c>
      <c r="J185" s="10">
        <v>2041</v>
      </c>
      <c r="K185" s="10" t="str">
        <f t="shared" si="280"/>
        <v>ELCWIN00</v>
      </c>
      <c r="L185" s="8">
        <f t="shared" ref="L185:R185" si="357">W185/AJ185*1.1</f>
        <v>195.135311933045</v>
      </c>
      <c r="M185" s="8">
        <f t="shared" si="357"/>
        <v>70.9481273569906</v>
      </c>
      <c r="N185" s="8">
        <f t="shared" si="357"/>
        <v>55.2087157343413</v>
      </c>
      <c r="O185" s="8">
        <f t="shared" si="357"/>
        <v>5.57691339776817</v>
      </c>
      <c r="P185" s="8">
        <f t="shared" si="357"/>
        <v>417.63760424766</v>
      </c>
      <c r="Q185" s="8">
        <f t="shared" si="357"/>
        <v>72.8565300971923</v>
      </c>
      <c r="R185" s="8">
        <f t="shared" si="357"/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58">AJ177</f>
        <v>1</v>
      </c>
      <c r="AK185">
        <f t="shared" si="358"/>
        <v>1</v>
      </c>
      <c r="AL185">
        <f t="shared" si="358"/>
        <v>1</v>
      </c>
      <c r="AM185">
        <f t="shared" si="358"/>
        <v>1</v>
      </c>
      <c r="AN185">
        <f t="shared" si="358"/>
        <v>1</v>
      </c>
      <c r="AO185">
        <f t="shared" si="358"/>
        <v>1</v>
      </c>
      <c r="AP185">
        <f t="shared" si="358"/>
        <v>1</v>
      </c>
    </row>
    <row r="186" ht="16" spans="4:42">
      <c r="D186" s="25"/>
      <c r="F186" s="8" t="s">
        <v>83</v>
      </c>
      <c r="G186" s="11" t="str">
        <f t="shared" si="278"/>
        <v>ACT_BND</v>
      </c>
      <c r="H186" t="str">
        <f t="shared" si="279"/>
        <v>UP</v>
      </c>
      <c r="J186" s="10">
        <v>2041</v>
      </c>
      <c r="K186" s="10" t="str">
        <f t="shared" si="280"/>
        <v>ELCWOO00</v>
      </c>
      <c r="L186" s="8">
        <f t="shared" ref="L186:R186" si="359">W186/AJ186*1.1</f>
        <v>155.83230754911</v>
      </c>
      <c r="M186" s="8">
        <f t="shared" si="359"/>
        <v>41.3481921405636</v>
      </c>
      <c r="N186" s="8">
        <f t="shared" si="359"/>
        <v>122.393189879667</v>
      </c>
      <c r="O186" s="8">
        <f t="shared" si="359"/>
        <v>0.6500403292708</v>
      </c>
      <c r="P186" s="8">
        <f t="shared" si="359"/>
        <v>36.592403984367</v>
      </c>
      <c r="Q186" s="8">
        <f t="shared" si="359"/>
        <v>18.8096801481024</v>
      </c>
      <c r="R186" s="8">
        <f t="shared" si="359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60">AJ178</f>
        <v>0.35</v>
      </c>
      <c r="AK186">
        <f t="shared" si="360"/>
        <v>0.35</v>
      </c>
      <c r="AL186">
        <f t="shared" si="360"/>
        <v>0.35</v>
      </c>
      <c r="AM186">
        <f t="shared" si="360"/>
        <v>0.35</v>
      </c>
      <c r="AN186">
        <f t="shared" si="360"/>
        <v>0.35</v>
      </c>
      <c r="AO186">
        <f t="shared" si="360"/>
        <v>0.35</v>
      </c>
      <c r="AP186">
        <f t="shared" si="360"/>
        <v>0.35</v>
      </c>
    </row>
    <row r="187" ht="16" spans="4:42">
      <c r="D187" s="25"/>
      <c r="F187" s="8" t="s">
        <v>83</v>
      </c>
      <c r="G187" s="11" t="str">
        <f t="shared" si="278"/>
        <v>ACT_BND</v>
      </c>
      <c r="H187" t="str">
        <f t="shared" si="279"/>
        <v>UP</v>
      </c>
      <c r="J187" s="10">
        <v>2042</v>
      </c>
      <c r="K187" s="10" t="str">
        <f t="shared" si="280"/>
        <v>ELCCOH00</v>
      </c>
      <c r="L187" s="8">
        <f t="shared" ref="L187:R187" si="361">W187/AJ187*1.1</f>
        <v>0</v>
      </c>
      <c r="M187" s="8">
        <f t="shared" si="361"/>
        <v>0</v>
      </c>
      <c r="N187" s="8">
        <f t="shared" si="361"/>
        <v>0</v>
      </c>
      <c r="O187" s="8">
        <f t="shared" si="361"/>
        <v>0</v>
      </c>
      <c r="P187" s="8">
        <f t="shared" si="361"/>
        <v>0</v>
      </c>
      <c r="Q187" s="8">
        <f t="shared" si="361"/>
        <v>0</v>
      </c>
      <c r="R187" s="8">
        <f t="shared" si="361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62">AJ179</f>
        <v>0.38</v>
      </c>
      <c r="AK187">
        <f t="shared" si="362"/>
        <v>0.38</v>
      </c>
      <c r="AL187">
        <f t="shared" si="362"/>
        <v>0.38</v>
      </c>
      <c r="AM187">
        <f t="shared" si="362"/>
        <v>0.38</v>
      </c>
      <c r="AN187">
        <f t="shared" si="362"/>
        <v>0.38</v>
      </c>
      <c r="AO187">
        <f t="shared" si="362"/>
        <v>0.38</v>
      </c>
      <c r="AP187">
        <f t="shared" si="362"/>
        <v>0.38</v>
      </c>
    </row>
    <row r="188" ht="16" spans="4:42">
      <c r="D188" s="25"/>
      <c r="F188" s="8" t="s">
        <v>83</v>
      </c>
      <c r="G188" s="11" t="str">
        <f t="shared" si="278"/>
        <v>ACT_BND</v>
      </c>
      <c r="H188" t="str">
        <f t="shared" si="279"/>
        <v>UP</v>
      </c>
      <c r="J188" s="10">
        <v>2042</v>
      </c>
      <c r="K188" s="10" t="str">
        <f t="shared" si="280"/>
        <v>ELCGAS00</v>
      </c>
      <c r="L188" s="8">
        <f t="shared" ref="L188:R188" si="363">W188/AJ188*1.1</f>
        <v>218.741613066955</v>
      </c>
      <c r="M188" s="8">
        <f t="shared" si="363"/>
        <v>16.8453336087833</v>
      </c>
      <c r="N188" s="8">
        <f t="shared" si="363"/>
        <v>26.1382774811015</v>
      </c>
      <c r="O188" s="8">
        <f t="shared" si="363"/>
        <v>0</v>
      </c>
      <c r="P188" s="8">
        <f t="shared" si="363"/>
        <v>217.475273407127</v>
      </c>
      <c r="Q188" s="8">
        <f t="shared" si="363"/>
        <v>0</v>
      </c>
      <c r="R188" s="8">
        <f t="shared" si="36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364">AJ180</f>
        <v>0.4</v>
      </c>
      <c r="AK188">
        <f t="shared" si="364"/>
        <v>0.4</v>
      </c>
      <c r="AL188">
        <f t="shared" si="364"/>
        <v>0.4</v>
      </c>
      <c r="AM188">
        <f t="shared" si="364"/>
        <v>0.4</v>
      </c>
      <c r="AN188">
        <f t="shared" si="364"/>
        <v>0.4</v>
      </c>
      <c r="AO188">
        <f t="shared" si="364"/>
        <v>0.4</v>
      </c>
      <c r="AP188">
        <f t="shared" si="364"/>
        <v>0.4</v>
      </c>
    </row>
    <row r="189" ht="16" spans="4:42">
      <c r="D189" s="25"/>
      <c r="F189" s="8" t="s">
        <v>83</v>
      </c>
      <c r="G189" s="11" t="str">
        <f t="shared" si="278"/>
        <v>ACT_BND</v>
      </c>
      <c r="H189" t="str">
        <f t="shared" si="279"/>
        <v>UP</v>
      </c>
      <c r="J189" s="10">
        <v>2042</v>
      </c>
      <c r="K189" s="10" t="str">
        <f t="shared" si="280"/>
        <v>ELCHFO00</v>
      </c>
      <c r="L189" s="8">
        <f t="shared" ref="L189:R189" si="365">W189/AJ189*1.1</f>
        <v>0</v>
      </c>
      <c r="M189" s="8">
        <f t="shared" si="365"/>
        <v>1.01273382106072</v>
      </c>
      <c r="N189" s="8">
        <f t="shared" si="365"/>
        <v>0</v>
      </c>
      <c r="O189" s="8">
        <f t="shared" si="365"/>
        <v>0</v>
      </c>
      <c r="P189" s="8">
        <f t="shared" si="365"/>
        <v>0</v>
      </c>
      <c r="Q189" s="8">
        <f t="shared" si="365"/>
        <v>4.25103042908566</v>
      </c>
      <c r="R189" s="8">
        <f t="shared" si="365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366">AJ181</f>
        <v>0.3</v>
      </c>
      <c r="AK189">
        <f t="shared" si="366"/>
        <v>0.3</v>
      </c>
      <c r="AL189">
        <f t="shared" si="366"/>
        <v>0.3</v>
      </c>
      <c r="AM189">
        <f t="shared" si="366"/>
        <v>0.3</v>
      </c>
      <c r="AN189">
        <f t="shared" si="366"/>
        <v>0.3</v>
      </c>
      <c r="AO189">
        <f t="shared" si="366"/>
        <v>0.3</v>
      </c>
      <c r="AP189">
        <f t="shared" si="366"/>
        <v>0.3</v>
      </c>
    </row>
    <row r="190" ht="16" spans="4:42">
      <c r="D190" s="25"/>
      <c r="F190" s="8" t="s">
        <v>83</v>
      </c>
      <c r="G190" s="11" t="str">
        <f t="shared" si="278"/>
        <v>ACT_BND</v>
      </c>
      <c r="H190" t="str">
        <f t="shared" si="279"/>
        <v>UP</v>
      </c>
      <c r="J190" s="10">
        <v>2042</v>
      </c>
      <c r="K190" s="10" t="str">
        <f t="shared" si="280"/>
        <v>ELCHYD00</v>
      </c>
      <c r="L190" s="8">
        <f t="shared" ref="L190:R190" si="367">W190/AJ190*1.1</f>
        <v>5.36098120022563</v>
      </c>
      <c r="M190" s="8">
        <f t="shared" si="367"/>
        <v>252.697784824097</v>
      </c>
      <c r="N190" s="8">
        <f t="shared" si="367"/>
        <v>16.9079363467005</v>
      </c>
      <c r="O190" s="8">
        <f t="shared" si="367"/>
        <v>204.575884467799</v>
      </c>
      <c r="P190" s="8">
        <f t="shared" si="367"/>
        <v>172.209709165535</v>
      </c>
      <c r="Q190" s="8">
        <f t="shared" si="367"/>
        <v>1079.46689240943</v>
      </c>
      <c r="R190" s="8">
        <f t="shared" si="367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368">AJ182</f>
        <v>0.97</v>
      </c>
      <c r="AK190">
        <f t="shared" si="368"/>
        <v>0.97</v>
      </c>
      <c r="AL190">
        <f t="shared" si="368"/>
        <v>0.97</v>
      </c>
      <c r="AM190">
        <f t="shared" si="368"/>
        <v>0.97</v>
      </c>
      <c r="AN190">
        <f t="shared" si="368"/>
        <v>0.97</v>
      </c>
      <c r="AO190">
        <f t="shared" si="368"/>
        <v>0.97</v>
      </c>
      <c r="AP190">
        <f t="shared" si="368"/>
        <v>0.97</v>
      </c>
    </row>
    <row r="191" ht="16" spans="4:42">
      <c r="D191" s="25"/>
      <c r="F191" s="8" t="s">
        <v>83</v>
      </c>
      <c r="G191" s="11" t="str">
        <f t="shared" si="278"/>
        <v>ACT_BND</v>
      </c>
      <c r="H191" t="str">
        <f t="shared" si="279"/>
        <v>UP</v>
      </c>
      <c r="J191" s="10">
        <v>2042</v>
      </c>
      <c r="K191" s="10" t="str">
        <f t="shared" si="280"/>
        <v>ENCAN01_SMR</v>
      </c>
      <c r="L191" s="8">
        <f t="shared" ref="L191:O191" si="369">W191/AJ191</f>
        <v>9.4562923362131</v>
      </c>
      <c r="M191" s="8">
        <f t="shared" si="369"/>
        <v>50.0748677105831</v>
      </c>
      <c r="N191" s="8">
        <f t="shared" si="369"/>
        <v>24.6373803455724</v>
      </c>
      <c r="O191" s="8">
        <f t="shared" si="369"/>
        <v>27.2428120482361</v>
      </c>
      <c r="P191" s="34">
        <v>483.902768071994</v>
      </c>
      <c r="Q191" s="8">
        <f>AB191/AO191</f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370">AJ183</f>
        <v>1</v>
      </c>
      <c r="AK191">
        <f t="shared" si="370"/>
        <v>1</v>
      </c>
      <c r="AL191">
        <f t="shared" si="370"/>
        <v>1</v>
      </c>
      <c r="AM191">
        <f t="shared" si="370"/>
        <v>1</v>
      </c>
      <c r="AN191">
        <f t="shared" si="370"/>
        <v>1</v>
      </c>
      <c r="AO191">
        <f t="shared" si="370"/>
        <v>1</v>
      </c>
      <c r="AP191">
        <f t="shared" si="370"/>
        <v>1</v>
      </c>
    </row>
    <row r="192" ht="16" spans="4:42">
      <c r="D192" s="25"/>
      <c r="F192" s="8" t="s">
        <v>83</v>
      </c>
      <c r="G192" s="11" t="str">
        <f t="shared" si="278"/>
        <v>ACT_BND</v>
      </c>
      <c r="H192" t="str">
        <f t="shared" si="279"/>
        <v>UP</v>
      </c>
      <c r="J192" s="10">
        <v>2042</v>
      </c>
      <c r="K192" s="10" t="str">
        <f t="shared" si="280"/>
        <v>ELCSOL00</v>
      </c>
      <c r="L192" s="8">
        <f t="shared" ref="L192:R192" si="371">W192/AJ192*1.1</f>
        <v>93.0536229301656</v>
      </c>
      <c r="M192" s="8">
        <f t="shared" si="371"/>
        <v>36.7493458587257</v>
      </c>
      <c r="N192" s="8">
        <f t="shared" si="371"/>
        <v>7.52174047408208</v>
      </c>
      <c r="O192" s="8">
        <f t="shared" si="371"/>
        <v>0.977245309935205</v>
      </c>
      <c r="P192" s="8">
        <f t="shared" si="371"/>
        <v>54.9723313174946</v>
      </c>
      <c r="Q192" s="8">
        <f t="shared" si="371"/>
        <v>4.333080462563</v>
      </c>
      <c r="R192" s="8">
        <f t="shared" si="371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372">AJ184</f>
        <v>1</v>
      </c>
      <c r="AK192">
        <f t="shared" si="372"/>
        <v>1</v>
      </c>
      <c r="AL192">
        <f t="shared" si="372"/>
        <v>1</v>
      </c>
      <c r="AM192">
        <f t="shared" si="372"/>
        <v>1</v>
      </c>
      <c r="AN192">
        <f t="shared" si="372"/>
        <v>1</v>
      </c>
      <c r="AO192">
        <f t="shared" si="372"/>
        <v>1</v>
      </c>
      <c r="AP192">
        <f t="shared" si="372"/>
        <v>1</v>
      </c>
    </row>
    <row r="193" ht="16" spans="4:42">
      <c r="D193" s="25"/>
      <c r="F193" s="8" t="s">
        <v>83</v>
      </c>
      <c r="G193" s="11" t="str">
        <f t="shared" si="278"/>
        <v>ACT_BND</v>
      </c>
      <c r="H193" t="str">
        <f t="shared" si="279"/>
        <v>UP</v>
      </c>
      <c r="J193" s="10">
        <v>2042</v>
      </c>
      <c r="K193" s="10" t="str">
        <f t="shared" si="280"/>
        <v>ELCWIN00</v>
      </c>
      <c r="L193" s="8">
        <f t="shared" ref="L193:R193" si="373">W193/AJ193*1.1</f>
        <v>195.802197505399</v>
      </c>
      <c r="M193" s="8">
        <f t="shared" si="373"/>
        <v>75.3058751215695</v>
      </c>
      <c r="N193" s="8">
        <f t="shared" si="373"/>
        <v>57.1266453239741</v>
      </c>
      <c r="O193" s="8">
        <f t="shared" si="373"/>
        <v>5.59985789704824</v>
      </c>
      <c r="P193" s="8">
        <f t="shared" si="373"/>
        <v>479.182466846653</v>
      </c>
      <c r="Q193" s="8">
        <f t="shared" si="373"/>
        <v>72.8565300971923</v>
      </c>
      <c r="R193" s="8">
        <f t="shared" si="373"/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374">AJ185</f>
        <v>1</v>
      </c>
      <c r="AK193">
        <f t="shared" si="374"/>
        <v>1</v>
      </c>
      <c r="AL193">
        <f t="shared" si="374"/>
        <v>1</v>
      </c>
      <c r="AM193">
        <f t="shared" si="374"/>
        <v>1</v>
      </c>
      <c r="AN193">
        <f t="shared" si="374"/>
        <v>1</v>
      </c>
      <c r="AO193">
        <f t="shared" si="374"/>
        <v>1</v>
      </c>
      <c r="AP193">
        <f t="shared" si="374"/>
        <v>1</v>
      </c>
    </row>
    <row r="194" ht="16" spans="4:42">
      <c r="D194" s="25"/>
      <c r="F194" s="8" t="s">
        <v>83</v>
      </c>
      <c r="G194" s="11" t="str">
        <f t="shared" si="278"/>
        <v>ACT_BND</v>
      </c>
      <c r="H194" t="str">
        <f t="shared" si="279"/>
        <v>UP</v>
      </c>
      <c r="J194" s="10">
        <v>2042</v>
      </c>
      <c r="K194" s="10" t="str">
        <f t="shared" si="280"/>
        <v>ELCWOO00</v>
      </c>
      <c r="L194" s="8">
        <f t="shared" ref="L194:R194" si="375">W194/AJ194*1.1</f>
        <v>170.408918008845</v>
      </c>
      <c r="M194" s="8">
        <f t="shared" si="375"/>
        <v>41.9710159497901</v>
      </c>
      <c r="N194" s="8">
        <f t="shared" si="375"/>
        <v>134.257733086496</v>
      </c>
      <c r="O194" s="8">
        <f t="shared" si="375"/>
        <v>0.716794925197984</v>
      </c>
      <c r="P194" s="8">
        <f t="shared" si="375"/>
        <v>40.719116490795</v>
      </c>
      <c r="Q194" s="8">
        <f t="shared" si="375"/>
        <v>19.4126657327985</v>
      </c>
      <c r="R194" s="8">
        <f t="shared" si="375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376">AJ186</f>
        <v>0.35</v>
      </c>
      <c r="AK194">
        <f t="shared" si="376"/>
        <v>0.35</v>
      </c>
      <c r="AL194">
        <f t="shared" si="376"/>
        <v>0.35</v>
      </c>
      <c r="AM194">
        <f t="shared" si="376"/>
        <v>0.35</v>
      </c>
      <c r="AN194">
        <f t="shared" si="376"/>
        <v>0.35</v>
      </c>
      <c r="AO194">
        <f t="shared" si="376"/>
        <v>0.35</v>
      </c>
      <c r="AP194">
        <f t="shared" si="376"/>
        <v>0.35</v>
      </c>
    </row>
    <row r="195" ht="16" spans="4:42">
      <c r="D195" s="25"/>
      <c r="F195" s="8" t="s">
        <v>83</v>
      </c>
      <c r="G195" s="11" t="str">
        <f t="shared" si="278"/>
        <v>ACT_BND</v>
      </c>
      <c r="H195" t="str">
        <f t="shared" si="279"/>
        <v>UP</v>
      </c>
      <c r="J195" s="10">
        <v>2043</v>
      </c>
      <c r="K195" s="10" t="str">
        <f t="shared" si="280"/>
        <v>ELCCOH00</v>
      </c>
      <c r="L195" s="8">
        <f t="shared" ref="L195:R195" si="377">W195/AJ195*1.1</f>
        <v>0</v>
      </c>
      <c r="M195" s="8">
        <f t="shared" si="377"/>
        <v>0</v>
      </c>
      <c r="N195" s="8">
        <f t="shared" si="377"/>
        <v>0</v>
      </c>
      <c r="O195" s="8">
        <f t="shared" si="377"/>
        <v>0</v>
      </c>
      <c r="P195" s="8">
        <f t="shared" si="377"/>
        <v>0</v>
      </c>
      <c r="Q195" s="8">
        <f t="shared" si="377"/>
        <v>0</v>
      </c>
      <c r="R195" s="8">
        <f t="shared" si="37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378">AJ187</f>
        <v>0.38</v>
      </c>
      <c r="AK195">
        <f t="shared" si="378"/>
        <v>0.38</v>
      </c>
      <c r="AL195">
        <f t="shared" si="378"/>
        <v>0.38</v>
      </c>
      <c r="AM195">
        <f t="shared" si="378"/>
        <v>0.38</v>
      </c>
      <c r="AN195">
        <f t="shared" si="378"/>
        <v>0.38</v>
      </c>
      <c r="AO195">
        <f t="shared" si="378"/>
        <v>0.38</v>
      </c>
      <c r="AP195">
        <f t="shared" si="378"/>
        <v>0.38</v>
      </c>
    </row>
    <row r="196" ht="16" spans="4:42">
      <c r="D196" s="25"/>
      <c r="F196" s="8" t="s">
        <v>83</v>
      </c>
      <c r="G196" s="11" t="str">
        <f t="shared" si="278"/>
        <v>ACT_BND</v>
      </c>
      <c r="H196" t="str">
        <f t="shared" si="279"/>
        <v>UP</v>
      </c>
      <c r="J196" s="10">
        <v>2043</v>
      </c>
      <c r="K196" s="10" t="str">
        <f t="shared" si="280"/>
        <v>ELCGAS00</v>
      </c>
      <c r="L196" s="8">
        <f t="shared" ref="L196:R196" si="379">W196/AJ196*1.1</f>
        <v>212.084804778618</v>
      </c>
      <c r="M196" s="8">
        <f t="shared" si="379"/>
        <v>19.542738061879</v>
      </c>
      <c r="N196" s="8">
        <f t="shared" si="379"/>
        <v>26.0071489677826</v>
      </c>
      <c r="O196" s="8">
        <f t="shared" si="379"/>
        <v>0</v>
      </c>
      <c r="P196" s="8">
        <f t="shared" si="379"/>
        <v>255.337869834413</v>
      </c>
      <c r="Q196" s="8">
        <f t="shared" si="379"/>
        <v>0</v>
      </c>
      <c r="R196" s="8">
        <f t="shared" si="379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380">AJ188</f>
        <v>0.4</v>
      </c>
      <c r="AK196">
        <f t="shared" si="380"/>
        <v>0.4</v>
      </c>
      <c r="AL196">
        <f t="shared" si="380"/>
        <v>0.4</v>
      </c>
      <c r="AM196">
        <f t="shared" si="380"/>
        <v>0.4</v>
      </c>
      <c r="AN196">
        <f t="shared" si="380"/>
        <v>0.4</v>
      </c>
      <c r="AO196">
        <f t="shared" si="380"/>
        <v>0.4</v>
      </c>
      <c r="AP196">
        <f t="shared" si="380"/>
        <v>0.4</v>
      </c>
    </row>
    <row r="197" ht="16" spans="4:42">
      <c r="D197" s="25"/>
      <c r="F197" s="8" t="s">
        <v>83</v>
      </c>
      <c r="G197" s="11" t="str">
        <f t="shared" si="278"/>
        <v>ACT_BND</v>
      </c>
      <c r="H197" t="str">
        <f t="shared" si="279"/>
        <v>UP</v>
      </c>
      <c r="J197" s="10">
        <v>2043</v>
      </c>
      <c r="K197" s="10" t="str">
        <f t="shared" si="280"/>
        <v>ELCHFO00</v>
      </c>
      <c r="L197" s="8">
        <f t="shared" ref="L197:R197" si="381">W197/AJ197*1.1</f>
        <v>0</v>
      </c>
      <c r="M197" s="8">
        <f t="shared" si="381"/>
        <v>1.08802947541157</v>
      </c>
      <c r="N197" s="8">
        <f t="shared" si="381"/>
        <v>0</v>
      </c>
      <c r="O197" s="8">
        <f t="shared" si="381"/>
        <v>0</v>
      </c>
      <c r="P197" s="8">
        <f t="shared" si="381"/>
        <v>0</v>
      </c>
      <c r="Q197" s="8">
        <f t="shared" si="381"/>
        <v>4.24000503959685</v>
      </c>
      <c r="R197" s="8">
        <f t="shared" si="381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382">AJ189</f>
        <v>0.3</v>
      </c>
      <c r="AK197">
        <f t="shared" si="382"/>
        <v>0.3</v>
      </c>
      <c r="AL197">
        <f t="shared" si="382"/>
        <v>0.3</v>
      </c>
      <c r="AM197">
        <f t="shared" si="382"/>
        <v>0.3</v>
      </c>
      <c r="AN197">
        <f t="shared" si="382"/>
        <v>0.3</v>
      </c>
      <c r="AO197">
        <f t="shared" si="382"/>
        <v>0.3</v>
      </c>
      <c r="AP197">
        <f t="shared" si="382"/>
        <v>0.3</v>
      </c>
    </row>
    <row r="198" ht="16" spans="4:42">
      <c r="D198" s="25"/>
      <c r="F198" s="8" t="s">
        <v>83</v>
      </c>
      <c r="G198" s="11" t="str">
        <f t="shared" si="278"/>
        <v>ACT_BND</v>
      </c>
      <c r="H198" t="str">
        <f t="shared" si="279"/>
        <v>UP</v>
      </c>
      <c r="J198" s="10">
        <v>2043</v>
      </c>
      <c r="K198" s="10" t="str">
        <f t="shared" si="280"/>
        <v>ELCHYD00</v>
      </c>
      <c r="L198" s="8">
        <f t="shared" ref="L198:R198" si="383">W198/AJ198*1.1</f>
        <v>5.33397557279953</v>
      </c>
      <c r="M198" s="8">
        <f t="shared" si="383"/>
        <v>252.605714401595</v>
      </c>
      <c r="N198" s="8">
        <f t="shared" si="383"/>
        <v>16.9180622976554</v>
      </c>
      <c r="O198" s="8">
        <f t="shared" si="383"/>
        <v>204.09919285921</v>
      </c>
      <c r="P198" s="8">
        <f t="shared" si="383"/>
        <v>171.432496786236</v>
      </c>
      <c r="Q198" s="8">
        <f t="shared" si="383"/>
        <v>1079.46847505808</v>
      </c>
      <c r="R198" s="8">
        <f t="shared" si="383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384">AJ190</f>
        <v>0.97</v>
      </c>
      <c r="AK198">
        <f t="shared" si="384"/>
        <v>0.97</v>
      </c>
      <c r="AL198">
        <f t="shared" si="384"/>
        <v>0.97</v>
      </c>
      <c r="AM198">
        <f t="shared" si="384"/>
        <v>0.97</v>
      </c>
      <c r="AN198">
        <f t="shared" si="384"/>
        <v>0.97</v>
      </c>
      <c r="AO198">
        <f t="shared" si="384"/>
        <v>0.97</v>
      </c>
      <c r="AP198">
        <f t="shared" si="384"/>
        <v>0.97</v>
      </c>
    </row>
    <row r="199" ht="16" spans="4:42">
      <c r="D199" s="25"/>
      <c r="F199" s="8" t="s">
        <v>83</v>
      </c>
      <c r="G199" s="11" t="str">
        <f t="shared" si="278"/>
        <v>ACT_BND</v>
      </c>
      <c r="H199" t="str">
        <f t="shared" si="279"/>
        <v>UP</v>
      </c>
      <c r="J199" s="10">
        <v>2043</v>
      </c>
      <c r="K199" s="10" t="str">
        <f t="shared" si="280"/>
        <v>ENCAN01_SMR</v>
      </c>
      <c r="L199" s="8">
        <f t="shared" ref="L199:O199" si="385">W199/AJ199</f>
        <v>13.7297768466523</v>
      </c>
      <c r="M199" s="8">
        <f t="shared" si="385"/>
        <v>49.9678907847372</v>
      </c>
      <c r="N199" s="8">
        <f t="shared" si="385"/>
        <v>24.4468975089993</v>
      </c>
      <c r="O199" s="8">
        <f t="shared" si="385"/>
        <v>30.4684253527718</v>
      </c>
      <c r="P199" s="34">
        <v>487.068991974082</v>
      </c>
      <c r="Q199" s="8">
        <f>AB199/AO199</f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386">AJ191</f>
        <v>1</v>
      </c>
      <c r="AK199">
        <f t="shared" si="386"/>
        <v>1</v>
      </c>
      <c r="AL199">
        <f t="shared" si="386"/>
        <v>1</v>
      </c>
      <c r="AM199">
        <f t="shared" si="386"/>
        <v>1</v>
      </c>
      <c r="AN199">
        <f t="shared" si="386"/>
        <v>1</v>
      </c>
      <c r="AO199">
        <f t="shared" si="386"/>
        <v>1</v>
      </c>
      <c r="AP199">
        <f t="shared" si="386"/>
        <v>1</v>
      </c>
    </row>
    <row r="200" ht="16" spans="4:42">
      <c r="D200" s="25"/>
      <c r="F200" s="8" t="s">
        <v>83</v>
      </c>
      <c r="G200" s="11" t="str">
        <f t="shared" si="278"/>
        <v>ACT_BND</v>
      </c>
      <c r="H200" t="str">
        <f t="shared" si="279"/>
        <v>UP</v>
      </c>
      <c r="J200" s="10">
        <v>2043</v>
      </c>
      <c r="K200" s="10" t="str">
        <f t="shared" si="280"/>
        <v>ELCSOL00</v>
      </c>
      <c r="L200" s="8">
        <f t="shared" ref="L200:R200" si="387">W200/AJ200*1.1</f>
        <v>95.3665214974802</v>
      </c>
      <c r="M200" s="8">
        <f t="shared" si="387"/>
        <v>39.9579473197121</v>
      </c>
      <c r="N200" s="8">
        <f t="shared" si="387"/>
        <v>7.86039560511159</v>
      </c>
      <c r="O200" s="8">
        <f t="shared" si="387"/>
        <v>1.09283334398848</v>
      </c>
      <c r="P200" s="8">
        <f t="shared" si="387"/>
        <v>59.2476485349172</v>
      </c>
      <c r="Q200" s="8">
        <f t="shared" si="387"/>
        <v>4.83000497552196</v>
      </c>
      <c r="R200" s="8">
        <f t="shared" si="387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388">AJ192</f>
        <v>1</v>
      </c>
      <c r="AK200">
        <f t="shared" si="388"/>
        <v>1</v>
      </c>
      <c r="AL200">
        <f t="shared" si="388"/>
        <v>1</v>
      </c>
      <c r="AM200">
        <f t="shared" si="388"/>
        <v>1</v>
      </c>
      <c r="AN200">
        <f t="shared" si="388"/>
        <v>1</v>
      </c>
      <c r="AO200">
        <f t="shared" si="388"/>
        <v>1</v>
      </c>
      <c r="AP200">
        <f t="shared" si="388"/>
        <v>1</v>
      </c>
    </row>
    <row r="201" ht="16" spans="4:42">
      <c r="D201" s="25"/>
      <c r="F201" s="8" t="s">
        <v>83</v>
      </c>
      <c r="G201" s="11" t="str">
        <f t="shared" si="278"/>
        <v>ACT_BND</v>
      </c>
      <c r="H201" t="str">
        <f t="shared" si="279"/>
        <v>UP</v>
      </c>
      <c r="J201" s="10">
        <v>2043</v>
      </c>
      <c r="K201" s="10" t="str">
        <f t="shared" si="280"/>
        <v>ELCWIN00</v>
      </c>
      <c r="L201" s="8">
        <f t="shared" ref="L201:R201" si="389">W201/AJ201*1.1</f>
        <v>196.419284715623</v>
      </c>
      <c r="M201" s="8">
        <f t="shared" si="389"/>
        <v>79.6636228861483</v>
      </c>
      <c r="N201" s="8">
        <f t="shared" si="389"/>
        <v>59.0129961231102</v>
      </c>
      <c r="O201" s="8">
        <f t="shared" si="389"/>
        <v>5.58787168646508</v>
      </c>
      <c r="P201" s="8">
        <f t="shared" si="389"/>
        <v>539.615647984161</v>
      </c>
      <c r="Q201" s="8">
        <f t="shared" si="389"/>
        <v>72.8565300971923</v>
      </c>
      <c r="R201" s="8">
        <f t="shared" si="389"/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390">AJ193</f>
        <v>1</v>
      </c>
      <c r="AK201">
        <f t="shared" si="390"/>
        <v>1</v>
      </c>
      <c r="AL201">
        <f t="shared" si="390"/>
        <v>1</v>
      </c>
      <c r="AM201">
        <f t="shared" si="390"/>
        <v>1</v>
      </c>
      <c r="AN201">
        <f t="shared" si="390"/>
        <v>1</v>
      </c>
      <c r="AO201">
        <f t="shared" si="390"/>
        <v>1</v>
      </c>
      <c r="AP201">
        <f t="shared" si="390"/>
        <v>1</v>
      </c>
    </row>
    <row r="202" ht="16" spans="4:42">
      <c r="D202" s="25"/>
      <c r="F202" s="8" t="s">
        <v>83</v>
      </c>
      <c r="G202" s="11" t="str">
        <f t="shared" si="278"/>
        <v>ACT_BND</v>
      </c>
      <c r="H202" t="str">
        <f t="shared" si="279"/>
        <v>UP</v>
      </c>
      <c r="J202" s="10">
        <v>2043</v>
      </c>
      <c r="K202" s="10" t="str">
        <f t="shared" si="280"/>
        <v>ELCWOO00</v>
      </c>
      <c r="L202" s="8">
        <f t="shared" ref="L202:R202" si="391">W202/AJ202*1.1</f>
        <v>184.980299197779</v>
      </c>
      <c r="M202" s="8">
        <f t="shared" si="391"/>
        <v>42.9046437158099</v>
      </c>
      <c r="N202" s="8">
        <f t="shared" si="391"/>
        <v>146.301205553841</v>
      </c>
      <c r="O202" s="8">
        <f t="shared" si="391"/>
        <v>0.714957127152114</v>
      </c>
      <c r="P202" s="8">
        <f t="shared" si="391"/>
        <v>43.7708231965444</v>
      </c>
      <c r="Q202" s="8">
        <f t="shared" si="391"/>
        <v>19.5930019140183</v>
      </c>
      <c r="R202" s="8">
        <f t="shared" si="39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392">AJ194</f>
        <v>0.35</v>
      </c>
      <c r="AK202">
        <f t="shared" si="392"/>
        <v>0.35</v>
      </c>
      <c r="AL202">
        <f t="shared" si="392"/>
        <v>0.35</v>
      </c>
      <c r="AM202">
        <f t="shared" si="392"/>
        <v>0.35</v>
      </c>
      <c r="AN202">
        <f t="shared" si="392"/>
        <v>0.35</v>
      </c>
      <c r="AO202">
        <f t="shared" si="392"/>
        <v>0.35</v>
      </c>
      <c r="AP202">
        <f t="shared" si="392"/>
        <v>0.35</v>
      </c>
    </row>
    <row r="203" ht="16" spans="4:42">
      <c r="D203" s="25"/>
      <c r="F203" s="8" t="s">
        <v>83</v>
      </c>
      <c r="G203" s="11" t="str">
        <f t="shared" si="278"/>
        <v>ACT_BND</v>
      </c>
      <c r="H203" t="str">
        <f t="shared" si="279"/>
        <v>UP</v>
      </c>
      <c r="J203" s="10">
        <v>2044</v>
      </c>
      <c r="K203" s="10" t="str">
        <f t="shared" si="280"/>
        <v>ELCCOH00</v>
      </c>
      <c r="L203" s="8">
        <f t="shared" ref="L203:R203" si="393">W203/AJ203*1.1</f>
        <v>0</v>
      </c>
      <c r="M203" s="8">
        <f t="shared" si="393"/>
        <v>0</v>
      </c>
      <c r="N203" s="8">
        <f t="shared" si="393"/>
        <v>0</v>
      </c>
      <c r="O203" s="8">
        <f t="shared" si="393"/>
        <v>0</v>
      </c>
      <c r="P203" s="8">
        <f t="shared" si="393"/>
        <v>0</v>
      </c>
      <c r="Q203" s="8">
        <f t="shared" si="393"/>
        <v>0</v>
      </c>
      <c r="R203" s="8">
        <f t="shared" si="393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394">AJ195</f>
        <v>0.38</v>
      </c>
      <c r="AK203">
        <f t="shared" si="394"/>
        <v>0.38</v>
      </c>
      <c r="AL203">
        <f t="shared" si="394"/>
        <v>0.38</v>
      </c>
      <c r="AM203">
        <f t="shared" si="394"/>
        <v>0.38</v>
      </c>
      <c r="AN203">
        <f t="shared" si="394"/>
        <v>0.38</v>
      </c>
      <c r="AO203">
        <f t="shared" si="394"/>
        <v>0.38</v>
      </c>
      <c r="AP203">
        <f t="shared" si="394"/>
        <v>0.38</v>
      </c>
    </row>
    <row r="204" ht="16" spans="4:42">
      <c r="D204" s="25"/>
      <c r="F204" s="8" t="s">
        <v>83</v>
      </c>
      <c r="G204" s="11" t="str">
        <f t="shared" si="278"/>
        <v>ACT_BND</v>
      </c>
      <c r="H204" t="str">
        <f t="shared" si="279"/>
        <v>UP</v>
      </c>
      <c r="J204" s="10">
        <v>2044</v>
      </c>
      <c r="K204" s="10" t="str">
        <f t="shared" si="280"/>
        <v>ELCGAS00</v>
      </c>
      <c r="L204" s="8">
        <f t="shared" ref="L204:R204" si="395">W204/AJ204*1.1</f>
        <v>208.604258171346</v>
      </c>
      <c r="M204" s="8">
        <f t="shared" si="395"/>
        <v>25.381669587905</v>
      </c>
      <c r="N204" s="8">
        <f t="shared" si="395"/>
        <v>25.1134533441325</v>
      </c>
      <c r="O204" s="8">
        <f t="shared" si="395"/>
        <v>0</v>
      </c>
      <c r="P204" s="8">
        <f t="shared" si="395"/>
        <v>271.47695737941</v>
      </c>
      <c r="Q204" s="8">
        <f t="shared" si="395"/>
        <v>0</v>
      </c>
      <c r="R204" s="8">
        <f t="shared" si="395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396">AJ196</f>
        <v>0.4</v>
      </c>
      <c r="AK204">
        <f t="shared" si="396"/>
        <v>0.4</v>
      </c>
      <c r="AL204">
        <f t="shared" si="396"/>
        <v>0.4</v>
      </c>
      <c r="AM204">
        <f t="shared" si="396"/>
        <v>0.4</v>
      </c>
      <c r="AN204">
        <f t="shared" si="396"/>
        <v>0.4</v>
      </c>
      <c r="AO204">
        <f t="shared" si="396"/>
        <v>0.4</v>
      </c>
      <c r="AP204">
        <f t="shared" si="396"/>
        <v>0.4</v>
      </c>
    </row>
    <row r="205" ht="16" spans="4:42">
      <c r="D205" s="25"/>
      <c r="F205" s="8" t="s">
        <v>83</v>
      </c>
      <c r="G205" s="11" t="str">
        <f t="shared" si="278"/>
        <v>ACT_BND</v>
      </c>
      <c r="H205" t="str">
        <f t="shared" si="279"/>
        <v>UP</v>
      </c>
      <c r="J205" s="10">
        <v>2044</v>
      </c>
      <c r="K205" s="10" t="str">
        <f t="shared" si="280"/>
        <v>ELCHFO00</v>
      </c>
      <c r="L205" s="8">
        <f t="shared" ref="L205:R205" si="397">W205/AJ205*1.1</f>
        <v>0</v>
      </c>
      <c r="M205" s="8">
        <f t="shared" si="397"/>
        <v>1.16885200975522</v>
      </c>
      <c r="N205" s="8">
        <f t="shared" si="397"/>
        <v>0</v>
      </c>
      <c r="O205" s="8">
        <f t="shared" si="397"/>
        <v>0</v>
      </c>
      <c r="P205" s="8">
        <f t="shared" si="397"/>
        <v>0</v>
      </c>
      <c r="Q205" s="8">
        <f t="shared" si="397"/>
        <v>4.24000503959685</v>
      </c>
      <c r="R205" s="8">
        <f t="shared" si="397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398">AJ197</f>
        <v>0.3</v>
      </c>
      <c r="AK205">
        <f t="shared" si="398"/>
        <v>0.3</v>
      </c>
      <c r="AL205">
        <f t="shared" si="398"/>
        <v>0.3</v>
      </c>
      <c r="AM205">
        <f t="shared" si="398"/>
        <v>0.3</v>
      </c>
      <c r="AN205">
        <f t="shared" si="398"/>
        <v>0.3</v>
      </c>
      <c r="AO205">
        <f t="shared" si="398"/>
        <v>0.3</v>
      </c>
      <c r="AP205">
        <f t="shared" si="398"/>
        <v>0.3</v>
      </c>
    </row>
    <row r="206" ht="16" spans="4:42">
      <c r="D206" s="25"/>
      <c r="F206" s="8" t="s">
        <v>83</v>
      </c>
      <c r="G206" s="11" t="str">
        <f t="shared" si="278"/>
        <v>ACT_BND</v>
      </c>
      <c r="H206" t="str">
        <f t="shared" si="279"/>
        <v>UP</v>
      </c>
      <c r="J206" s="10">
        <v>2044</v>
      </c>
      <c r="K206" s="10" t="str">
        <f t="shared" si="280"/>
        <v>ELCHYD00</v>
      </c>
      <c r="L206" s="8">
        <f t="shared" ref="L206:R206" si="399">W206/AJ206*1.1</f>
        <v>5.30603168822783</v>
      </c>
      <c r="M206" s="8">
        <f t="shared" si="399"/>
        <v>252.955851890702</v>
      </c>
      <c r="N206" s="8">
        <f t="shared" si="399"/>
        <v>16.9131051661434</v>
      </c>
      <c r="O206" s="8">
        <f t="shared" si="399"/>
        <v>203.617449552077</v>
      </c>
      <c r="P206" s="8">
        <f t="shared" si="399"/>
        <v>169.827199854527</v>
      </c>
      <c r="Q206" s="8">
        <f t="shared" si="399"/>
        <v>1076.71144315053</v>
      </c>
      <c r="R206" s="8">
        <f t="shared" si="399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00">AJ198</f>
        <v>0.97</v>
      </c>
      <c r="AK206">
        <f t="shared" si="400"/>
        <v>0.97</v>
      </c>
      <c r="AL206">
        <f t="shared" si="400"/>
        <v>0.97</v>
      </c>
      <c r="AM206">
        <f t="shared" si="400"/>
        <v>0.97</v>
      </c>
      <c r="AN206">
        <f t="shared" si="400"/>
        <v>0.97</v>
      </c>
      <c r="AO206">
        <f t="shared" si="400"/>
        <v>0.97</v>
      </c>
      <c r="AP206">
        <f t="shared" si="400"/>
        <v>0.97</v>
      </c>
    </row>
    <row r="207" ht="16" spans="4:42">
      <c r="D207" s="25"/>
      <c r="F207" s="8" t="s">
        <v>83</v>
      </c>
      <c r="G207" s="11" t="str">
        <f t="shared" si="278"/>
        <v>ACT_BND</v>
      </c>
      <c r="H207" t="str">
        <f t="shared" si="279"/>
        <v>UP</v>
      </c>
      <c r="J207" s="10">
        <v>2044</v>
      </c>
      <c r="K207" s="10" t="str">
        <f t="shared" si="280"/>
        <v>ENCAN01_SMR</v>
      </c>
      <c r="L207" s="8">
        <f t="shared" ref="L207:O207" si="401">W207/AJ207</f>
        <v>17.9524472642189</v>
      </c>
      <c r="M207" s="8">
        <f t="shared" si="401"/>
        <v>50.1004500359971</v>
      </c>
      <c r="N207" s="8">
        <f t="shared" si="401"/>
        <v>24.1675314506839</v>
      </c>
      <c r="O207" s="8">
        <f t="shared" si="401"/>
        <v>33.451810025198</v>
      </c>
      <c r="P207" s="34">
        <v>485.892112924406</v>
      </c>
      <c r="Q207" s="8">
        <f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02">AJ199</f>
        <v>1</v>
      </c>
      <c r="AK207">
        <f t="shared" si="402"/>
        <v>1</v>
      </c>
      <c r="AL207">
        <f t="shared" si="402"/>
        <v>1</v>
      </c>
      <c r="AM207">
        <f t="shared" si="402"/>
        <v>1</v>
      </c>
      <c r="AN207">
        <f t="shared" si="402"/>
        <v>1</v>
      </c>
      <c r="AO207">
        <f t="shared" si="402"/>
        <v>1</v>
      </c>
      <c r="AP207">
        <f t="shared" si="402"/>
        <v>1</v>
      </c>
    </row>
    <row r="208" ht="16" spans="4:42">
      <c r="D208" s="25"/>
      <c r="F208" s="8" t="s">
        <v>83</v>
      </c>
      <c r="G208" s="11" t="str">
        <f t="shared" si="278"/>
        <v>ACT_BND</v>
      </c>
      <c r="H208" t="str">
        <f t="shared" si="279"/>
        <v>UP</v>
      </c>
      <c r="J208" s="10">
        <v>2044</v>
      </c>
      <c r="K208" s="10" t="str">
        <f t="shared" si="280"/>
        <v>ELCSOL00</v>
      </c>
      <c r="L208" s="8">
        <f t="shared" ref="L208:R208" si="403">W208/AJ208*1.1</f>
        <v>97.3425857307416</v>
      </c>
      <c r="M208" s="8">
        <f t="shared" si="403"/>
        <v>43.1665487924982</v>
      </c>
      <c r="N208" s="8">
        <f t="shared" si="403"/>
        <v>8.19691116486681</v>
      </c>
      <c r="O208" s="8">
        <f t="shared" si="403"/>
        <v>1.20842137724982</v>
      </c>
      <c r="P208" s="8">
        <f t="shared" si="403"/>
        <v>63.3023529913607</v>
      </c>
      <c r="Q208" s="8">
        <f t="shared" si="403"/>
        <v>5.32692948848092</v>
      </c>
      <c r="R208" s="8">
        <f t="shared" si="403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04">AJ200</f>
        <v>1</v>
      </c>
      <c r="AK208">
        <f t="shared" si="404"/>
        <v>1</v>
      </c>
      <c r="AL208">
        <f t="shared" si="404"/>
        <v>1</v>
      </c>
      <c r="AM208">
        <f t="shared" si="404"/>
        <v>1</v>
      </c>
      <c r="AN208">
        <f t="shared" si="404"/>
        <v>1</v>
      </c>
      <c r="AO208">
        <f t="shared" si="404"/>
        <v>1</v>
      </c>
      <c r="AP208">
        <f t="shared" si="404"/>
        <v>1</v>
      </c>
    </row>
    <row r="209" ht="16" spans="4:42">
      <c r="D209" s="25"/>
      <c r="F209" s="8" t="s">
        <v>83</v>
      </c>
      <c r="G209" s="11" t="str">
        <f t="shared" si="278"/>
        <v>ACT_BND</v>
      </c>
      <c r="H209" t="str">
        <f t="shared" si="279"/>
        <v>UP</v>
      </c>
      <c r="J209" s="10">
        <v>2044</v>
      </c>
      <c r="K209" s="10" t="str">
        <f t="shared" si="280"/>
        <v>ELCWIN00</v>
      </c>
      <c r="L209" s="8">
        <f t="shared" ref="L209:R209" si="405">W209/AJ209*1.1</f>
        <v>196.989502897768</v>
      </c>
      <c r="M209" s="8">
        <f t="shared" si="405"/>
        <v>84.0213706111303</v>
      </c>
      <c r="N209" s="8">
        <f t="shared" si="405"/>
        <v>60.8935081713463</v>
      </c>
      <c r="O209" s="8">
        <f t="shared" si="405"/>
        <v>5.57902068574514</v>
      </c>
      <c r="P209" s="8">
        <f t="shared" si="405"/>
        <v>598.370777537797</v>
      </c>
      <c r="Q209" s="8">
        <f t="shared" si="405"/>
        <v>72.8565300971923</v>
      </c>
      <c r="R209" s="8">
        <f t="shared" si="405"/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06">AJ201</f>
        <v>1</v>
      </c>
      <c r="AK209">
        <f t="shared" si="406"/>
        <v>1</v>
      </c>
      <c r="AL209">
        <f t="shared" si="406"/>
        <v>1</v>
      </c>
      <c r="AM209">
        <f t="shared" si="406"/>
        <v>1</v>
      </c>
      <c r="AN209">
        <f t="shared" si="406"/>
        <v>1</v>
      </c>
      <c r="AO209">
        <f t="shared" si="406"/>
        <v>1</v>
      </c>
      <c r="AP209">
        <f t="shared" si="406"/>
        <v>1</v>
      </c>
    </row>
    <row r="210" ht="16" spans="4:42">
      <c r="D210" s="25"/>
      <c r="F210" s="8" t="s">
        <v>83</v>
      </c>
      <c r="G210" s="11" t="str">
        <f t="shared" si="278"/>
        <v>ACT_BND</v>
      </c>
      <c r="H210" t="str">
        <f t="shared" si="279"/>
        <v>UP</v>
      </c>
      <c r="J210" s="10">
        <v>2044</v>
      </c>
      <c r="K210" s="10" t="str">
        <f t="shared" si="280"/>
        <v>ELCWOO00</v>
      </c>
      <c r="L210" s="8">
        <f t="shared" ref="L210:R210" si="407">W210/AJ210*1.1</f>
        <v>199.530551290754</v>
      </c>
      <c r="M210" s="8">
        <f t="shared" si="407"/>
        <v>46.0013761276973</v>
      </c>
      <c r="N210" s="8">
        <f t="shared" si="407"/>
        <v>158.085922225651</v>
      </c>
      <c r="O210" s="8">
        <f t="shared" si="407"/>
        <v>0.690043621989097</v>
      </c>
      <c r="P210" s="8">
        <f t="shared" si="407"/>
        <v>44.7566259549521</v>
      </c>
      <c r="Q210" s="8">
        <f t="shared" si="407"/>
        <v>18.8967466697521</v>
      </c>
      <c r="R210" s="8">
        <f t="shared" si="407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08">AJ202</f>
        <v>0.35</v>
      </c>
      <c r="AK210">
        <f t="shared" si="408"/>
        <v>0.35</v>
      </c>
      <c r="AL210">
        <f t="shared" si="408"/>
        <v>0.35</v>
      </c>
      <c r="AM210">
        <f t="shared" si="408"/>
        <v>0.35</v>
      </c>
      <c r="AN210">
        <f t="shared" si="408"/>
        <v>0.35</v>
      </c>
      <c r="AO210">
        <f t="shared" si="408"/>
        <v>0.35</v>
      </c>
      <c r="AP210">
        <f t="shared" si="408"/>
        <v>0.35</v>
      </c>
    </row>
    <row r="211" ht="16" spans="4:42">
      <c r="D211" s="25"/>
      <c r="F211" s="8" t="s">
        <v>83</v>
      </c>
      <c r="G211" s="11" t="str">
        <f t="shared" ref="G211:G258" si="409">G210</f>
        <v>ACT_BND</v>
      </c>
      <c r="H211" t="str">
        <f t="shared" ref="H211:H258" si="410">H210</f>
        <v>UP</v>
      </c>
      <c r="J211" s="10">
        <v>2045</v>
      </c>
      <c r="K211" s="10" t="str">
        <f t="shared" ref="K211:K258" si="411">K203</f>
        <v>ELCCOH00</v>
      </c>
      <c r="L211" s="8">
        <f t="shared" ref="L211:R211" si="412">W211/AJ211*1.1</f>
        <v>0</v>
      </c>
      <c r="M211" s="8">
        <f t="shared" si="412"/>
        <v>0</v>
      </c>
      <c r="N211" s="8">
        <f t="shared" si="412"/>
        <v>0</v>
      </c>
      <c r="O211" s="8">
        <f t="shared" si="412"/>
        <v>0</v>
      </c>
      <c r="P211" s="8">
        <f t="shared" si="412"/>
        <v>0</v>
      </c>
      <c r="Q211" s="8">
        <f t="shared" si="412"/>
        <v>0</v>
      </c>
      <c r="R211" s="8">
        <f t="shared" si="412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13">AJ203</f>
        <v>0.38</v>
      </c>
      <c r="AK211">
        <f t="shared" si="413"/>
        <v>0.38</v>
      </c>
      <c r="AL211">
        <f t="shared" si="413"/>
        <v>0.38</v>
      </c>
      <c r="AM211">
        <f t="shared" si="413"/>
        <v>0.38</v>
      </c>
      <c r="AN211">
        <f t="shared" si="413"/>
        <v>0.38</v>
      </c>
      <c r="AO211">
        <f t="shared" si="413"/>
        <v>0.38</v>
      </c>
      <c r="AP211">
        <f t="shared" si="413"/>
        <v>0.38</v>
      </c>
    </row>
    <row r="212" ht="16" spans="4:42">
      <c r="D212" s="25"/>
      <c r="F212" s="8" t="s">
        <v>83</v>
      </c>
      <c r="G212" s="11" t="str">
        <f t="shared" si="409"/>
        <v>ACT_BND</v>
      </c>
      <c r="H212" t="str">
        <f t="shared" si="410"/>
        <v>UP</v>
      </c>
      <c r="J212" s="10">
        <v>2045</v>
      </c>
      <c r="K212" s="10" t="str">
        <f t="shared" si="411"/>
        <v>ELCGAS00</v>
      </c>
      <c r="L212" s="8">
        <f t="shared" ref="L212:R212" si="414">W212/AJ212*1.1</f>
        <v>201.299333090353</v>
      </c>
      <c r="M212" s="8">
        <f t="shared" si="414"/>
        <v>26.6596928772408</v>
      </c>
      <c r="N212" s="8">
        <f t="shared" si="414"/>
        <v>24.1200033117351</v>
      </c>
      <c r="O212" s="8">
        <f t="shared" si="414"/>
        <v>0</v>
      </c>
      <c r="P212" s="8">
        <f t="shared" si="414"/>
        <v>296.993980885531</v>
      </c>
      <c r="Q212" s="8">
        <f t="shared" si="414"/>
        <v>0</v>
      </c>
      <c r="R212" s="8">
        <f t="shared" si="414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15">AJ204</f>
        <v>0.4</v>
      </c>
      <c r="AK212">
        <f t="shared" si="415"/>
        <v>0.4</v>
      </c>
      <c r="AL212">
        <f t="shared" si="415"/>
        <v>0.4</v>
      </c>
      <c r="AM212">
        <f t="shared" si="415"/>
        <v>0.4</v>
      </c>
      <c r="AN212">
        <f t="shared" si="415"/>
        <v>0.4</v>
      </c>
      <c r="AO212">
        <f t="shared" si="415"/>
        <v>0.4</v>
      </c>
      <c r="AP212">
        <f t="shared" si="415"/>
        <v>0.4</v>
      </c>
    </row>
    <row r="213" ht="16" spans="4:42">
      <c r="D213" s="25"/>
      <c r="F213" s="8" t="s">
        <v>83</v>
      </c>
      <c r="G213" s="11" t="str">
        <f t="shared" si="409"/>
        <v>ACT_BND</v>
      </c>
      <c r="H213" t="str">
        <f t="shared" si="410"/>
        <v>UP</v>
      </c>
      <c r="J213" s="10">
        <v>2045</v>
      </c>
      <c r="K213" s="10" t="str">
        <f t="shared" si="411"/>
        <v>ELCHFO00</v>
      </c>
      <c r="L213" s="8">
        <f t="shared" ref="L213:R213" si="416">W213/AJ213*1.1</f>
        <v>0</v>
      </c>
      <c r="M213" s="8">
        <f t="shared" si="416"/>
        <v>1.19234902764459</v>
      </c>
      <c r="N213" s="8">
        <f t="shared" si="416"/>
        <v>0</v>
      </c>
      <c r="O213" s="8">
        <f t="shared" si="416"/>
        <v>0</v>
      </c>
      <c r="P213" s="8">
        <f t="shared" si="416"/>
        <v>0</v>
      </c>
      <c r="Q213" s="8">
        <f t="shared" si="416"/>
        <v>4.23806709803217</v>
      </c>
      <c r="R213" s="8">
        <f t="shared" si="416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17">AJ205</f>
        <v>0.3</v>
      </c>
      <c r="AK213">
        <f t="shared" si="417"/>
        <v>0.3</v>
      </c>
      <c r="AL213">
        <f t="shared" si="417"/>
        <v>0.3</v>
      </c>
      <c r="AM213">
        <f t="shared" si="417"/>
        <v>0.3</v>
      </c>
      <c r="AN213">
        <f t="shared" si="417"/>
        <v>0.3</v>
      </c>
      <c r="AO213">
        <f t="shared" si="417"/>
        <v>0.3</v>
      </c>
      <c r="AP213">
        <f t="shared" si="417"/>
        <v>0.3</v>
      </c>
    </row>
    <row r="214" ht="16" spans="4:42">
      <c r="D214" s="25"/>
      <c r="F214" s="8" t="s">
        <v>83</v>
      </c>
      <c r="G214" s="11" t="str">
        <f t="shared" si="409"/>
        <v>ACT_BND</v>
      </c>
      <c r="H214" t="str">
        <f t="shared" si="410"/>
        <v>UP</v>
      </c>
      <c r="J214" s="10">
        <v>2045</v>
      </c>
      <c r="K214" s="10" t="str">
        <f t="shared" si="411"/>
        <v>ELCHYD00</v>
      </c>
      <c r="L214" s="8">
        <f t="shared" ref="L214:R214" si="418">W214/AJ214*1.1</f>
        <v>5.24232727171517</v>
      </c>
      <c r="M214" s="8">
        <f t="shared" si="418"/>
        <v>251.804099532668</v>
      </c>
      <c r="N214" s="8">
        <f t="shared" si="418"/>
        <v>16.6886243028805</v>
      </c>
      <c r="O214" s="8">
        <f t="shared" si="418"/>
        <v>203.287836498854</v>
      </c>
      <c r="P214" s="8">
        <f t="shared" si="418"/>
        <v>168.444602814456</v>
      </c>
      <c r="Q214" s="8">
        <f t="shared" si="418"/>
        <v>1075.28023320196</v>
      </c>
      <c r="R214" s="8">
        <f t="shared" si="418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19">AJ206</f>
        <v>0.97</v>
      </c>
      <c r="AK214">
        <f t="shared" si="419"/>
        <v>0.97</v>
      </c>
      <c r="AL214">
        <f t="shared" si="419"/>
        <v>0.97</v>
      </c>
      <c r="AM214">
        <f t="shared" si="419"/>
        <v>0.97</v>
      </c>
      <c r="AN214">
        <f t="shared" si="419"/>
        <v>0.97</v>
      </c>
      <c r="AO214">
        <f t="shared" si="419"/>
        <v>0.97</v>
      </c>
      <c r="AP214">
        <f t="shared" si="419"/>
        <v>0.97</v>
      </c>
    </row>
    <row r="215" ht="16" spans="4:42">
      <c r="D215" s="25"/>
      <c r="F215" s="8" t="s">
        <v>83</v>
      </c>
      <c r="G215" s="11" t="str">
        <f t="shared" si="409"/>
        <v>ACT_BND</v>
      </c>
      <c r="H215" t="str">
        <f t="shared" si="410"/>
        <v>UP</v>
      </c>
      <c r="J215" s="10">
        <v>2045</v>
      </c>
      <c r="K215" s="10" t="str">
        <f t="shared" si="411"/>
        <v>ENCAN01_SMR</v>
      </c>
      <c r="L215" s="8">
        <f t="shared" ref="L215:O215" si="420">W215/AJ215</f>
        <v>21.8002052663787</v>
      </c>
      <c r="M215" s="8">
        <f t="shared" si="420"/>
        <v>49.1338259179266</v>
      </c>
      <c r="N215" s="8">
        <f t="shared" si="420"/>
        <v>23.6715885565155</v>
      </c>
      <c r="O215" s="8">
        <f t="shared" si="420"/>
        <v>36.3958492800576</v>
      </c>
      <c r="P215" s="34">
        <v>487.173443017999</v>
      </c>
      <c r="Q215" s="8">
        <f>AB215/AO215</f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21">AJ207</f>
        <v>1</v>
      </c>
      <c r="AK215">
        <f t="shared" si="421"/>
        <v>1</v>
      </c>
      <c r="AL215">
        <f t="shared" si="421"/>
        <v>1</v>
      </c>
      <c r="AM215">
        <f t="shared" si="421"/>
        <v>1</v>
      </c>
      <c r="AN215">
        <f t="shared" si="421"/>
        <v>1</v>
      </c>
      <c r="AO215">
        <f t="shared" si="421"/>
        <v>1</v>
      </c>
      <c r="AP215">
        <f t="shared" si="421"/>
        <v>1</v>
      </c>
    </row>
    <row r="216" ht="16" spans="4:42">
      <c r="D216" s="25"/>
      <c r="F216" s="8" t="s">
        <v>83</v>
      </c>
      <c r="G216" s="11" t="str">
        <f t="shared" si="409"/>
        <v>ACT_BND</v>
      </c>
      <c r="H216" t="str">
        <f t="shared" si="410"/>
        <v>UP</v>
      </c>
      <c r="J216" s="10">
        <v>2045</v>
      </c>
      <c r="K216" s="10" t="str">
        <f t="shared" si="411"/>
        <v>ELCSOL00</v>
      </c>
      <c r="L216" s="8">
        <f t="shared" ref="L216:R216" si="422">W216/AJ216*1.1</f>
        <v>98.7504059215263</v>
      </c>
      <c r="M216" s="8">
        <f t="shared" si="422"/>
        <v>46.4882702583621</v>
      </c>
      <c r="N216" s="8">
        <f t="shared" si="422"/>
        <v>8.52887911159107</v>
      </c>
      <c r="O216" s="8">
        <f t="shared" si="422"/>
        <v>1.32400941090713</v>
      </c>
      <c r="P216" s="8">
        <f t="shared" si="422"/>
        <v>67.3346384341253</v>
      </c>
      <c r="Q216" s="8">
        <f t="shared" si="422"/>
        <v>5.82385400143988</v>
      </c>
      <c r="R216" s="8">
        <f t="shared" si="422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23">AJ208</f>
        <v>1</v>
      </c>
      <c r="AK216">
        <f t="shared" si="423"/>
        <v>1</v>
      </c>
      <c r="AL216">
        <f t="shared" si="423"/>
        <v>1</v>
      </c>
      <c r="AM216">
        <f t="shared" si="423"/>
        <v>1</v>
      </c>
      <c r="AN216">
        <f t="shared" si="423"/>
        <v>1</v>
      </c>
      <c r="AO216">
        <f t="shared" si="423"/>
        <v>1</v>
      </c>
      <c r="AP216">
        <f t="shared" si="423"/>
        <v>1</v>
      </c>
    </row>
    <row r="217" ht="16" spans="4:42">
      <c r="D217" s="25"/>
      <c r="F217" s="8" t="s">
        <v>83</v>
      </c>
      <c r="G217" s="11" t="str">
        <f t="shared" si="409"/>
        <v>ACT_BND</v>
      </c>
      <c r="H217" t="str">
        <f t="shared" si="410"/>
        <v>UP</v>
      </c>
      <c r="J217" s="10">
        <v>2045</v>
      </c>
      <c r="K217" s="10" t="str">
        <f t="shared" si="411"/>
        <v>ELCWIN00</v>
      </c>
      <c r="L217" s="8">
        <f t="shared" ref="L217:R217" si="424">W217/AJ217*1.1</f>
        <v>198.055438020158</v>
      </c>
      <c r="M217" s="8">
        <f t="shared" si="424"/>
        <v>88.4298760780525</v>
      </c>
      <c r="N217" s="8">
        <f t="shared" si="424"/>
        <v>62.7466859719223</v>
      </c>
      <c r="O217" s="8">
        <f t="shared" si="424"/>
        <v>5.56650655831533</v>
      </c>
      <c r="P217" s="8">
        <f t="shared" si="424"/>
        <v>655.336995068394</v>
      </c>
      <c r="Q217" s="8">
        <f t="shared" si="424"/>
        <v>72.8565300971923</v>
      </c>
      <c r="R217" s="8">
        <f t="shared" si="424"/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25">AJ209</f>
        <v>1</v>
      </c>
      <c r="AK217">
        <f t="shared" si="425"/>
        <v>1</v>
      </c>
      <c r="AL217">
        <f t="shared" si="425"/>
        <v>1</v>
      </c>
      <c r="AM217">
        <f t="shared" si="425"/>
        <v>1</v>
      </c>
      <c r="AN217">
        <f t="shared" si="425"/>
        <v>1</v>
      </c>
      <c r="AO217">
        <f t="shared" si="425"/>
        <v>1</v>
      </c>
      <c r="AP217">
        <f t="shared" si="425"/>
        <v>1</v>
      </c>
    </row>
    <row r="218" ht="16" spans="4:42">
      <c r="D218" s="25"/>
      <c r="F218" s="8" t="s">
        <v>83</v>
      </c>
      <c r="G218" s="11" t="str">
        <f t="shared" si="409"/>
        <v>ACT_BND</v>
      </c>
      <c r="H218" t="str">
        <f t="shared" si="410"/>
        <v>UP</v>
      </c>
      <c r="J218" s="10">
        <v>2045</v>
      </c>
      <c r="K218" s="10" t="str">
        <f t="shared" si="411"/>
        <v>ELCWOO00</v>
      </c>
      <c r="L218" s="8">
        <f t="shared" ref="L218:R218" si="426">W218/AJ218*1.1</f>
        <v>213.910026771573</v>
      </c>
      <c r="M218" s="8">
        <f t="shared" si="426"/>
        <v>46.1919496363899</v>
      </c>
      <c r="N218" s="8">
        <f t="shared" si="426"/>
        <v>169.95153601769</v>
      </c>
      <c r="O218" s="8">
        <f t="shared" si="426"/>
        <v>0.640546654880182</v>
      </c>
      <c r="P218" s="8">
        <f t="shared" si="426"/>
        <v>46.3453665782165</v>
      </c>
      <c r="Q218" s="8">
        <f t="shared" si="426"/>
        <v>18.7965432767664</v>
      </c>
      <c r="R218" s="8">
        <f t="shared" si="426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27">AJ210</f>
        <v>0.35</v>
      </c>
      <c r="AK218">
        <f t="shared" si="427"/>
        <v>0.35</v>
      </c>
      <c r="AL218">
        <f t="shared" si="427"/>
        <v>0.35</v>
      </c>
      <c r="AM218">
        <f t="shared" si="427"/>
        <v>0.35</v>
      </c>
      <c r="AN218">
        <f t="shared" si="427"/>
        <v>0.35</v>
      </c>
      <c r="AO218">
        <f t="shared" si="427"/>
        <v>0.35</v>
      </c>
      <c r="AP218">
        <f t="shared" si="427"/>
        <v>0.35</v>
      </c>
    </row>
    <row r="219" ht="16" spans="4:42">
      <c r="D219" s="25"/>
      <c r="F219" s="8" t="s">
        <v>83</v>
      </c>
      <c r="G219" s="11" t="str">
        <f t="shared" si="409"/>
        <v>ACT_BND</v>
      </c>
      <c r="H219" t="str">
        <f t="shared" si="410"/>
        <v>UP</v>
      </c>
      <c r="J219" s="10">
        <v>2046</v>
      </c>
      <c r="K219" s="10" t="str">
        <f t="shared" si="411"/>
        <v>ELCCOH00</v>
      </c>
      <c r="L219" s="8">
        <f t="shared" ref="L219:R219" si="428">W219/AJ219*1.1</f>
        <v>0</v>
      </c>
      <c r="M219" s="8">
        <f t="shared" si="428"/>
        <v>0</v>
      </c>
      <c r="N219" s="8">
        <f t="shared" si="428"/>
        <v>0</v>
      </c>
      <c r="O219" s="8">
        <f t="shared" si="428"/>
        <v>0</v>
      </c>
      <c r="P219" s="8">
        <f t="shared" si="428"/>
        <v>0</v>
      </c>
      <c r="Q219" s="8">
        <f t="shared" si="428"/>
        <v>0</v>
      </c>
      <c r="R219" s="8">
        <f t="shared" si="428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429">AJ211</f>
        <v>0.38</v>
      </c>
      <c r="AK219">
        <f t="shared" si="429"/>
        <v>0.38</v>
      </c>
      <c r="AL219">
        <f t="shared" si="429"/>
        <v>0.38</v>
      </c>
      <c r="AM219">
        <f t="shared" si="429"/>
        <v>0.38</v>
      </c>
      <c r="AN219">
        <f t="shared" si="429"/>
        <v>0.38</v>
      </c>
      <c r="AO219">
        <f t="shared" si="429"/>
        <v>0.38</v>
      </c>
      <c r="AP219">
        <f t="shared" si="429"/>
        <v>0.38</v>
      </c>
    </row>
    <row r="220" ht="16" spans="4:42">
      <c r="D220" s="25"/>
      <c r="F220" s="8" t="s">
        <v>83</v>
      </c>
      <c r="G220" s="11" t="str">
        <f t="shared" si="409"/>
        <v>ACT_BND</v>
      </c>
      <c r="H220" t="str">
        <f t="shared" si="410"/>
        <v>UP</v>
      </c>
      <c r="J220" s="10">
        <v>2046</v>
      </c>
      <c r="K220" s="10" t="str">
        <f t="shared" si="411"/>
        <v>ELCGAS00</v>
      </c>
      <c r="L220" s="8">
        <f t="shared" ref="L220:R220" si="430">W220/AJ220*1.1</f>
        <v>202.681328266739</v>
      </c>
      <c r="M220" s="8">
        <f t="shared" si="430"/>
        <v>29.4577044644889</v>
      </c>
      <c r="N220" s="8">
        <f t="shared" si="430"/>
        <v>24.4431938048956</v>
      </c>
      <c r="O220" s="8">
        <f t="shared" si="430"/>
        <v>0</v>
      </c>
      <c r="P220" s="8">
        <f t="shared" si="430"/>
        <v>335.179101232902</v>
      </c>
      <c r="Q220" s="8">
        <f t="shared" si="430"/>
        <v>0</v>
      </c>
      <c r="R220" s="8">
        <f t="shared" si="430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431">AJ212</f>
        <v>0.4</v>
      </c>
      <c r="AK220">
        <f t="shared" si="431"/>
        <v>0.4</v>
      </c>
      <c r="AL220">
        <f t="shared" si="431"/>
        <v>0.4</v>
      </c>
      <c r="AM220">
        <f t="shared" si="431"/>
        <v>0.4</v>
      </c>
      <c r="AN220">
        <f t="shared" si="431"/>
        <v>0.4</v>
      </c>
      <c r="AO220">
        <f t="shared" si="431"/>
        <v>0.4</v>
      </c>
      <c r="AP220">
        <f t="shared" si="431"/>
        <v>0.4</v>
      </c>
    </row>
    <row r="221" ht="16" spans="4:42">
      <c r="D221" s="25"/>
      <c r="F221" s="8" t="s">
        <v>83</v>
      </c>
      <c r="G221" s="11" t="str">
        <f t="shared" si="409"/>
        <v>ACT_BND</v>
      </c>
      <c r="H221" t="str">
        <f t="shared" si="410"/>
        <v>UP</v>
      </c>
      <c r="J221" s="10">
        <v>2046</v>
      </c>
      <c r="K221" s="10" t="str">
        <f t="shared" si="411"/>
        <v>ELCHFO00</v>
      </c>
      <c r="L221" s="8">
        <f t="shared" ref="L221:R221" si="432">W221/AJ221*1.1</f>
        <v>0</v>
      </c>
      <c r="M221" s="8">
        <f t="shared" si="432"/>
        <v>1.26456668724502</v>
      </c>
      <c r="N221" s="8">
        <f t="shared" si="432"/>
        <v>0</v>
      </c>
      <c r="O221" s="8">
        <f t="shared" si="432"/>
        <v>0</v>
      </c>
      <c r="P221" s="8">
        <f t="shared" si="432"/>
        <v>0</v>
      </c>
      <c r="Q221" s="8">
        <f t="shared" si="432"/>
        <v>4.23983486561074</v>
      </c>
      <c r="R221" s="8">
        <f t="shared" si="432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433">AJ213</f>
        <v>0.3</v>
      </c>
      <c r="AK221">
        <f t="shared" si="433"/>
        <v>0.3</v>
      </c>
      <c r="AL221">
        <f t="shared" si="433"/>
        <v>0.3</v>
      </c>
      <c r="AM221">
        <f t="shared" si="433"/>
        <v>0.3</v>
      </c>
      <c r="AN221">
        <f t="shared" si="433"/>
        <v>0.3</v>
      </c>
      <c r="AO221">
        <f t="shared" si="433"/>
        <v>0.3</v>
      </c>
      <c r="AP221">
        <f t="shared" si="433"/>
        <v>0.3</v>
      </c>
    </row>
    <row r="222" ht="16" spans="4:42">
      <c r="D222" s="25"/>
      <c r="F222" s="8" t="s">
        <v>83</v>
      </c>
      <c r="G222" s="11" t="str">
        <f t="shared" si="409"/>
        <v>ACT_BND</v>
      </c>
      <c r="H222" t="str">
        <f t="shared" si="410"/>
        <v>UP</v>
      </c>
      <c r="J222" s="10">
        <v>2046</v>
      </c>
      <c r="K222" s="10" t="str">
        <f t="shared" si="411"/>
        <v>ELCHYD00</v>
      </c>
      <c r="L222" s="8">
        <f t="shared" ref="L222:R222" si="434">W222/AJ222*1.1</f>
        <v>5.30184764200307</v>
      </c>
      <c r="M222" s="8">
        <f t="shared" si="434"/>
        <v>254.016952935473</v>
      </c>
      <c r="N222" s="8">
        <f t="shared" si="434"/>
        <v>16.7052445058003</v>
      </c>
      <c r="O222" s="8">
        <f t="shared" si="434"/>
        <v>203.444354000133</v>
      </c>
      <c r="P222" s="8">
        <f t="shared" si="434"/>
        <v>168.121200871353</v>
      </c>
      <c r="Q222" s="8">
        <f t="shared" si="434"/>
        <v>1075.71123900603</v>
      </c>
      <c r="R222" s="8">
        <f t="shared" si="434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435">AJ214</f>
        <v>0.97</v>
      </c>
      <c r="AK222">
        <f t="shared" si="435"/>
        <v>0.97</v>
      </c>
      <c r="AL222">
        <f t="shared" si="435"/>
        <v>0.97</v>
      </c>
      <c r="AM222">
        <f t="shared" si="435"/>
        <v>0.97</v>
      </c>
      <c r="AN222">
        <f t="shared" si="435"/>
        <v>0.97</v>
      </c>
      <c r="AO222">
        <f t="shared" si="435"/>
        <v>0.97</v>
      </c>
      <c r="AP222">
        <f t="shared" si="435"/>
        <v>0.97</v>
      </c>
    </row>
    <row r="223" ht="16" spans="4:42">
      <c r="D223" s="25"/>
      <c r="F223" s="8" t="s">
        <v>83</v>
      </c>
      <c r="G223" s="11" t="str">
        <f t="shared" si="409"/>
        <v>ACT_BND</v>
      </c>
      <c r="H223" t="str">
        <f t="shared" si="410"/>
        <v>UP</v>
      </c>
      <c r="J223" s="10">
        <v>2046</v>
      </c>
      <c r="K223" s="10" t="str">
        <f t="shared" si="411"/>
        <v>ENCAN01_SMR</v>
      </c>
      <c r="L223" s="8">
        <f t="shared" ref="L223:O223" si="436">W223/AJ223</f>
        <v>26.0241239308855</v>
      </c>
      <c r="M223" s="8">
        <f t="shared" si="436"/>
        <v>49.0883930525558</v>
      </c>
      <c r="N223" s="8">
        <f t="shared" si="436"/>
        <v>23.8371594060475</v>
      </c>
      <c r="O223" s="8">
        <f t="shared" si="436"/>
        <v>38.4090710943125</v>
      </c>
      <c r="P223" s="34">
        <v>494.765289310295</v>
      </c>
      <c r="Q223" s="8">
        <f>AB223/AO223</f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437">AJ215</f>
        <v>1</v>
      </c>
      <c r="AK223">
        <f t="shared" si="437"/>
        <v>1</v>
      </c>
      <c r="AL223">
        <f t="shared" si="437"/>
        <v>1</v>
      </c>
      <c r="AM223">
        <f t="shared" si="437"/>
        <v>1</v>
      </c>
      <c r="AN223">
        <f t="shared" si="437"/>
        <v>1</v>
      </c>
      <c r="AO223">
        <f t="shared" si="437"/>
        <v>1</v>
      </c>
      <c r="AP223">
        <f t="shared" si="437"/>
        <v>1</v>
      </c>
    </row>
    <row r="224" ht="16" spans="4:42">
      <c r="D224" s="25"/>
      <c r="F224" s="8" t="s">
        <v>83</v>
      </c>
      <c r="G224" s="11" t="str">
        <f t="shared" si="409"/>
        <v>ACT_BND</v>
      </c>
      <c r="H224" t="str">
        <f t="shared" si="410"/>
        <v>UP</v>
      </c>
      <c r="J224" s="10">
        <v>2046</v>
      </c>
      <c r="K224" s="10" t="str">
        <f t="shared" si="411"/>
        <v>ELCSOL00</v>
      </c>
      <c r="L224" s="8">
        <f t="shared" ref="L224:R224" si="438">W224/AJ224*1.1</f>
        <v>98.6453529913607</v>
      </c>
      <c r="M224" s="8">
        <f t="shared" si="438"/>
        <v>47.8433864480634</v>
      </c>
      <c r="N224" s="8">
        <f t="shared" si="438"/>
        <v>8.64153494636429</v>
      </c>
      <c r="O224" s="8">
        <f t="shared" si="438"/>
        <v>1.32991519290857</v>
      </c>
      <c r="P224" s="8">
        <f t="shared" si="438"/>
        <v>68.1013008963283</v>
      </c>
      <c r="Q224" s="8">
        <f t="shared" si="438"/>
        <v>5.93922748956084</v>
      </c>
      <c r="R224" s="8">
        <f t="shared" si="438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439">AJ216</f>
        <v>1</v>
      </c>
      <c r="AK224">
        <f t="shared" si="439"/>
        <v>1</v>
      </c>
      <c r="AL224">
        <f t="shared" si="439"/>
        <v>1</v>
      </c>
      <c r="AM224">
        <f t="shared" si="439"/>
        <v>1</v>
      </c>
      <c r="AN224">
        <f t="shared" si="439"/>
        <v>1</v>
      </c>
      <c r="AO224">
        <f t="shared" si="439"/>
        <v>1</v>
      </c>
      <c r="AP224">
        <f t="shared" si="439"/>
        <v>1</v>
      </c>
    </row>
    <row r="225" ht="16" spans="4:42">
      <c r="D225" s="25"/>
      <c r="F225" s="8" t="s">
        <v>83</v>
      </c>
      <c r="G225" s="11" t="str">
        <f t="shared" si="409"/>
        <v>ACT_BND</v>
      </c>
      <c r="H225" t="str">
        <f t="shared" si="410"/>
        <v>UP</v>
      </c>
      <c r="J225" s="10">
        <v>2046</v>
      </c>
      <c r="K225" s="10" t="str">
        <f t="shared" si="411"/>
        <v>ELCWIN00</v>
      </c>
      <c r="L225" s="8">
        <f t="shared" ref="L225:R225" si="440">W225/AJ225*1.1</f>
        <v>198.653583016559</v>
      </c>
      <c r="M225" s="8">
        <f t="shared" si="440"/>
        <v>92.2962100089381</v>
      </c>
      <c r="N225" s="8">
        <f t="shared" si="440"/>
        <v>62.7941540604752</v>
      </c>
      <c r="O225" s="8">
        <f t="shared" si="440"/>
        <v>5.57376141468683</v>
      </c>
      <c r="P225" s="8">
        <f t="shared" si="440"/>
        <v>699.786580273579</v>
      </c>
      <c r="Q225" s="8">
        <f t="shared" si="440"/>
        <v>72.8565300971923</v>
      </c>
      <c r="R225" s="8">
        <f t="shared" si="440"/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441">AJ217</f>
        <v>1</v>
      </c>
      <c r="AK225">
        <f t="shared" si="441"/>
        <v>1</v>
      </c>
      <c r="AL225">
        <f t="shared" si="441"/>
        <v>1</v>
      </c>
      <c r="AM225">
        <f t="shared" si="441"/>
        <v>1</v>
      </c>
      <c r="AN225">
        <f t="shared" si="441"/>
        <v>1</v>
      </c>
      <c r="AO225">
        <f t="shared" si="441"/>
        <v>1</v>
      </c>
      <c r="AP225">
        <f t="shared" si="441"/>
        <v>1</v>
      </c>
    </row>
    <row r="226" ht="16" spans="4:42">
      <c r="D226" s="25"/>
      <c r="F226" s="8" t="s">
        <v>83</v>
      </c>
      <c r="G226" s="11" t="str">
        <f t="shared" si="409"/>
        <v>ACT_BND</v>
      </c>
      <c r="H226" t="str">
        <f t="shared" si="410"/>
        <v>UP</v>
      </c>
      <c r="J226" s="10">
        <v>2046</v>
      </c>
      <c r="K226" s="10" t="str">
        <f t="shared" si="411"/>
        <v>ELCWOO00</v>
      </c>
      <c r="L226" s="8">
        <f t="shared" ref="L226:R226" si="442">W226/AJ226*1.1</f>
        <v>230.697825259694</v>
      </c>
      <c r="M226" s="8">
        <f t="shared" si="442"/>
        <v>47.6747287296924</v>
      </c>
      <c r="N226" s="8">
        <f t="shared" si="442"/>
        <v>182.870122575337</v>
      </c>
      <c r="O226" s="8">
        <f t="shared" si="442"/>
        <v>0.697926834042991</v>
      </c>
      <c r="P226" s="8">
        <f t="shared" si="442"/>
        <v>48.9353362295588</v>
      </c>
      <c r="Q226" s="8">
        <f t="shared" si="442"/>
        <v>19.260926734547</v>
      </c>
      <c r="R226" s="8">
        <f t="shared" si="442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443">AJ218</f>
        <v>0.35</v>
      </c>
      <c r="AK226">
        <f t="shared" si="443"/>
        <v>0.35</v>
      </c>
      <c r="AL226">
        <f t="shared" si="443"/>
        <v>0.35</v>
      </c>
      <c r="AM226">
        <f t="shared" si="443"/>
        <v>0.35</v>
      </c>
      <c r="AN226">
        <f t="shared" si="443"/>
        <v>0.35</v>
      </c>
      <c r="AO226">
        <f t="shared" si="443"/>
        <v>0.35</v>
      </c>
      <c r="AP226">
        <f t="shared" si="443"/>
        <v>0.35</v>
      </c>
    </row>
    <row r="227" ht="16" spans="4:42">
      <c r="D227" s="25"/>
      <c r="F227" s="8" t="s">
        <v>83</v>
      </c>
      <c r="G227" s="11" t="str">
        <f t="shared" si="409"/>
        <v>ACT_BND</v>
      </c>
      <c r="H227" t="str">
        <f t="shared" si="410"/>
        <v>UP</v>
      </c>
      <c r="J227" s="10">
        <v>2047</v>
      </c>
      <c r="K227" s="10" t="str">
        <f t="shared" si="411"/>
        <v>ELCCOH00</v>
      </c>
      <c r="L227" s="8">
        <f t="shared" ref="L227:R227" si="444">W227/AJ227*1.1</f>
        <v>0</v>
      </c>
      <c r="M227" s="8">
        <f t="shared" si="444"/>
        <v>0</v>
      </c>
      <c r="N227" s="8">
        <f t="shared" si="444"/>
        <v>0</v>
      </c>
      <c r="O227" s="8">
        <f t="shared" si="444"/>
        <v>0</v>
      </c>
      <c r="P227" s="8">
        <f t="shared" si="444"/>
        <v>0</v>
      </c>
      <c r="Q227" s="8">
        <f t="shared" si="444"/>
        <v>0</v>
      </c>
      <c r="R227" s="8">
        <f t="shared" si="444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445">AJ219</f>
        <v>0.38</v>
      </c>
      <c r="AK227">
        <f t="shared" si="445"/>
        <v>0.38</v>
      </c>
      <c r="AL227">
        <f t="shared" si="445"/>
        <v>0.38</v>
      </c>
      <c r="AM227">
        <f t="shared" si="445"/>
        <v>0.38</v>
      </c>
      <c r="AN227">
        <f t="shared" si="445"/>
        <v>0.38</v>
      </c>
      <c r="AO227">
        <f t="shared" si="445"/>
        <v>0.38</v>
      </c>
      <c r="AP227">
        <f t="shared" si="445"/>
        <v>0.38</v>
      </c>
    </row>
    <row r="228" ht="16" spans="4:42">
      <c r="D228" s="25"/>
      <c r="F228" s="8" t="s">
        <v>83</v>
      </c>
      <c r="G228" s="11" t="str">
        <f t="shared" si="409"/>
        <v>ACT_BND</v>
      </c>
      <c r="H228" t="str">
        <f t="shared" si="410"/>
        <v>UP</v>
      </c>
      <c r="J228" s="10">
        <v>2047</v>
      </c>
      <c r="K228" s="10" t="str">
        <f t="shared" si="411"/>
        <v>ELCGAS00</v>
      </c>
      <c r="L228" s="8">
        <f t="shared" ref="L228:R228" si="446">W228/AJ228*1.1</f>
        <v>207.792558450324</v>
      </c>
      <c r="M228" s="8">
        <f t="shared" si="446"/>
        <v>34.8418935705544</v>
      </c>
      <c r="N228" s="8">
        <f t="shared" si="446"/>
        <v>26.045336637869</v>
      </c>
      <c r="O228" s="8">
        <f t="shared" si="446"/>
        <v>0</v>
      </c>
      <c r="P228" s="8">
        <f t="shared" si="446"/>
        <v>371.501505021597</v>
      </c>
      <c r="Q228" s="8">
        <f t="shared" si="446"/>
        <v>0</v>
      </c>
      <c r="R228" s="8">
        <f t="shared" si="446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447">AJ220</f>
        <v>0.4</v>
      </c>
      <c r="AK228">
        <f t="shared" si="447"/>
        <v>0.4</v>
      </c>
      <c r="AL228">
        <f t="shared" si="447"/>
        <v>0.4</v>
      </c>
      <c r="AM228">
        <f t="shared" si="447"/>
        <v>0.4</v>
      </c>
      <c r="AN228">
        <f t="shared" si="447"/>
        <v>0.4</v>
      </c>
      <c r="AO228">
        <f t="shared" si="447"/>
        <v>0.4</v>
      </c>
      <c r="AP228">
        <f t="shared" si="447"/>
        <v>0.4</v>
      </c>
    </row>
    <row r="229" ht="16" spans="4:42">
      <c r="D229" s="25"/>
      <c r="F229" s="8" t="s">
        <v>83</v>
      </c>
      <c r="G229" s="11" t="str">
        <f t="shared" si="409"/>
        <v>ACT_BND</v>
      </c>
      <c r="H229" t="str">
        <f t="shared" si="410"/>
        <v>UP</v>
      </c>
      <c r="J229" s="10">
        <v>2047</v>
      </c>
      <c r="K229" s="10" t="str">
        <f t="shared" si="411"/>
        <v>ELCHFO00</v>
      </c>
      <c r="L229" s="8">
        <f t="shared" ref="L229:R229" si="448">W229/AJ229*1.1</f>
        <v>0</v>
      </c>
      <c r="M229" s="8">
        <f t="shared" si="448"/>
        <v>1.33651393201344</v>
      </c>
      <c r="N229" s="8">
        <f t="shared" si="448"/>
        <v>0</v>
      </c>
      <c r="O229" s="8">
        <f t="shared" si="448"/>
        <v>0</v>
      </c>
      <c r="P229" s="8">
        <f t="shared" si="448"/>
        <v>0</v>
      </c>
      <c r="Q229" s="8">
        <f t="shared" si="448"/>
        <v>4.27677003839694</v>
      </c>
      <c r="R229" s="8">
        <f t="shared" si="448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449">AJ221</f>
        <v>0.3</v>
      </c>
      <c r="AK229">
        <f t="shared" si="449"/>
        <v>0.3</v>
      </c>
      <c r="AL229">
        <f t="shared" si="449"/>
        <v>0.3</v>
      </c>
      <c r="AM229">
        <f t="shared" si="449"/>
        <v>0.3</v>
      </c>
      <c r="AN229">
        <f t="shared" si="449"/>
        <v>0.3</v>
      </c>
      <c r="AO229">
        <f t="shared" si="449"/>
        <v>0.3</v>
      </c>
      <c r="AP229">
        <f t="shared" si="449"/>
        <v>0.3</v>
      </c>
    </row>
    <row r="230" ht="16" spans="4:42">
      <c r="D230" s="25"/>
      <c r="F230" s="8" t="s">
        <v>83</v>
      </c>
      <c r="G230" s="11" t="str">
        <f t="shared" si="409"/>
        <v>ACT_BND</v>
      </c>
      <c r="H230" t="str">
        <f t="shared" si="410"/>
        <v>UP</v>
      </c>
      <c r="J230" s="10">
        <v>2047</v>
      </c>
      <c r="K230" s="10" t="str">
        <f t="shared" si="411"/>
        <v>ELCHYD00</v>
      </c>
      <c r="L230" s="8">
        <f t="shared" ref="L230:R230" si="450">W230/AJ230*1.1</f>
        <v>5.35912985645685</v>
      </c>
      <c r="M230" s="8">
        <f t="shared" si="450"/>
        <v>256.890265946464</v>
      </c>
      <c r="N230" s="8">
        <f t="shared" si="450"/>
        <v>16.7129873030364</v>
      </c>
      <c r="O230" s="8">
        <f t="shared" si="450"/>
        <v>203.655930080233</v>
      </c>
      <c r="P230" s="8">
        <f t="shared" si="450"/>
        <v>167.700743622573</v>
      </c>
      <c r="Q230" s="8">
        <f t="shared" si="450"/>
        <v>1075.90413150453</v>
      </c>
      <c r="R230" s="8">
        <f t="shared" si="45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451">AJ222</f>
        <v>0.97</v>
      </c>
      <c r="AK230">
        <f t="shared" si="451"/>
        <v>0.97</v>
      </c>
      <c r="AL230">
        <f t="shared" si="451"/>
        <v>0.97</v>
      </c>
      <c r="AM230">
        <f t="shared" si="451"/>
        <v>0.97</v>
      </c>
      <c r="AN230">
        <f t="shared" si="451"/>
        <v>0.97</v>
      </c>
      <c r="AO230">
        <f t="shared" si="451"/>
        <v>0.97</v>
      </c>
      <c r="AP230">
        <f t="shared" si="451"/>
        <v>0.97</v>
      </c>
    </row>
    <row r="231" ht="16" spans="4:42">
      <c r="D231" s="25"/>
      <c r="F231" s="8" t="s">
        <v>83</v>
      </c>
      <c r="G231" s="11" t="str">
        <f t="shared" si="409"/>
        <v>ACT_BND</v>
      </c>
      <c r="H231" t="str">
        <f t="shared" si="410"/>
        <v>UP</v>
      </c>
      <c r="J231" s="10">
        <v>2047</v>
      </c>
      <c r="K231" s="10" t="str">
        <f t="shared" si="411"/>
        <v>ENCAN01_SMR</v>
      </c>
      <c r="L231" s="8">
        <f t="shared" ref="L231:O231" si="452">W231/AJ231</f>
        <v>30.7541727645788</v>
      </c>
      <c r="M231" s="8">
        <f t="shared" si="452"/>
        <v>49.8929395608351</v>
      </c>
      <c r="N231" s="8">
        <f t="shared" si="452"/>
        <v>24.1296509179266</v>
      </c>
      <c r="O231" s="8">
        <f t="shared" si="452"/>
        <v>40.7172519078474</v>
      </c>
      <c r="P231" s="34">
        <v>501.613111844492</v>
      </c>
      <c r="Q231" s="8">
        <f>AB231/AO231</f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453">AJ223</f>
        <v>1</v>
      </c>
      <c r="AK231">
        <f t="shared" si="453"/>
        <v>1</v>
      </c>
      <c r="AL231">
        <f t="shared" si="453"/>
        <v>1</v>
      </c>
      <c r="AM231">
        <f t="shared" si="453"/>
        <v>1</v>
      </c>
      <c r="AN231">
        <f t="shared" si="453"/>
        <v>1</v>
      </c>
      <c r="AO231">
        <f t="shared" si="453"/>
        <v>1</v>
      </c>
      <c r="AP231">
        <f t="shared" si="453"/>
        <v>1</v>
      </c>
    </row>
    <row r="232" ht="16" spans="4:42">
      <c r="D232" s="25"/>
      <c r="F232" s="8" t="s">
        <v>83</v>
      </c>
      <c r="G232" s="11" t="str">
        <f t="shared" si="409"/>
        <v>ACT_BND</v>
      </c>
      <c r="H232" t="str">
        <f t="shared" si="410"/>
        <v>UP</v>
      </c>
      <c r="J232" s="10">
        <v>2047</v>
      </c>
      <c r="K232" s="10" t="str">
        <f t="shared" si="411"/>
        <v>ELCSOL00</v>
      </c>
      <c r="L232" s="8">
        <f t="shared" ref="L232:R232" si="454">W232/AJ232*1.1</f>
        <v>99.3380273470122</v>
      </c>
      <c r="M232" s="8">
        <f t="shared" si="454"/>
        <v>49.1973702415371</v>
      </c>
      <c r="N232" s="8">
        <f t="shared" si="454"/>
        <v>8.75186782901368</v>
      </c>
      <c r="O232" s="8">
        <f t="shared" si="454"/>
        <v>1.33582097491</v>
      </c>
      <c r="P232" s="8">
        <f t="shared" si="454"/>
        <v>68.9508482793376</v>
      </c>
      <c r="Q232" s="8">
        <f t="shared" si="454"/>
        <v>6.05460097768178</v>
      </c>
      <c r="R232" s="8">
        <f t="shared" si="454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455">AJ224</f>
        <v>1</v>
      </c>
      <c r="AK232">
        <f t="shared" si="455"/>
        <v>1</v>
      </c>
      <c r="AL232">
        <f t="shared" si="455"/>
        <v>1</v>
      </c>
      <c r="AM232">
        <f t="shared" si="455"/>
        <v>1</v>
      </c>
      <c r="AN232">
        <f t="shared" si="455"/>
        <v>1</v>
      </c>
      <c r="AO232">
        <f t="shared" si="455"/>
        <v>1</v>
      </c>
      <c r="AP232">
        <f t="shared" si="455"/>
        <v>1</v>
      </c>
    </row>
    <row r="233" ht="16" spans="4:42">
      <c r="D233" s="25"/>
      <c r="F233" s="8" t="s">
        <v>83</v>
      </c>
      <c r="G233" s="11" t="str">
        <f t="shared" si="409"/>
        <v>ACT_BND</v>
      </c>
      <c r="H233" t="str">
        <f t="shared" si="410"/>
        <v>UP</v>
      </c>
      <c r="J233" s="10">
        <v>2047</v>
      </c>
      <c r="K233" s="10" t="str">
        <f t="shared" si="411"/>
        <v>ELCWIN00</v>
      </c>
      <c r="L233" s="8">
        <f t="shared" ref="L233:R233" si="456">W233/AJ233*1.1</f>
        <v>198.936686033117</v>
      </c>
      <c r="M233" s="8">
        <f t="shared" si="456"/>
        <v>96.1637157288805</v>
      </c>
      <c r="N233" s="8">
        <f t="shared" si="456"/>
        <v>62.8439361483082</v>
      </c>
      <c r="O233" s="8">
        <f t="shared" si="456"/>
        <v>5.58279210187185</v>
      </c>
      <c r="P233" s="8">
        <f t="shared" si="456"/>
        <v>743.158777645788</v>
      </c>
      <c r="Q233" s="8">
        <f t="shared" si="456"/>
        <v>72.8565300971923</v>
      </c>
      <c r="R233" s="8">
        <f t="shared" si="456"/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457">AJ225</f>
        <v>1</v>
      </c>
      <c r="AK233">
        <f t="shared" si="457"/>
        <v>1</v>
      </c>
      <c r="AL233">
        <f t="shared" si="457"/>
        <v>1</v>
      </c>
      <c r="AM233">
        <f t="shared" si="457"/>
        <v>1</v>
      </c>
      <c r="AN233">
        <f t="shared" si="457"/>
        <v>1</v>
      </c>
      <c r="AO233">
        <f t="shared" si="457"/>
        <v>1</v>
      </c>
      <c r="AP233">
        <f t="shared" si="457"/>
        <v>1</v>
      </c>
    </row>
    <row r="234" ht="16" spans="4:42">
      <c r="D234" s="25"/>
      <c r="F234" s="8" t="s">
        <v>83</v>
      </c>
      <c r="G234" s="11" t="str">
        <f t="shared" si="409"/>
        <v>ACT_BND</v>
      </c>
      <c r="H234" t="str">
        <f t="shared" si="410"/>
        <v>UP</v>
      </c>
      <c r="J234" s="10">
        <v>2047</v>
      </c>
      <c r="K234" s="10" t="str">
        <f t="shared" si="411"/>
        <v>ELCWOO00</v>
      </c>
      <c r="L234" s="8">
        <f t="shared" ref="L234:R234" si="458">W234/AJ234*1.1</f>
        <v>247.847721618842</v>
      </c>
      <c r="M234" s="8">
        <f t="shared" si="458"/>
        <v>51.0866808268231</v>
      </c>
      <c r="N234" s="8">
        <f t="shared" si="458"/>
        <v>195.834132582536</v>
      </c>
      <c r="O234" s="8">
        <f t="shared" si="458"/>
        <v>0.756572551948988</v>
      </c>
      <c r="P234" s="8">
        <f t="shared" si="458"/>
        <v>51.4340785806851</v>
      </c>
      <c r="Q234" s="8">
        <f t="shared" si="458"/>
        <v>19.4277108433611</v>
      </c>
      <c r="R234" s="8">
        <f t="shared" si="458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459">AJ226</f>
        <v>0.35</v>
      </c>
      <c r="AK234">
        <f t="shared" si="459"/>
        <v>0.35</v>
      </c>
      <c r="AL234">
        <f t="shared" si="459"/>
        <v>0.35</v>
      </c>
      <c r="AM234">
        <f t="shared" si="459"/>
        <v>0.35</v>
      </c>
      <c r="AN234">
        <f t="shared" si="459"/>
        <v>0.35</v>
      </c>
      <c r="AO234">
        <f t="shared" si="459"/>
        <v>0.35</v>
      </c>
      <c r="AP234">
        <f t="shared" si="459"/>
        <v>0.35</v>
      </c>
    </row>
    <row r="235" ht="16" spans="4:42">
      <c r="D235" s="25"/>
      <c r="F235" s="8" t="s">
        <v>83</v>
      </c>
      <c r="G235" s="11" t="str">
        <f t="shared" si="409"/>
        <v>ACT_BND</v>
      </c>
      <c r="H235" t="str">
        <f t="shared" si="410"/>
        <v>UP</v>
      </c>
      <c r="J235" s="10">
        <v>2048</v>
      </c>
      <c r="K235" s="10" t="str">
        <f t="shared" si="411"/>
        <v>ELCCOH00</v>
      </c>
      <c r="L235" s="8">
        <f t="shared" ref="L235:R235" si="460">W235/AJ235*1.1</f>
        <v>0</v>
      </c>
      <c r="M235" s="8">
        <f t="shared" si="460"/>
        <v>0</v>
      </c>
      <c r="N235" s="8">
        <f t="shared" si="460"/>
        <v>0</v>
      </c>
      <c r="O235" s="8">
        <f t="shared" si="460"/>
        <v>0</v>
      </c>
      <c r="P235" s="8">
        <f t="shared" si="460"/>
        <v>0</v>
      </c>
      <c r="Q235" s="8">
        <f t="shared" si="460"/>
        <v>0</v>
      </c>
      <c r="R235" s="8">
        <f t="shared" si="460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461">AJ227</f>
        <v>0.38</v>
      </c>
      <c r="AK235">
        <f t="shared" si="461"/>
        <v>0.38</v>
      </c>
      <c r="AL235">
        <f t="shared" si="461"/>
        <v>0.38</v>
      </c>
      <c r="AM235">
        <f t="shared" si="461"/>
        <v>0.38</v>
      </c>
      <c r="AN235">
        <f t="shared" si="461"/>
        <v>0.38</v>
      </c>
      <c r="AO235">
        <f t="shared" si="461"/>
        <v>0.38</v>
      </c>
      <c r="AP235">
        <f t="shared" si="461"/>
        <v>0.38</v>
      </c>
    </row>
    <row r="236" ht="16" spans="4:42">
      <c r="D236" s="25"/>
      <c r="F236" s="8" t="s">
        <v>83</v>
      </c>
      <c r="G236" s="11" t="str">
        <f t="shared" si="409"/>
        <v>ACT_BND</v>
      </c>
      <c r="H236" t="str">
        <f t="shared" si="410"/>
        <v>UP</v>
      </c>
      <c r="J236" s="10">
        <v>2048</v>
      </c>
      <c r="K236" s="10" t="str">
        <f t="shared" si="411"/>
        <v>ELCGAS00</v>
      </c>
      <c r="L236" s="8">
        <f t="shared" ref="L236:R236" si="462">W236/AJ236*1.1</f>
        <v>214.261484026278</v>
      </c>
      <c r="M236" s="8">
        <f t="shared" si="462"/>
        <v>42.3876422409467</v>
      </c>
      <c r="N236" s="8">
        <f t="shared" si="462"/>
        <v>27.5223871580273</v>
      </c>
      <c r="O236" s="8">
        <f t="shared" si="462"/>
        <v>0</v>
      </c>
      <c r="P236" s="8">
        <f t="shared" si="462"/>
        <v>409.115611330093</v>
      </c>
      <c r="Q236" s="8">
        <f t="shared" si="462"/>
        <v>0</v>
      </c>
      <c r="R236" s="8">
        <f t="shared" si="462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463">AJ228</f>
        <v>0.4</v>
      </c>
      <c r="AK236">
        <f t="shared" si="463"/>
        <v>0.4</v>
      </c>
      <c r="AL236">
        <f t="shared" si="463"/>
        <v>0.4</v>
      </c>
      <c r="AM236">
        <f t="shared" si="463"/>
        <v>0.4</v>
      </c>
      <c r="AN236">
        <f t="shared" si="463"/>
        <v>0.4</v>
      </c>
      <c r="AO236">
        <f t="shared" si="463"/>
        <v>0.4</v>
      </c>
      <c r="AP236">
        <f t="shared" si="463"/>
        <v>0.4</v>
      </c>
    </row>
    <row r="237" ht="16" spans="4:42">
      <c r="D237" s="25"/>
      <c r="F237" s="8" t="s">
        <v>83</v>
      </c>
      <c r="G237" s="11" t="str">
        <f t="shared" si="409"/>
        <v>ACT_BND</v>
      </c>
      <c r="H237" t="str">
        <f t="shared" si="410"/>
        <v>UP</v>
      </c>
      <c r="J237" s="10">
        <v>2048</v>
      </c>
      <c r="K237" s="10" t="str">
        <f t="shared" si="411"/>
        <v>ELCHFO00</v>
      </c>
      <c r="L237" s="8">
        <f t="shared" ref="L237:R237" si="464">W237/AJ237*1.1</f>
        <v>0</v>
      </c>
      <c r="M237" s="8">
        <f t="shared" si="464"/>
        <v>1.40162126115911</v>
      </c>
      <c r="N237" s="8">
        <f t="shared" si="464"/>
        <v>0</v>
      </c>
      <c r="O237" s="8">
        <f t="shared" si="464"/>
        <v>0</v>
      </c>
      <c r="P237" s="8">
        <f t="shared" si="464"/>
        <v>0</v>
      </c>
      <c r="Q237" s="8">
        <f t="shared" si="464"/>
        <v>4.27881967470602</v>
      </c>
      <c r="R237" s="8">
        <f t="shared" si="46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465">AJ229</f>
        <v>0.3</v>
      </c>
      <c r="AK237">
        <f t="shared" si="465"/>
        <v>0.3</v>
      </c>
      <c r="AL237">
        <f t="shared" si="465"/>
        <v>0.3</v>
      </c>
      <c r="AM237">
        <f t="shared" si="465"/>
        <v>0.3</v>
      </c>
      <c r="AN237">
        <f t="shared" si="465"/>
        <v>0.3</v>
      </c>
      <c r="AO237">
        <f t="shared" si="465"/>
        <v>0.3</v>
      </c>
      <c r="AP237">
        <f t="shared" si="465"/>
        <v>0.3</v>
      </c>
    </row>
    <row r="238" ht="16" spans="4:42">
      <c r="D238" s="25"/>
      <c r="F238" s="8" t="s">
        <v>83</v>
      </c>
      <c r="G238" s="11" t="str">
        <f t="shared" si="409"/>
        <v>ACT_BND</v>
      </c>
      <c r="H238" t="str">
        <f t="shared" si="410"/>
        <v>UP</v>
      </c>
      <c r="J238" s="10">
        <v>2048</v>
      </c>
      <c r="K238" s="10" t="str">
        <f t="shared" si="411"/>
        <v>ELCHYD00</v>
      </c>
      <c r="L238" s="8">
        <f t="shared" ref="L238:R238" si="466">W238/AJ238*1.1</f>
        <v>5.40901790541293</v>
      </c>
      <c r="M238" s="8">
        <f t="shared" si="466"/>
        <v>259.6247165468</v>
      </c>
      <c r="N238" s="8">
        <f t="shared" si="466"/>
        <v>16.7215587558357</v>
      </c>
      <c r="O238" s="8">
        <f t="shared" si="466"/>
        <v>203.857829021101</v>
      </c>
      <c r="P238" s="8">
        <f t="shared" si="466"/>
        <v>167.057819246213</v>
      </c>
      <c r="Q238" s="8">
        <f t="shared" si="466"/>
        <v>1076.2721003763</v>
      </c>
      <c r="R238" s="8">
        <f t="shared" si="466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467">AJ230</f>
        <v>0.97</v>
      </c>
      <c r="AK238">
        <f t="shared" si="467"/>
        <v>0.97</v>
      </c>
      <c r="AL238">
        <f t="shared" si="467"/>
        <v>0.97</v>
      </c>
      <c r="AM238">
        <f t="shared" si="467"/>
        <v>0.97</v>
      </c>
      <c r="AN238">
        <f t="shared" si="467"/>
        <v>0.97</v>
      </c>
      <c r="AO238">
        <f t="shared" si="467"/>
        <v>0.97</v>
      </c>
      <c r="AP238">
        <f t="shared" si="467"/>
        <v>0.97</v>
      </c>
    </row>
    <row r="239" ht="16" spans="4:42">
      <c r="D239" s="25"/>
      <c r="F239" s="8" t="s">
        <v>83</v>
      </c>
      <c r="G239" s="11" t="str">
        <f t="shared" si="409"/>
        <v>ACT_BND</v>
      </c>
      <c r="H239" t="str">
        <f t="shared" si="410"/>
        <v>UP</v>
      </c>
      <c r="J239" s="10">
        <v>2048</v>
      </c>
      <c r="K239" s="10" t="str">
        <f t="shared" si="411"/>
        <v>ENCAN01_SMR</v>
      </c>
      <c r="L239" s="8">
        <f t="shared" ref="L239:O239" si="468">W239/AJ239</f>
        <v>35.855818174946</v>
      </c>
      <c r="M239" s="8">
        <f t="shared" si="468"/>
        <v>51.173305687545</v>
      </c>
      <c r="N239" s="8">
        <f t="shared" si="468"/>
        <v>24.4386639668826</v>
      </c>
      <c r="O239" s="8">
        <f t="shared" si="468"/>
        <v>42.985644600432</v>
      </c>
      <c r="P239" s="34">
        <v>508.684348705544</v>
      </c>
      <c r="Q239" s="8">
        <f>AB239/AO239</f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469">AJ231</f>
        <v>1</v>
      </c>
      <c r="AK239">
        <f t="shared" si="469"/>
        <v>1</v>
      </c>
      <c r="AL239">
        <f t="shared" si="469"/>
        <v>1</v>
      </c>
      <c r="AM239">
        <f t="shared" si="469"/>
        <v>1</v>
      </c>
      <c r="AN239">
        <f t="shared" si="469"/>
        <v>1</v>
      </c>
      <c r="AO239">
        <f t="shared" si="469"/>
        <v>1</v>
      </c>
      <c r="AP239">
        <f t="shared" si="469"/>
        <v>1</v>
      </c>
    </row>
    <row r="240" ht="16" spans="4:42">
      <c r="D240" s="25"/>
      <c r="F240" s="8" t="s">
        <v>83</v>
      </c>
      <c r="G240" s="11" t="str">
        <f t="shared" si="409"/>
        <v>ACT_BND</v>
      </c>
      <c r="H240" t="str">
        <f t="shared" si="410"/>
        <v>UP</v>
      </c>
      <c r="J240" s="10">
        <v>2048</v>
      </c>
      <c r="K240" s="10" t="str">
        <f t="shared" si="411"/>
        <v>ELCSOL00</v>
      </c>
      <c r="L240" s="8">
        <f t="shared" ref="L240:R240" si="470">W240/AJ240*1.1</f>
        <v>99.6917926529877</v>
      </c>
      <c r="M240" s="8">
        <f t="shared" si="470"/>
        <v>50.5539650845392</v>
      </c>
      <c r="N240" s="8">
        <f t="shared" si="470"/>
        <v>8.86301473938085</v>
      </c>
      <c r="O240" s="8">
        <f t="shared" si="470"/>
        <v>1.34172675691144</v>
      </c>
      <c r="P240" s="8">
        <f t="shared" si="470"/>
        <v>69.6042165226782</v>
      </c>
      <c r="Q240" s="8">
        <f t="shared" si="470"/>
        <v>6.16997446976242</v>
      </c>
      <c r="R240" s="8">
        <f t="shared" si="470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471">AJ232</f>
        <v>1</v>
      </c>
      <c r="AK240">
        <f t="shared" si="471"/>
        <v>1</v>
      </c>
      <c r="AL240">
        <f t="shared" si="471"/>
        <v>1</v>
      </c>
      <c r="AM240">
        <f t="shared" si="471"/>
        <v>1</v>
      </c>
      <c r="AN240">
        <f t="shared" si="471"/>
        <v>1</v>
      </c>
      <c r="AO240">
        <f t="shared" si="471"/>
        <v>1</v>
      </c>
      <c r="AP240">
        <f t="shared" si="471"/>
        <v>1</v>
      </c>
    </row>
    <row r="241" ht="16" spans="4:42">
      <c r="D241" s="25"/>
      <c r="F241" s="8" t="s">
        <v>83</v>
      </c>
      <c r="G241" s="11" t="str">
        <f t="shared" si="409"/>
        <v>ACT_BND</v>
      </c>
      <c r="H241" t="str">
        <f t="shared" si="410"/>
        <v>UP</v>
      </c>
      <c r="J241" s="10">
        <v>2048</v>
      </c>
      <c r="K241" s="10" t="str">
        <f t="shared" si="411"/>
        <v>ELCWIN00</v>
      </c>
      <c r="L241" s="8">
        <f t="shared" ref="L241:R241" si="472">W241/AJ241*1.1</f>
        <v>199.601358578114</v>
      </c>
      <c r="M241" s="8">
        <f t="shared" si="472"/>
        <v>100.030395142127</v>
      </c>
      <c r="N241" s="8">
        <f t="shared" si="472"/>
        <v>62.8683955075594</v>
      </c>
      <c r="O241" s="8">
        <f t="shared" si="472"/>
        <v>5.59450806011519</v>
      </c>
      <c r="P241" s="8">
        <f t="shared" si="472"/>
        <v>785.922362598992</v>
      </c>
      <c r="Q241" s="8">
        <f t="shared" si="472"/>
        <v>72.8565300971923</v>
      </c>
      <c r="R241" s="8">
        <f t="shared" si="472"/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473">AJ233</f>
        <v>1</v>
      </c>
      <c r="AK241">
        <f t="shared" si="473"/>
        <v>1</v>
      </c>
      <c r="AL241">
        <f t="shared" si="473"/>
        <v>1</v>
      </c>
      <c r="AM241">
        <f t="shared" si="473"/>
        <v>1</v>
      </c>
      <c r="AN241">
        <f t="shared" si="473"/>
        <v>1</v>
      </c>
      <c r="AO241">
        <f t="shared" si="473"/>
        <v>1</v>
      </c>
      <c r="AP241">
        <f t="shared" si="473"/>
        <v>1</v>
      </c>
    </row>
    <row r="242" ht="16" spans="4:42">
      <c r="D242" s="25"/>
      <c r="F242" s="8" t="s">
        <v>83</v>
      </c>
      <c r="G242" s="11" t="str">
        <f t="shared" si="409"/>
        <v>ACT_BND</v>
      </c>
      <c r="H242" t="str">
        <f t="shared" si="410"/>
        <v>UP</v>
      </c>
      <c r="J242" s="10">
        <v>2048</v>
      </c>
      <c r="K242" s="10" t="str">
        <f t="shared" si="411"/>
        <v>ELCWOO00</v>
      </c>
      <c r="L242" s="8">
        <f t="shared" ref="L242:R242" si="474">W242/AJ242*1.1</f>
        <v>265.312677414378</v>
      </c>
      <c r="M242" s="8">
        <f t="shared" si="474"/>
        <v>54.8271769021598</v>
      </c>
      <c r="N242" s="8">
        <f t="shared" si="474"/>
        <v>208.759306356063</v>
      </c>
      <c r="O242" s="8">
        <f t="shared" si="474"/>
        <v>0.776114997521342</v>
      </c>
      <c r="P242" s="8">
        <f t="shared" si="474"/>
        <v>54.0177044009052</v>
      </c>
      <c r="Q242" s="8">
        <f t="shared" si="474"/>
        <v>19.6424903404299</v>
      </c>
      <c r="R242" s="8">
        <f t="shared" si="474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475">AJ234</f>
        <v>0.35</v>
      </c>
      <c r="AK242">
        <f t="shared" si="475"/>
        <v>0.35</v>
      </c>
      <c r="AL242">
        <f t="shared" si="475"/>
        <v>0.35</v>
      </c>
      <c r="AM242">
        <f t="shared" si="475"/>
        <v>0.35</v>
      </c>
      <c r="AN242">
        <f t="shared" si="475"/>
        <v>0.35</v>
      </c>
      <c r="AO242">
        <f t="shared" si="475"/>
        <v>0.35</v>
      </c>
      <c r="AP242">
        <f t="shared" si="475"/>
        <v>0.35</v>
      </c>
    </row>
    <row r="243" ht="16" spans="4:42">
      <c r="D243" s="25"/>
      <c r="F243" s="8" t="s">
        <v>83</v>
      </c>
      <c r="G243" s="11" t="str">
        <f t="shared" si="409"/>
        <v>ACT_BND</v>
      </c>
      <c r="H243" t="str">
        <f t="shared" si="410"/>
        <v>UP</v>
      </c>
      <c r="J243" s="10">
        <v>2049</v>
      </c>
      <c r="K243" s="10" t="str">
        <f t="shared" si="411"/>
        <v>ELCCOH00</v>
      </c>
      <c r="L243" s="8">
        <f t="shared" ref="L243:R243" si="476">W243/AJ243*1.1</f>
        <v>0</v>
      </c>
      <c r="M243" s="8">
        <f t="shared" si="476"/>
        <v>0</v>
      </c>
      <c r="N243" s="8">
        <f t="shared" si="476"/>
        <v>0</v>
      </c>
      <c r="O243" s="8">
        <f t="shared" si="476"/>
        <v>0</v>
      </c>
      <c r="P243" s="8">
        <f t="shared" si="476"/>
        <v>0</v>
      </c>
      <c r="Q243" s="8">
        <f t="shared" si="476"/>
        <v>0</v>
      </c>
      <c r="R243" s="8">
        <f t="shared" si="476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477">AJ235</f>
        <v>0.38</v>
      </c>
      <c r="AK243">
        <f t="shared" si="477"/>
        <v>0.38</v>
      </c>
      <c r="AL243">
        <f t="shared" si="477"/>
        <v>0.38</v>
      </c>
      <c r="AM243">
        <f t="shared" si="477"/>
        <v>0.38</v>
      </c>
      <c r="AN243">
        <f t="shared" si="477"/>
        <v>0.38</v>
      </c>
      <c r="AO243">
        <f t="shared" si="477"/>
        <v>0.38</v>
      </c>
      <c r="AP243">
        <f t="shared" si="477"/>
        <v>0.38</v>
      </c>
    </row>
    <row r="244" ht="16" spans="4:42">
      <c r="D244" s="25"/>
      <c r="F244" s="8" t="s">
        <v>83</v>
      </c>
      <c r="G244" s="11" t="str">
        <f t="shared" si="409"/>
        <v>ACT_BND</v>
      </c>
      <c r="H244" t="str">
        <f t="shared" si="410"/>
        <v>UP</v>
      </c>
      <c r="J244" s="10">
        <v>2049</v>
      </c>
      <c r="K244" s="10" t="str">
        <f t="shared" si="411"/>
        <v>ELCGAS00</v>
      </c>
      <c r="L244" s="8">
        <f t="shared" ref="L244:R244" si="478">W244/AJ244*1.1</f>
        <v>221.202264956803</v>
      </c>
      <c r="M244" s="8">
        <f t="shared" si="478"/>
        <v>51.8099224450503</v>
      </c>
      <c r="N244" s="8">
        <f t="shared" si="478"/>
        <v>28.7715604229661</v>
      </c>
      <c r="O244" s="8">
        <f t="shared" si="478"/>
        <v>0</v>
      </c>
      <c r="P244" s="8">
        <f t="shared" si="478"/>
        <v>443.685256092513</v>
      </c>
      <c r="Q244" s="8">
        <f t="shared" si="478"/>
        <v>0</v>
      </c>
      <c r="R244" s="8">
        <f t="shared" si="47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479">AJ236</f>
        <v>0.4</v>
      </c>
      <c r="AK244">
        <f t="shared" si="479"/>
        <v>0.4</v>
      </c>
      <c r="AL244">
        <f t="shared" si="479"/>
        <v>0.4</v>
      </c>
      <c r="AM244">
        <f t="shared" si="479"/>
        <v>0.4</v>
      </c>
      <c r="AN244">
        <f t="shared" si="479"/>
        <v>0.4</v>
      </c>
      <c r="AO244">
        <f t="shared" si="479"/>
        <v>0.4</v>
      </c>
      <c r="AP244">
        <f t="shared" si="479"/>
        <v>0.4</v>
      </c>
    </row>
    <row r="245" ht="16" spans="4:42">
      <c r="D245" s="25"/>
      <c r="F245" s="8" t="s">
        <v>83</v>
      </c>
      <c r="G245" s="11" t="str">
        <f t="shared" si="409"/>
        <v>ACT_BND</v>
      </c>
      <c r="H245" t="str">
        <f t="shared" si="410"/>
        <v>UP</v>
      </c>
      <c r="J245" s="10">
        <v>2049</v>
      </c>
      <c r="K245" s="10" t="str">
        <f t="shared" si="411"/>
        <v>ELCHFO00</v>
      </c>
      <c r="L245" s="8">
        <f t="shared" ref="L245:R245" si="480">W245/AJ245*1.1</f>
        <v>0</v>
      </c>
      <c r="M245" s="8">
        <f t="shared" si="480"/>
        <v>1.4800787787137</v>
      </c>
      <c r="N245" s="8">
        <f t="shared" si="480"/>
        <v>0</v>
      </c>
      <c r="O245" s="8">
        <f t="shared" si="480"/>
        <v>0.0152660307175426</v>
      </c>
      <c r="P245" s="8">
        <f t="shared" si="480"/>
        <v>0.0904589632829373</v>
      </c>
      <c r="Q245" s="8">
        <f t="shared" si="480"/>
        <v>4.48892501895849</v>
      </c>
      <c r="R245" s="8">
        <f t="shared" si="480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481">AJ237</f>
        <v>0.3</v>
      </c>
      <c r="AK245">
        <f t="shared" si="481"/>
        <v>0.3</v>
      </c>
      <c r="AL245">
        <f t="shared" si="481"/>
        <v>0.3</v>
      </c>
      <c r="AM245">
        <f t="shared" si="481"/>
        <v>0.3</v>
      </c>
      <c r="AN245">
        <f t="shared" si="481"/>
        <v>0.3</v>
      </c>
      <c r="AO245">
        <f t="shared" si="481"/>
        <v>0.3</v>
      </c>
      <c r="AP245">
        <f t="shared" si="481"/>
        <v>0.3</v>
      </c>
    </row>
    <row r="246" ht="16" spans="4:42">
      <c r="D246" s="25"/>
      <c r="F246" s="8" t="s">
        <v>83</v>
      </c>
      <c r="G246" s="11" t="str">
        <f t="shared" si="409"/>
        <v>ACT_BND</v>
      </c>
      <c r="H246" t="str">
        <f t="shared" si="410"/>
        <v>UP</v>
      </c>
      <c r="J246" s="10">
        <v>2049</v>
      </c>
      <c r="K246" s="10" t="str">
        <f t="shared" si="411"/>
        <v>ELCHYD00</v>
      </c>
      <c r="L246" s="8">
        <f t="shared" ref="L246:R246" si="482">W246/AJ246*1.1</f>
        <v>5.46812167620404</v>
      </c>
      <c r="M246" s="8">
        <f t="shared" si="482"/>
        <v>262.442684638359</v>
      </c>
      <c r="N246" s="8">
        <f t="shared" si="482"/>
        <v>16.7384182991546</v>
      </c>
      <c r="O246" s="8">
        <f t="shared" si="482"/>
        <v>204.000224536677</v>
      </c>
      <c r="P246" s="8">
        <f t="shared" si="482"/>
        <v>166.582003503225</v>
      </c>
      <c r="Q246" s="8">
        <f t="shared" si="482"/>
        <v>1076.40990592505</v>
      </c>
      <c r="R246" s="8">
        <f t="shared" si="482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483">AJ238</f>
        <v>0.97</v>
      </c>
      <c r="AK246">
        <f t="shared" si="483"/>
        <v>0.97</v>
      </c>
      <c r="AL246">
        <f t="shared" si="483"/>
        <v>0.97</v>
      </c>
      <c r="AM246">
        <f t="shared" si="483"/>
        <v>0.97</v>
      </c>
      <c r="AN246">
        <f t="shared" si="483"/>
        <v>0.97</v>
      </c>
      <c r="AO246">
        <f t="shared" si="483"/>
        <v>0.97</v>
      </c>
      <c r="AP246">
        <f t="shared" si="483"/>
        <v>0.97</v>
      </c>
    </row>
    <row r="247" ht="16" spans="4:42">
      <c r="D247" s="25"/>
      <c r="F247" s="8" t="s">
        <v>83</v>
      </c>
      <c r="G247" s="11" t="str">
        <f t="shared" si="409"/>
        <v>ACT_BND</v>
      </c>
      <c r="H247" t="str">
        <f t="shared" si="410"/>
        <v>UP</v>
      </c>
      <c r="J247" s="10">
        <v>2049</v>
      </c>
      <c r="K247" s="10" t="str">
        <f t="shared" si="411"/>
        <v>ENCAN01_SMR</v>
      </c>
      <c r="L247" s="8">
        <f t="shared" ref="L247:O247" si="484">W247/AJ247</f>
        <v>41.1549466522678</v>
      </c>
      <c r="M247" s="8">
        <f t="shared" si="484"/>
        <v>52.7518278977682</v>
      </c>
      <c r="N247" s="8">
        <f t="shared" si="484"/>
        <v>24.6624239596832</v>
      </c>
      <c r="O247" s="8">
        <f t="shared" si="484"/>
        <v>45.0704187544996</v>
      </c>
      <c r="P247" s="34">
        <v>515.258666920086</v>
      </c>
      <c r="Q247" s="8">
        <f>AB247/AO247</f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485">AJ239</f>
        <v>1</v>
      </c>
      <c r="AK247">
        <f t="shared" si="485"/>
        <v>1</v>
      </c>
      <c r="AL247">
        <f t="shared" si="485"/>
        <v>1</v>
      </c>
      <c r="AM247">
        <f t="shared" si="485"/>
        <v>1</v>
      </c>
      <c r="AN247">
        <f t="shared" si="485"/>
        <v>1</v>
      </c>
      <c r="AO247">
        <f t="shared" si="485"/>
        <v>1</v>
      </c>
      <c r="AP247">
        <f t="shared" si="485"/>
        <v>1</v>
      </c>
    </row>
    <row r="248" ht="16" spans="4:42">
      <c r="D248" s="25"/>
      <c r="F248" s="8" t="s">
        <v>83</v>
      </c>
      <c r="G248" s="11" t="str">
        <f t="shared" si="409"/>
        <v>ACT_BND</v>
      </c>
      <c r="H248" t="str">
        <f t="shared" si="410"/>
        <v>UP</v>
      </c>
      <c r="J248" s="10">
        <v>2049</v>
      </c>
      <c r="K248" s="10" t="str">
        <f t="shared" si="411"/>
        <v>ELCSOL00</v>
      </c>
      <c r="L248" s="8">
        <f t="shared" ref="L248:R248" si="486">W248/AJ248*1.1</f>
        <v>99.7570666450684</v>
      </c>
      <c r="M248" s="8">
        <f t="shared" si="486"/>
        <v>51.9087545969691</v>
      </c>
      <c r="N248" s="8">
        <f t="shared" si="486"/>
        <v>8.97283177429806</v>
      </c>
      <c r="O248" s="8">
        <f t="shared" si="486"/>
        <v>1.34763253891289</v>
      </c>
      <c r="P248" s="8">
        <f t="shared" si="486"/>
        <v>70.276829974802</v>
      </c>
      <c r="Q248" s="8">
        <f t="shared" si="486"/>
        <v>6.28534795788337</v>
      </c>
      <c r="R248" s="8">
        <f t="shared" si="486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487">AJ240</f>
        <v>1</v>
      </c>
      <c r="AK248">
        <f t="shared" si="487"/>
        <v>1</v>
      </c>
      <c r="AL248">
        <f t="shared" si="487"/>
        <v>1</v>
      </c>
      <c r="AM248">
        <f t="shared" si="487"/>
        <v>1</v>
      </c>
      <c r="AN248">
        <f t="shared" si="487"/>
        <v>1</v>
      </c>
      <c r="AO248">
        <f t="shared" si="487"/>
        <v>1</v>
      </c>
      <c r="AP248">
        <f t="shared" si="487"/>
        <v>1</v>
      </c>
    </row>
    <row r="249" ht="16" spans="4:42">
      <c r="D249" s="25"/>
      <c r="F249" s="8" t="s">
        <v>83</v>
      </c>
      <c r="G249" s="11" t="str">
        <f t="shared" si="409"/>
        <v>ACT_BND</v>
      </c>
      <c r="H249" t="str">
        <f t="shared" si="410"/>
        <v>UP</v>
      </c>
      <c r="J249" s="10">
        <v>2049</v>
      </c>
      <c r="K249" s="10" t="str">
        <f t="shared" si="411"/>
        <v>ELCWIN00</v>
      </c>
      <c r="L249" s="8">
        <f t="shared" ref="L249:R249" si="488">W249/AJ249*1.1</f>
        <v>200.351899467243</v>
      </c>
      <c r="M249" s="8">
        <f t="shared" si="488"/>
        <v>103.898205322113</v>
      </c>
      <c r="N249" s="8">
        <f t="shared" si="488"/>
        <v>62.9054381065515</v>
      </c>
      <c r="O249" s="8">
        <f t="shared" si="488"/>
        <v>5.597836312455</v>
      </c>
      <c r="P249" s="8">
        <f t="shared" si="488"/>
        <v>827.825336537077</v>
      </c>
      <c r="Q249" s="8">
        <f t="shared" si="488"/>
        <v>72.8565300971923</v>
      </c>
      <c r="R249" s="8">
        <f t="shared" si="488"/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489">AJ241</f>
        <v>1</v>
      </c>
      <c r="AK249">
        <f t="shared" si="489"/>
        <v>1</v>
      </c>
      <c r="AL249">
        <f t="shared" si="489"/>
        <v>1</v>
      </c>
      <c r="AM249">
        <f t="shared" si="489"/>
        <v>1</v>
      </c>
      <c r="AN249">
        <f t="shared" si="489"/>
        <v>1</v>
      </c>
      <c r="AO249">
        <f t="shared" si="489"/>
        <v>1</v>
      </c>
      <c r="AP249">
        <f t="shared" si="489"/>
        <v>1</v>
      </c>
    </row>
    <row r="250" ht="16" spans="4:42">
      <c r="D250" s="25"/>
      <c r="F250" s="8" t="s">
        <v>83</v>
      </c>
      <c r="G250" s="11" t="str">
        <f t="shared" si="409"/>
        <v>ACT_BND</v>
      </c>
      <c r="H250" t="str">
        <f t="shared" si="410"/>
        <v>UP</v>
      </c>
      <c r="J250" s="10">
        <v>2049</v>
      </c>
      <c r="K250" s="10" t="str">
        <f t="shared" si="411"/>
        <v>ELCWOO00</v>
      </c>
      <c r="L250" s="8">
        <f t="shared" ref="L250:R250" si="490">W250/AJ250*1.1</f>
        <v>282.512565566183</v>
      </c>
      <c r="M250" s="8">
        <f t="shared" si="490"/>
        <v>60.1914249535327</v>
      </c>
      <c r="N250" s="8">
        <f t="shared" si="490"/>
        <v>221.713901594158</v>
      </c>
      <c r="O250" s="8">
        <f t="shared" si="490"/>
        <v>0.817021646940246</v>
      </c>
      <c r="P250" s="8">
        <f t="shared" si="490"/>
        <v>56.1856118132264</v>
      </c>
      <c r="Q250" s="8">
        <f t="shared" si="490"/>
        <v>19.7442039679111</v>
      </c>
      <c r="R250" s="8">
        <f t="shared" si="490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491">AJ242</f>
        <v>0.35</v>
      </c>
      <c r="AK250">
        <f t="shared" si="491"/>
        <v>0.35</v>
      </c>
      <c r="AL250">
        <f t="shared" si="491"/>
        <v>0.35</v>
      </c>
      <c r="AM250">
        <f t="shared" si="491"/>
        <v>0.35</v>
      </c>
      <c r="AN250">
        <f t="shared" si="491"/>
        <v>0.35</v>
      </c>
      <c r="AO250">
        <f t="shared" si="491"/>
        <v>0.35</v>
      </c>
      <c r="AP250">
        <f t="shared" si="491"/>
        <v>0.35</v>
      </c>
    </row>
    <row r="251" ht="16" spans="4:42">
      <c r="D251" s="25"/>
      <c r="F251" s="8" t="s">
        <v>83</v>
      </c>
      <c r="G251" s="11" t="str">
        <f t="shared" si="409"/>
        <v>ACT_BND</v>
      </c>
      <c r="H251" t="str">
        <f t="shared" si="410"/>
        <v>UP</v>
      </c>
      <c r="J251" s="10">
        <v>2050</v>
      </c>
      <c r="K251" s="10" t="str">
        <f t="shared" si="411"/>
        <v>ELCCOH00</v>
      </c>
      <c r="L251" s="8">
        <f t="shared" ref="L251:R251" si="492">W251/AJ251*1.1</f>
        <v>0</v>
      </c>
      <c r="M251" s="8">
        <f t="shared" si="492"/>
        <v>0</v>
      </c>
      <c r="N251" s="8">
        <f t="shared" si="492"/>
        <v>0</v>
      </c>
      <c r="O251" s="8">
        <f t="shared" si="492"/>
        <v>0</v>
      </c>
      <c r="P251" s="8">
        <f t="shared" si="492"/>
        <v>0</v>
      </c>
      <c r="Q251" s="8">
        <f t="shared" si="492"/>
        <v>0</v>
      </c>
      <c r="R251" s="8">
        <f t="shared" si="4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493">AJ243</f>
        <v>0.38</v>
      </c>
      <c r="AK251">
        <f t="shared" si="493"/>
        <v>0.38</v>
      </c>
      <c r="AL251">
        <f t="shared" si="493"/>
        <v>0.38</v>
      </c>
      <c r="AM251">
        <f t="shared" si="493"/>
        <v>0.38</v>
      </c>
      <c r="AN251">
        <f t="shared" si="493"/>
        <v>0.38</v>
      </c>
      <c r="AO251">
        <f t="shared" si="493"/>
        <v>0.38</v>
      </c>
      <c r="AP251">
        <f t="shared" si="493"/>
        <v>0.38</v>
      </c>
    </row>
    <row r="252" ht="16" spans="4:42">
      <c r="D252" s="25"/>
      <c r="F252" s="8" t="s">
        <v>83</v>
      </c>
      <c r="G252" s="11" t="str">
        <f t="shared" si="409"/>
        <v>ACT_BND</v>
      </c>
      <c r="H252" t="str">
        <f t="shared" si="410"/>
        <v>UP</v>
      </c>
      <c r="J252" s="10">
        <v>2050</v>
      </c>
      <c r="K252" s="10" t="str">
        <f t="shared" si="411"/>
        <v>ELCGAS00</v>
      </c>
      <c r="L252" s="8">
        <f t="shared" ref="L252:R252" si="494">W252/AJ252*1.1</f>
        <v>222.199082937365</v>
      </c>
      <c r="M252" s="8">
        <f t="shared" si="494"/>
        <v>58.7494465483621</v>
      </c>
      <c r="N252" s="8">
        <f t="shared" si="494"/>
        <v>28.5923518817494</v>
      </c>
      <c r="O252" s="8">
        <f t="shared" si="494"/>
        <v>0</v>
      </c>
      <c r="P252" s="8">
        <f t="shared" si="494"/>
        <v>465.154466792656</v>
      </c>
      <c r="Q252" s="8">
        <f t="shared" si="494"/>
        <v>0</v>
      </c>
      <c r="R252" s="8">
        <f t="shared" si="494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495">AJ244</f>
        <v>0.4</v>
      </c>
      <c r="AK252">
        <f t="shared" si="495"/>
        <v>0.4</v>
      </c>
      <c r="AL252">
        <f t="shared" si="495"/>
        <v>0.4</v>
      </c>
      <c r="AM252">
        <f t="shared" si="495"/>
        <v>0.4</v>
      </c>
      <c r="AN252">
        <f t="shared" si="495"/>
        <v>0.4</v>
      </c>
      <c r="AO252">
        <f t="shared" si="495"/>
        <v>0.4</v>
      </c>
      <c r="AP252">
        <f t="shared" si="495"/>
        <v>0.4</v>
      </c>
    </row>
    <row r="253" ht="16" spans="4:42">
      <c r="D253" s="25"/>
      <c r="F253" s="8" t="s">
        <v>83</v>
      </c>
      <c r="G253" s="11" t="str">
        <f t="shared" si="409"/>
        <v>ACT_BND</v>
      </c>
      <c r="H253" t="str">
        <f t="shared" si="410"/>
        <v>UP</v>
      </c>
      <c r="J253" s="10">
        <v>2050</v>
      </c>
      <c r="K253" s="10" t="str">
        <f t="shared" si="411"/>
        <v>ELCHFO00</v>
      </c>
      <c r="L253" s="8">
        <f t="shared" ref="L253:R253" si="496">W253/AJ253*1.1</f>
        <v>0.00849352051835852</v>
      </c>
      <c r="M253" s="8">
        <f t="shared" si="496"/>
        <v>1.5117796787137</v>
      </c>
      <c r="N253" s="8">
        <f t="shared" si="496"/>
        <v>0.0268545716342692</v>
      </c>
      <c r="O253" s="8">
        <f t="shared" si="496"/>
        <v>0.0499826607559396</v>
      </c>
      <c r="P253" s="8">
        <f t="shared" si="496"/>
        <v>0.180917926565875</v>
      </c>
      <c r="Q253" s="8">
        <f t="shared" si="496"/>
        <v>4.39604031677466</v>
      </c>
      <c r="R253" s="8">
        <f t="shared" si="496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497">AJ245</f>
        <v>0.3</v>
      </c>
      <c r="AK253">
        <f t="shared" si="497"/>
        <v>0.3</v>
      </c>
      <c r="AL253">
        <f t="shared" si="497"/>
        <v>0.3</v>
      </c>
      <c r="AM253">
        <f t="shared" si="497"/>
        <v>0.3</v>
      </c>
      <c r="AN253">
        <f t="shared" si="497"/>
        <v>0.3</v>
      </c>
      <c r="AO253">
        <f t="shared" si="497"/>
        <v>0.3</v>
      </c>
      <c r="AP253">
        <f t="shared" si="497"/>
        <v>0.3</v>
      </c>
    </row>
    <row r="254" ht="16" spans="4:42">
      <c r="D254" s="25"/>
      <c r="F254" s="8" t="s">
        <v>83</v>
      </c>
      <c r="G254" s="11" t="str">
        <f t="shared" si="409"/>
        <v>ACT_BND</v>
      </c>
      <c r="H254" t="str">
        <f t="shared" si="410"/>
        <v>UP</v>
      </c>
      <c r="J254" s="10">
        <v>2050</v>
      </c>
      <c r="K254" s="10" t="str">
        <f t="shared" si="411"/>
        <v>ELCHYD00</v>
      </c>
      <c r="L254" s="8">
        <f t="shared" ref="L254:R254" si="498">W254/AJ254*1.1</f>
        <v>5.51713900306532</v>
      </c>
      <c r="M254" s="8">
        <f t="shared" si="498"/>
        <v>267.022630953775</v>
      </c>
      <c r="N254" s="8">
        <f t="shared" si="498"/>
        <v>17.0325350292801</v>
      </c>
      <c r="O254" s="8">
        <f t="shared" si="498"/>
        <v>204.447251708936</v>
      </c>
      <c r="P254" s="8">
        <f t="shared" si="498"/>
        <v>166.524173676827</v>
      </c>
      <c r="Q254" s="8">
        <f t="shared" si="498"/>
        <v>1078.76279949975</v>
      </c>
      <c r="R254" s="8">
        <f t="shared" si="498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499">AJ246</f>
        <v>0.97</v>
      </c>
      <c r="AK254">
        <f t="shared" si="499"/>
        <v>0.97</v>
      </c>
      <c r="AL254">
        <f t="shared" si="499"/>
        <v>0.97</v>
      </c>
      <c r="AM254">
        <f t="shared" si="499"/>
        <v>0.97</v>
      </c>
      <c r="AN254">
        <f t="shared" si="499"/>
        <v>0.97</v>
      </c>
      <c r="AO254">
        <f t="shared" si="499"/>
        <v>0.97</v>
      </c>
      <c r="AP254">
        <f t="shared" si="499"/>
        <v>0.97</v>
      </c>
    </row>
    <row r="255" ht="16" spans="4:42">
      <c r="D255" s="25"/>
      <c r="F255" s="8" t="s">
        <v>83</v>
      </c>
      <c r="G255" s="11" t="str">
        <f t="shared" si="409"/>
        <v>ACT_BND</v>
      </c>
      <c r="H255" t="str">
        <f t="shared" si="410"/>
        <v>UP</v>
      </c>
      <c r="J255" s="10">
        <v>2050</v>
      </c>
      <c r="K255" s="10" t="str">
        <f t="shared" si="411"/>
        <v>ENCAN01_SMR</v>
      </c>
      <c r="L255" s="8">
        <f t="shared" ref="L255:O255" si="500">W255/AJ255</f>
        <v>46.8525608711303</v>
      </c>
      <c r="M255" s="8">
        <f t="shared" si="500"/>
        <v>54.6946333693305</v>
      </c>
      <c r="N255" s="8">
        <f t="shared" si="500"/>
        <v>24.8363823614111</v>
      </c>
      <c r="O255" s="8">
        <f t="shared" si="500"/>
        <v>47.3015178545716</v>
      </c>
      <c r="P255" s="34">
        <v>521.632096725702</v>
      </c>
      <c r="Q255" s="8">
        <f>AB255/AO255</f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501">AJ247</f>
        <v>1</v>
      </c>
      <c r="AK255">
        <f t="shared" si="501"/>
        <v>1</v>
      </c>
      <c r="AL255">
        <f t="shared" si="501"/>
        <v>1</v>
      </c>
      <c r="AM255">
        <f t="shared" si="501"/>
        <v>1</v>
      </c>
      <c r="AN255">
        <f t="shared" si="501"/>
        <v>1</v>
      </c>
      <c r="AO255">
        <f t="shared" si="501"/>
        <v>1</v>
      </c>
      <c r="AP255">
        <f t="shared" si="501"/>
        <v>1</v>
      </c>
    </row>
    <row r="256" ht="16" spans="4:42">
      <c r="D256" s="25"/>
      <c r="F256" s="8" t="s">
        <v>83</v>
      </c>
      <c r="G256" s="11" t="str">
        <f t="shared" si="409"/>
        <v>ACT_BND</v>
      </c>
      <c r="H256" t="str">
        <f t="shared" si="410"/>
        <v>UP</v>
      </c>
      <c r="J256" s="10">
        <v>2050</v>
      </c>
      <c r="K256" s="10" t="str">
        <f t="shared" si="411"/>
        <v>ELCSOL00</v>
      </c>
      <c r="L256" s="8">
        <f t="shared" ref="L256:R256" si="502">W256/AJ256*1.1</f>
        <v>100.509394697624</v>
      </c>
      <c r="M256" s="8">
        <f t="shared" si="502"/>
        <v>52.7597436767243</v>
      </c>
      <c r="N256" s="8">
        <f t="shared" si="502"/>
        <v>9.10904303995681</v>
      </c>
      <c r="O256" s="8">
        <f t="shared" si="502"/>
        <v>1.35353832091433</v>
      </c>
      <c r="P256" s="8">
        <f t="shared" si="502"/>
        <v>71.309600611951</v>
      </c>
      <c r="Q256" s="8">
        <f t="shared" si="502"/>
        <v>6.40072144600432</v>
      </c>
      <c r="R256" s="8">
        <f t="shared" si="502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503">AJ248</f>
        <v>1</v>
      </c>
      <c r="AK256">
        <f t="shared" si="503"/>
        <v>1</v>
      </c>
      <c r="AL256">
        <f t="shared" si="503"/>
        <v>1</v>
      </c>
      <c r="AM256">
        <f t="shared" si="503"/>
        <v>1</v>
      </c>
      <c r="AN256">
        <f t="shared" si="503"/>
        <v>1</v>
      </c>
      <c r="AO256">
        <f t="shared" si="503"/>
        <v>1</v>
      </c>
      <c r="AP256">
        <f t="shared" si="503"/>
        <v>1</v>
      </c>
    </row>
    <row r="257" ht="16" spans="4:42">
      <c r="D257" s="25"/>
      <c r="F257" s="8" t="s">
        <v>83</v>
      </c>
      <c r="G257" s="11" t="str">
        <f t="shared" si="409"/>
        <v>ACT_BND</v>
      </c>
      <c r="H257" t="str">
        <f t="shared" si="410"/>
        <v>UP</v>
      </c>
      <c r="J257" s="10">
        <v>2050</v>
      </c>
      <c r="K257" s="10" t="str">
        <f t="shared" si="411"/>
        <v>ELCWIN00</v>
      </c>
      <c r="L257" s="8">
        <f t="shared" ref="L257:R257" si="504">W257/AJ257*1.1</f>
        <v>202.366368232542</v>
      </c>
      <c r="M257" s="8">
        <f t="shared" si="504"/>
        <v>107.882489524143</v>
      </c>
      <c r="N257" s="8">
        <f t="shared" si="504"/>
        <v>63.0501676565874</v>
      </c>
      <c r="O257" s="8">
        <f t="shared" si="504"/>
        <v>5.63803806947444</v>
      </c>
      <c r="P257" s="8">
        <f t="shared" si="504"/>
        <v>871.249312706983</v>
      </c>
      <c r="Q257" s="8">
        <f t="shared" si="504"/>
        <v>72.8565300971923</v>
      </c>
      <c r="R257" s="8">
        <f t="shared" si="504"/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505">AJ249</f>
        <v>1</v>
      </c>
      <c r="AK257">
        <f t="shared" si="505"/>
        <v>1</v>
      </c>
      <c r="AL257">
        <f t="shared" si="505"/>
        <v>1</v>
      </c>
      <c r="AM257">
        <f t="shared" si="505"/>
        <v>1</v>
      </c>
      <c r="AN257">
        <f t="shared" si="505"/>
        <v>1</v>
      </c>
      <c r="AO257">
        <f t="shared" si="505"/>
        <v>1</v>
      </c>
      <c r="AP257">
        <f t="shared" si="505"/>
        <v>1</v>
      </c>
    </row>
    <row r="258" ht="16" spans="4:42">
      <c r="D258" s="25"/>
      <c r="F258" s="8" t="s">
        <v>83</v>
      </c>
      <c r="G258" s="11" t="str">
        <f t="shared" si="409"/>
        <v>ACT_BND</v>
      </c>
      <c r="H258" t="str">
        <f t="shared" si="410"/>
        <v>UP</v>
      </c>
      <c r="J258" s="10">
        <v>2050</v>
      </c>
      <c r="K258" s="10" t="str">
        <f t="shared" si="411"/>
        <v>ELCWOO00</v>
      </c>
      <c r="L258" s="8">
        <f t="shared" ref="L258:R258" si="506">W258/AJ258*1.1</f>
        <v>299.713378926257</v>
      </c>
      <c r="M258" s="8">
        <f t="shared" si="506"/>
        <v>66.6515494510954</v>
      </c>
      <c r="N258" s="8">
        <f t="shared" si="506"/>
        <v>234.655181096369</v>
      </c>
      <c r="O258" s="8">
        <f t="shared" si="506"/>
        <v>0.842950238732901</v>
      </c>
      <c r="P258" s="8">
        <f t="shared" si="506"/>
        <v>58.0100404072816</v>
      </c>
      <c r="Q258" s="8">
        <f t="shared" si="506"/>
        <v>19.8411857626247</v>
      </c>
      <c r="R258" s="8">
        <f t="shared" si="50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507">AJ250</f>
        <v>0.35</v>
      </c>
      <c r="AK258">
        <f t="shared" si="507"/>
        <v>0.35</v>
      </c>
      <c r="AL258">
        <f t="shared" si="507"/>
        <v>0.35</v>
      </c>
      <c r="AM258">
        <f t="shared" si="507"/>
        <v>0.35</v>
      </c>
      <c r="AN258">
        <f t="shared" si="507"/>
        <v>0.35</v>
      </c>
      <c r="AO258">
        <f t="shared" si="507"/>
        <v>0.35</v>
      </c>
      <c r="AP258">
        <f t="shared" si="507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508">T261-X261</f>
        <v>46.640060220097</v>
      </c>
      <c r="U295">
        <f t="shared" ref="U295:U325" si="509">U261-Y261</f>
        <v>2.4505031934589</v>
      </c>
      <c r="X295">
        <f t="shared" ref="X295:X325" si="510">T295*0.7</f>
        <v>32.6480421540679</v>
      </c>
      <c r="Y295">
        <f t="shared" ref="Y295:Y325" si="511">U295*0.7</f>
        <v>1.71535223542123</v>
      </c>
    </row>
    <row r="296" spans="20:25">
      <c r="T296">
        <f t="shared" si="508"/>
        <v>28.152818987967</v>
      </c>
      <c r="U296">
        <f t="shared" si="509"/>
        <v>2.0435520186671</v>
      </c>
      <c r="X296">
        <f t="shared" si="510"/>
        <v>19.7069732915769</v>
      </c>
      <c r="Y296">
        <f t="shared" si="511"/>
        <v>1.43048641306697</v>
      </c>
    </row>
    <row r="297" spans="20:25">
      <c r="T297">
        <f t="shared" si="508"/>
        <v>16.316311788543</v>
      </c>
      <c r="U297">
        <f t="shared" si="509"/>
        <v>4.9528870826906</v>
      </c>
      <c r="X297">
        <f t="shared" si="510"/>
        <v>11.4214182519801</v>
      </c>
      <c r="Y297">
        <f t="shared" si="511"/>
        <v>3.46702095788342</v>
      </c>
    </row>
    <row r="298" spans="20:25">
      <c r="T298">
        <f t="shared" si="508"/>
        <v>22.698641779286</v>
      </c>
      <c r="U298">
        <f t="shared" si="509"/>
        <v>5.2408062976961</v>
      </c>
      <c r="X298">
        <f t="shared" si="510"/>
        <v>15.8890492455002</v>
      </c>
      <c r="Y298">
        <f t="shared" si="511"/>
        <v>3.66856440838727</v>
      </c>
    </row>
    <row r="299" spans="20:25">
      <c r="T299">
        <f t="shared" si="508"/>
        <v>47.773670834104</v>
      </c>
      <c r="U299">
        <f t="shared" si="509"/>
        <v>6.7819745664919</v>
      </c>
      <c r="X299">
        <f t="shared" si="510"/>
        <v>33.4415695838728</v>
      </c>
      <c r="Y299">
        <f t="shared" si="511"/>
        <v>4.74738219654433</v>
      </c>
    </row>
    <row r="300" spans="20:25">
      <c r="T300">
        <f t="shared" si="508"/>
        <v>22.727022783092</v>
      </c>
      <c r="U300">
        <f t="shared" si="509"/>
        <v>5.8825545754911</v>
      </c>
      <c r="X300">
        <f t="shared" si="510"/>
        <v>15.9089159481644</v>
      </c>
      <c r="Y300">
        <f t="shared" si="511"/>
        <v>4.11778820284377</v>
      </c>
    </row>
    <row r="301" spans="20:25">
      <c r="T301">
        <f t="shared" si="508"/>
        <v>21.211315953924</v>
      </c>
      <c r="U301">
        <f t="shared" si="509"/>
        <v>6.5119087796976</v>
      </c>
      <c r="X301">
        <f t="shared" si="510"/>
        <v>14.8479211677468</v>
      </c>
      <c r="Y301">
        <f t="shared" si="511"/>
        <v>4.55833614578832</v>
      </c>
    </row>
    <row r="302" spans="20:25">
      <c r="T302">
        <f t="shared" si="508"/>
        <v>31.069804331996</v>
      </c>
      <c r="U302">
        <f t="shared" si="509"/>
        <v>7.3674687794406</v>
      </c>
      <c r="X302">
        <f t="shared" si="510"/>
        <v>21.7488630323972</v>
      </c>
      <c r="Y302">
        <f t="shared" si="511"/>
        <v>5.15722814560842</v>
      </c>
    </row>
    <row r="303" spans="20:25">
      <c r="T303">
        <f t="shared" si="508"/>
        <v>56.306389388049</v>
      </c>
      <c r="U303">
        <f t="shared" si="509"/>
        <v>8.4450029281086</v>
      </c>
      <c r="X303">
        <f t="shared" si="510"/>
        <v>39.4144725716343</v>
      </c>
      <c r="Y303">
        <f t="shared" si="511"/>
        <v>5.91150204967602</v>
      </c>
    </row>
    <row r="304" spans="20:25">
      <c r="T304">
        <f t="shared" si="508"/>
        <v>78.307091280469</v>
      </c>
      <c r="U304">
        <f t="shared" si="509"/>
        <v>9.5629050907641</v>
      </c>
      <c r="X304">
        <f t="shared" si="510"/>
        <v>54.8149638963283</v>
      </c>
      <c r="Y304">
        <f t="shared" si="511"/>
        <v>6.69403356353487</v>
      </c>
    </row>
    <row r="305" spans="20:25">
      <c r="T305">
        <f t="shared" si="508"/>
        <v>118.939157669443</v>
      </c>
      <c r="U305">
        <f t="shared" si="509"/>
        <v>11.1401195850046</v>
      </c>
      <c r="X305">
        <f t="shared" si="510"/>
        <v>83.2574103686101</v>
      </c>
      <c r="Y305">
        <f t="shared" si="511"/>
        <v>7.79808370950322</v>
      </c>
    </row>
    <row r="306" spans="20:25">
      <c r="T306">
        <f t="shared" si="508"/>
        <v>156.093195312147</v>
      </c>
      <c r="U306">
        <f t="shared" si="509"/>
        <v>11.0562120232953</v>
      </c>
      <c r="X306">
        <f t="shared" si="510"/>
        <v>109.265236718503</v>
      </c>
      <c r="Y306">
        <f t="shared" si="511"/>
        <v>7.73934841630671</v>
      </c>
    </row>
    <row r="307" spans="20:25">
      <c r="T307">
        <f t="shared" si="508"/>
        <v>199.893745245294</v>
      </c>
      <c r="U307">
        <f t="shared" si="509"/>
        <v>11.1139967582021</v>
      </c>
      <c r="X307">
        <f t="shared" si="510"/>
        <v>139.925621671706</v>
      </c>
      <c r="Y307">
        <f t="shared" si="511"/>
        <v>7.77979773074147</v>
      </c>
    </row>
    <row r="308" spans="20:25">
      <c r="T308">
        <f t="shared" si="508"/>
        <v>241.02982860434</v>
      </c>
      <c r="U308">
        <f t="shared" si="509"/>
        <v>11.453887144657</v>
      </c>
      <c r="X308">
        <f t="shared" si="510"/>
        <v>168.720880023038</v>
      </c>
      <c r="Y308">
        <f t="shared" si="511"/>
        <v>8.0177210012599</v>
      </c>
    </row>
    <row r="309" spans="20:25">
      <c r="T309">
        <f t="shared" si="508"/>
        <v>307.126508127121</v>
      </c>
      <c r="U309">
        <f t="shared" si="509"/>
        <v>11.7082875640234</v>
      </c>
      <c r="X309">
        <f t="shared" si="510"/>
        <v>214.988555688985</v>
      </c>
      <c r="Y309">
        <f t="shared" si="511"/>
        <v>8.19580129481638</v>
      </c>
    </row>
    <row r="310" spans="20:25">
      <c r="T310">
        <f t="shared" si="508"/>
        <v>337.934393039186</v>
      </c>
      <c r="U310">
        <f t="shared" si="509"/>
        <v>14.9600349272344</v>
      </c>
      <c r="X310">
        <f t="shared" si="510"/>
        <v>236.55407512743</v>
      </c>
      <c r="Y310">
        <f t="shared" si="511"/>
        <v>10.4720244490641</v>
      </c>
    </row>
    <row r="311" spans="20:25">
      <c r="T311">
        <f t="shared" si="508"/>
        <v>401.27673850869</v>
      </c>
      <c r="U311">
        <f t="shared" si="509"/>
        <v>20.4593493494806</v>
      </c>
      <c r="X311">
        <f t="shared" si="510"/>
        <v>280.893716956083</v>
      </c>
      <c r="Y311">
        <f t="shared" si="511"/>
        <v>14.3215445446364</v>
      </c>
    </row>
    <row r="312" spans="20:25">
      <c r="T312">
        <f t="shared" si="508"/>
        <v>464.786730280777</v>
      </c>
      <c r="U312">
        <f t="shared" si="509"/>
        <v>25.8964688046384</v>
      </c>
      <c r="X312">
        <f t="shared" si="510"/>
        <v>325.350711196544</v>
      </c>
      <c r="Y312">
        <f t="shared" si="511"/>
        <v>18.1275281632469</v>
      </c>
    </row>
    <row r="313" spans="20:25">
      <c r="T313">
        <f t="shared" si="508"/>
        <v>530.85938789674</v>
      </c>
      <c r="U313">
        <f t="shared" si="509"/>
        <v>31.1152778509719</v>
      </c>
      <c r="X313">
        <f t="shared" si="510"/>
        <v>371.601571527718</v>
      </c>
      <c r="Y313">
        <f t="shared" si="511"/>
        <v>21.7806944956803</v>
      </c>
    </row>
    <row r="314" spans="20:25">
      <c r="T314">
        <f t="shared" si="508"/>
        <v>599.252083052556</v>
      </c>
      <c r="U314">
        <f t="shared" si="509"/>
        <v>37.0363151056773</v>
      </c>
      <c r="X314">
        <f t="shared" si="510"/>
        <v>419.476458136789</v>
      </c>
      <c r="Y314">
        <f t="shared" si="511"/>
        <v>25.9254205739741</v>
      </c>
    </row>
    <row r="315" spans="20:25">
      <c r="T315">
        <f t="shared" si="508"/>
        <v>670.5152826823</v>
      </c>
      <c r="U315">
        <f t="shared" si="509"/>
        <v>42.2493136531934</v>
      </c>
      <c r="X315">
        <f t="shared" si="510"/>
        <v>469.36069787761</v>
      </c>
      <c r="Y315">
        <f t="shared" si="511"/>
        <v>29.5745195572354</v>
      </c>
    </row>
    <row r="316" spans="20:25">
      <c r="T316">
        <f t="shared" si="508"/>
        <v>680.533412889026</v>
      </c>
      <c r="U316">
        <f t="shared" si="509"/>
        <v>42.454077283503</v>
      </c>
      <c r="X316">
        <f t="shared" si="510"/>
        <v>476.373389022318</v>
      </c>
      <c r="Y316">
        <f t="shared" si="511"/>
        <v>29.7178540984521</v>
      </c>
    </row>
    <row r="317" spans="20:25">
      <c r="T317">
        <f t="shared" si="508"/>
        <v>691.289668674277</v>
      </c>
      <c r="U317">
        <f t="shared" si="509"/>
        <v>22.78087291011</v>
      </c>
      <c r="X317">
        <f t="shared" si="510"/>
        <v>483.902768071994</v>
      </c>
      <c r="Y317">
        <f t="shared" si="511"/>
        <v>15.946611037077</v>
      </c>
    </row>
    <row r="318" spans="20:25">
      <c r="T318">
        <f t="shared" si="508"/>
        <v>695.81284567726</v>
      </c>
      <c r="U318">
        <f t="shared" si="509"/>
        <v>24.0861934261544</v>
      </c>
      <c r="X318">
        <f t="shared" si="510"/>
        <v>487.068991974082</v>
      </c>
      <c r="Y318">
        <f t="shared" si="511"/>
        <v>16.8603353983081</v>
      </c>
    </row>
    <row r="319" spans="20:25">
      <c r="T319">
        <f t="shared" si="508"/>
        <v>694.131589892009</v>
      </c>
      <c r="U319">
        <f t="shared" si="509"/>
        <v>46.0224555085879</v>
      </c>
      <c r="X319">
        <f t="shared" si="510"/>
        <v>485.892112924406</v>
      </c>
      <c r="Y319">
        <f t="shared" si="511"/>
        <v>32.2157188560115</v>
      </c>
    </row>
    <row r="320" spans="20:25">
      <c r="T320">
        <f t="shared" si="508"/>
        <v>695.962061454284</v>
      </c>
      <c r="U320">
        <f t="shared" si="509"/>
        <v>47.38241439242</v>
      </c>
      <c r="X320">
        <f t="shared" si="510"/>
        <v>487.173443017999</v>
      </c>
      <c r="Y320">
        <f t="shared" si="511"/>
        <v>33.167690074694</v>
      </c>
    </row>
    <row r="321" spans="20:25">
      <c r="T321">
        <f t="shared" si="508"/>
        <v>706.807556157564</v>
      </c>
      <c r="U321">
        <f t="shared" si="509"/>
        <v>50.5473797300216</v>
      </c>
      <c r="X321">
        <f t="shared" si="510"/>
        <v>494.765289310295</v>
      </c>
      <c r="Y321">
        <f t="shared" si="511"/>
        <v>35.3831658110151</v>
      </c>
    </row>
    <row r="322" spans="20:25">
      <c r="T322">
        <f t="shared" si="508"/>
        <v>716.590159777846</v>
      </c>
      <c r="U322">
        <f t="shared" si="509"/>
        <v>53.6958744052761</v>
      </c>
      <c r="X322">
        <f t="shared" si="510"/>
        <v>501.613111844492</v>
      </c>
      <c r="Y322">
        <f t="shared" si="511"/>
        <v>37.5871120836933</v>
      </c>
    </row>
    <row r="323" spans="20:25">
      <c r="T323">
        <f t="shared" si="508"/>
        <v>726.691926722206</v>
      </c>
      <c r="U323">
        <f t="shared" si="509"/>
        <v>56.8320466903219</v>
      </c>
      <c r="X323">
        <f t="shared" si="510"/>
        <v>508.684348705544</v>
      </c>
      <c r="Y323">
        <f t="shared" si="511"/>
        <v>39.7824326832253</v>
      </c>
    </row>
    <row r="324" spans="20:25">
      <c r="T324">
        <f t="shared" si="508"/>
        <v>736.083809885837</v>
      </c>
      <c r="U324">
        <f t="shared" si="509"/>
        <v>60.0598103926257</v>
      </c>
      <c r="X324">
        <f t="shared" si="510"/>
        <v>515.258666920086</v>
      </c>
      <c r="Y324">
        <f t="shared" si="511"/>
        <v>42.041867274838</v>
      </c>
    </row>
    <row r="325" spans="20:25">
      <c r="T325">
        <f t="shared" si="508"/>
        <v>745.188709608146</v>
      </c>
      <c r="U325">
        <f t="shared" si="509"/>
        <v>63.9281264450273</v>
      </c>
      <c r="X325">
        <f t="shared" si="510"/>
        <v>521.632096725702</v>
      </c>
      <c r="Y325">
        <f t="shared" si="511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abSelected="1" topLeftCell="A22" workbookViewId="0">
      <selection activeCell="L43" sqref="L43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  <col min="16" max="16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N11" s="10">
        <v>143.2202336</v>
      </c>
    </row>
    <row r="12" spans="7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30" si="0">N12*1000</f>
        <v>150114.7371</v>
      </c>
      <c r="N12" s="26">
        <v>150.1147371</v>
      </c>
    </row>
    <row r="13" spans="7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6">
        <v>168.6509161</v>
      </c>
    </row>
    <row r="14" spans="7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</v>
      </c>
      <c r="N14" s="26">
        <v>172.3551221</v>
      </c>
    </row>
    <row r="15" spans="7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170312.9734</v>
      </c>
      <c r="N15" s="26">
        <v>170.3129734</v>
      </c>
    </row>
    <row r="16" spans="7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</v>
      </c>
      <c r="N16" s="26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</v>
      </c>
      <c r="N17" s="26">
        <v>167.683657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</v>
      </c>
      <c r="N18" s="26">
        <v>164.9647777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160291.4484</v>
      </c>
      <c r="N19" s="26">
        <v>160.2914484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</v>
      </c>
      <c r="N20" s="26">
        <v>155.5001386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6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</v>
      </c>
      <c r="N22" s="26">
        <v>143.0377123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135822.0573</v>
      </c>
      <c r="N23" s="26">
        <v>135.8220573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6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6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6">
        <v>111.8543941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103052.7266</v>
      </c>
      <c r="N27" s="26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94514.32349</v>
      </c>
      <c r="N28" s="26">
        <v>94.51432349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86339.93504</v>
      </c>
      <c r="N29" s="26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78513.11029</v>
      </c>
      <c r="N30" s="26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8">
        <f t="shared" ref="L31:L41" si="1">N31*1000</f>
        <v>70793.11405</v>
      </c>
      <c r="N31" s="26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8">
        <f t="shared" si="1"/>
        <v>63355.52275</v>
      </c>
      <c r="N32" s="26">
        <v>63.35552275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8">
        <f t="shared" si="1"/>
        <v>56326.52758</v>
      </c>
      <c r="N33" s="26">
        <v>56.32652758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8">
        <f t="shared" si="1"/>
        <v>49805.5338</v>
      </c>
      <c r="N34" s="26">
        <v>49.8055338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8">
        <f t="shared" si="1"/>
        <v>43686.05709</v>
      </c>
      <c r="N35" s="26">
        <v>43.68605709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8">
        <f t="shared" si="1"/>
        <v>37993.98822</v>
      </c>
      <c r="N36" s="26">
        <v>37.99398822</v>
      </c>
    </row>
    <row r="37" spans="7:14">
      <c r="G37" t="s">
        <v>18</v>
      </c>
      <c r="I37" s="8">
        <v>2046</v>
      </c>
      <c r="J37" s="8" t="s">
        <v>16</v>
      </c>
      <c r="K37" s="8">
        <v>1</v>
      </c>
      <c r="L37" s="8">
        <f t="shared" si="1"/>
        <v>32649.12163</v>
      </c>
      <c r="N37" s="26">
        <v>32.64912163</v>
      </c>
    </row>
    <row r="38" spans="7:14">
      <c r="G38" t="s">
        <v>18</v>
      </c>
      <c r="I38" s="8">
        <v>2047</v>
      </c>
      <c r="J38" s="8" t="s">
        <v>16</v>
      </c>
      <c r="K38" s="8">
        <v>1</v>
      </c>
      <c r="L38" s="8">
        <f t="shared" si="1"/>
        <v>27618.51744</v>
      </c>
      <c r="N38" s="26">
        <v>27.61851744</v>
      </c>
    </row>
    <row r="39" spans="7:14">
      <c r="G39" t="s">
        <v>18</v>
      </c>
      <c r="I39" s="8">
        <v>2048</v>
      </c>
      <c r="J39" s="8" t="s">
        <v>16</v>
      </c>
      <c r="K39" s="8">
        <v>1</v>
      </c>
      <c r="L39" s="8">
        <f>L38</f>
        <v>27618.51744</v>
      </c>
      <c r="N39" s="26">
        <v>22.92478914</v>
      </c>
    </row>
    <row r="40" spans="7:14">
      <c r="G40" t="s">
        <v>18</v>
      </c>
      <c r="I40" s="8">
        <v>2049</v>
      </c>
      <c r="J40" s="8" t="s">
        <v>16</v>
      </c>
      <c r="K40" s="8">
        <v>1</v>
      </c>
      <c r="L40" s="8">
        <f>L39</f>
        <v>27618.51744</v>
      </c>
      <c r="N40" s="26">
        <v>18.57979972</v>
      </c>
    </row>
    <row r="41" spans="7:14">
      <c r="G41" t="s">
        <v>18</v>
      </c>
      <c r="I41" s="8">
        <v>2050</v>
      </c>
      <c r="J41" s="8" t="s">
        <v>16</v>
      </c>
      <c r="K41" s="8">
        <v>1</v>
      </c>
      <c r="L41" s="8">
        <f>L40</f>
        <v>27618.51744</v>
      </c>
      <c r="N41" s="26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2" customWidth="1"/>
    <col min="2" max="2" width="22.5454545454545" style="2" customWidth="1"/>
    <col min="3" max="3" width="12.7272727272727" style="2" customWidth="1"/>
    <col min="4" max="4" width="14.2727272727273" style="2" customWidth="1"/>
    <col min="5" max="5" width="8" style="2" customWidth="1"/>
    <col min="6" max="6" width="8.18181818181818" style="2" customWidth="1"/>
    <col min="7" max="7" width="13.4545454545455" style="2" customWidth="1"/>
    <col min="8" max="14" width="12.8181818181818"/>
    <col min="18" max="18" width="12.8181818181818"/>
    <col min="19" max="20" width="13.1818181818182" style="2" customWidth="1"/>
    <col min="21" max="21" width="12.3636363636364" style="2" customWidth="1"/>
    <col min="22" max="22" width="51.8181818181818" style="2" customWidth="1"/>
    <col min="23" max="24" width="12.8181818181818"/>
  </cols>
  <sheetData>
    <row r="1" spans="1:1">
      <c r="A1" s="2" t="s">
        <v>95</v>
      </c>
    </row>
    <row r="3" spans="2:2">
      <c r="B3" s="29"/>
    </row>
    <row r="4" spans="2:3">
      <c r="B4" s="29"/>
      <c r="C4" s="29" t="s">
        <v>96</v>
      </c>
    </row>
    <row r="5" spans="3:3">
      <c r="C5" s="29" t="s">
        <v>97</v>
      </c>
    </row>
    <row r="6" spans="3:22">
      <c r="C6" s="30"/>
      <c r="S6" s="35" t="s">
        <v>98</v>
      </c>
      <c r="T6" s="35" t="s">
        <v>99</v>
      </c>
      <c r="U6" s="35" t="s">
        <v>100</v>
      </c>
      <c r="V6" s="31" t="s">
        <v>101</v>
      </c>
    </row>
    <row r="7" spans="4:22">
      <c r="D7" s="10"/>
      <c r="F7" s="2" t="s">
        <v>102</v>
      </c>
      <c r="I7" s="2"/>
      <c r="J7" s="2"/>
      <c r="K7" s="2"/>
      <c r="L7" s="2"/>
      <c r="M7" s="2"/>
      <c r="N7" s="2"/>
      <c r="S7" s="36">
        <v>0</v>
      </c>
      <c r="T7" s="36">
        <v>0</v>
      </c>
      <c r="U7" s="2">
        <v>3</v>
      </c>
      <c r="V7" s="2" t="s">
        <v>103</v>
      </c>
    </row>
    <row r="8" spans="19:22">
      <c r="S8" s="36">
        <v>2</v>
      </c>
      <c r="T8" s="36">
        <v>0</v>
      </c>
      <c r="U8" s="2">
        <v>4</v>
      </c>
      <c r="V8" s="2" t="s">
        <v>104</v>
      </c>
    </row>
    <row r="9" spans="19:22">
      <c r="S9" s="36">
        <v>0</v>
      </c>
      <c r="T9" s="36">
        <v>0</v>
      </c>
      <c r="U9" s="2">
        <v>3</v>
      </c>
      <c r="V9" s="2" t="s">
        <v>105</v>
      </c>
    </row>
    <row r="10" spans="19:20">
      <c r="S10" s="36"/>
      <c r="T10" s="36"/>
    </row>
    <row r="11" spans="3:20">
      <c r="C11" s="31" t="s">
        <v>3</v>
      </c>
      <c r="D11" s="32" t="s">
        <v>11</v>
      </c>
      <c r="E11" s="33" t="s">
        <v>42</v>
      </c>
      <c r="F11" s="32" t="s">
        <v>10</v>
      </c>
      <c r="G11" s="30" t="s">
        <v>5</v>
      </c>
      <c r="H11" s="10" t="s">
        <v>76</v>
      </c>
      <c r="I11" s="10" t="s">
        <v>77</v>
      </c>
      <c r="J11" s="10" t="s">
        <v>78</v>
      </c>
      <c r="K11" s="10" t="s">
        <v>79</v>
      </c>
      <c r="L11" s="10" t="s">
        <v>80</v>
      </c>
      <c r="M11" s="10" t="s">
        <v>81</v>
      </c>
      <c r="N11" s="10" t="s">
        <v>82</v>
      </c>
      <c r="S11" s="36"/>
      <c r="T11" s="36"/>
    </row>
    <row r="12" spans="3:38">
      <c r="C12" s="2" t="s">
        <v>106</v>
      </c>
      <c r="D12" t="s">
        <v>16</v>
      </c>
      <c r="E12">
        <v>1</v>
      </c>
      <c r="F12" s="10">
        <v>2020</v>
      </c>
      <c r="G12" s="10" t="s">
        <v>107</v>
      </c>
      <c r="H12" s="8">
        <v>18.3557504576777</v>
      </c>
      <c r="I12" s="8">
        <v>40.4756485216189</v>
      </c>
      <c r="J12" s="8">
        <v>1.12363041550962</v>
      </c>
      <c r="K12" s="8">
        <v>0.82176283040214</v>
      </c>
      <c r="L12" s="8">
        <v>11.3133806438342</v>
      </c>
      <c r="M12" s="8">
        <v>13.4671333024787</v>
      </c>
      <c r="N12" s="8">
        <v>8.45820527707497</v>
      </c>
      <c r="Y12" s="37">
        <v>17.2803422354212</v>
      </c>
      <c r="AE12" s="10" t="s">
        <v>108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8"/>
      <c r="C13"/>
      <c r="D13" t="s">
        <v>16</v>
      </c>
      <c r="E13">
        <v>1</v>
      </c>
      <c r="F13" s="10">
        <v>2020</v>
      </c>
      <c r="G13" s="10" t="s">
        <v>92</v>
      </c>
      <c r="H13" s="8"/>
      <c r="I13" s="8"/>
      <c r="J13" s="8"/>
      <c r="K13" s="8"/>
      <c r="L13" s="34"/>
      <c r="M13" s="8"/>
      <c r="N13" s="34"/>
      <c r="Y13" s="37">
        <v>2.96037184697624</v>
      </c>
      <c r="AE13" s="10" t="s">
        <v>92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8"/>
      <c r="C14"/>
      <c r="D14" t="s">
        <v>16</v>
      </c>
      <c r="E14">
        <v>1</v>
      </c>
      <c r="F14" s="10">
        <v>2021</v>
      </c>
      <c r="G14" s="10" t="s">
        <v>107</v>
      </c>
      <c r="H14" s="8">
        <v>18.44673412527</v>
      </c>
      <c r="I14" s="8">
        <v>41.7663715528334</v>
      </c>
      <c r="J14" s="8">
        <v>1.12991862079605</v>
      </c>
      <c r="K14" s="8">
        <v>0.832006582330557</v>
      </c>
      <c r="L14" s="8">
        <v>12.289220662347</v>
      </c>
      <c r="M14" s="8">
        <v>13.3829393088553</v>
      </c>
      <c r="N14" s="8">
        <v>9.46366665804791</v>
      </c>
      <c r="Y14" s="37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8"/>
      <c r="C15"/>
      <c r="D15" t="s">
        <v>16</v>
      </c>
      <c r="E15">
        <v>1</v>
      </c>
      <c r="F15" s="10">
        <v>2021</v>
      </c>
      <c r="G15" s="10" t="s">
        <v>92</v>
      </c>
      <c r="H15" s="8"/>
      <c r="I15" s="8"/>
      <c r="J15" s="8"/>
      <c r="K15" s="8"/>
      <c r="L15" s="34"/>
      <c r="M15" s="8"/>
      <c r="N15" s="34"/>
      <c r="Y15" s="37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8"/>
      <c r="C16"/>
      <c r="D16" t="s">
        <v>16</v>
      </c>
      <c r="E16">
        <v>1</v>
      </c>
      <c r="F16" s="10">
        <v>2022</v>
      </c>
      <c r="G16" s="10" t="s">
        <v>107</v>
      </c>
      <c r="H16" s="8">
        <v>20.0269455106449</v>
      </c>
      <c r="I16" s="8">
        <v>57.0245121944257</v>
      </c>
      <c r="J16" s="8">
        <v>2.53789365730741</v>
      </c>
      <c r="K16" s="8">
        <v>0.82822174226062</v>
      </c>
      <c r="L16" s="8">
        <v>11.0159818471665</v>
      </c>
      <c r="M16" s="8">
        <v>16.1452940553327</v>
      </c>
      <c r="N16" s="8">
        <v>8.85879861766943</v>
      </c>
      <c r="Y16" s="37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92</v>
      </c>
      <c r="H17" s="8"/>
      <c r="I17" s="8"/>
      <c r="J17" s="8"/>
      <c r="K17" s="8"/>
      <c r="L17" s="34"/>
      <c r="M17" s="8"/>
      <c r="N17" s="34"/>
      <c r="Y17" s="37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107</v>
      </c>
      <c r="H18" s="8">
        <v>18.5557489149439</v>
      </c>
      <c r="I18" s="8">
        <v>44.5660675334671</v>
      </c>
      <c r="J18" s="8">
        <v>2.82692574102643</v>
      </c>
      <c r="K18" s="8">
        <v>0.808879282114574</v>
      </c>
      <c r="L18" s="8">
        <v>15.1965301553019</v>
      </c>
      <c r="M18" s="8">
        <v>16.0691779903322</v>
      </c>
      <c r="N18" s="8">
        <v>7.82179665751311</v>
      </c>
      <c r="Y18" s="37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92</v>
      </c>
      <c r="H19" s="8"/>
      <c r="I19" s="8"/>
      <c r="J19" s="8"/>
      <c r="K19" s="8"/>
      <c r="L19" s="34"/>
      <c r="M19" s="8"/>
      <c r="N19" s="34"/>
      <c r="Y19" s="37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107</v>
      </c>
      <c r="H20" s="8">
        <v>18.6652114059447</v>
      </c>
      <c r="I20" s="8">
        <v>38.8267595887689</v>
      </c>
      <c r="J20" s="8">
        <v>2.09366947649902</v>
      </c>
      <c r="K20" s="8">
        <v>0.64116877548082</v>
      </c>
      <c r="L20" s="8">
        <v>19.771069577291</v>
      </c>
      <c r="M20" s="8">
        <v>16.3611969351023</v>
      </c>
      <c r="N20" s="8">
        <v>8.62904693204771</v>
      </c>
      <c r="Y20" s="37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92</v>
      </c>
      <c r="H21" s="8"/>
      <c r="I21" s="8"/>
      <c r="J21" s="8"/>
      <c r="K21" s="8"/>
      <c r="L21" s="34"/>
      <c r="M21" s="8"/>
      <c r="N21" s="34"/>
      <c r="Y21" s="37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107</v>
      </c>
      <c r="H22" s="8">
        <v>12.7960142137201</v>
      </c>
      <c r="I22" s="8">
        <v>38.9265252565051</v>
      </c>
      <c r="J22" s="8">
        <v>1.61929999691453</v>
      </c>
      <c r="K22" s="8">
        <v>0.794086103877403</v>
      </c>
      <c r="L22" s="8">
        <v>11.3619812917824</v>
      </c>
      <c r="M22" s="8">
        <v>13.5098419726422</v>
      </c>
      <c r="N22" s="8">
        <v>6.16345202128971</v>
      </c>
      <c r="Y22" s="37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92</v>
      </c>
      <c r="H23" s="8"/>
      <c r="I23" s="8"/>
      <c r="J23" s="8"/>
      <c r="K23" s="8"/>
      <c r="L23" s="34"/>
      <c r="M23" s="8"/>
      <c r="N23" s="34"/>
      <c r="Y23" s="37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107</v>
      </c>
      <c r="H24" s="8">
        <v>11.3165382083719</v>
      </c>
      <c r="I24" s="8">
        <v>38.1744422016869</v>
      </c>
      <c r="J24" s="8">
        <v>1.59322520621207</v>
      </c>
      <c r="K24" s="8">
        <v>0.741616744728994</v>
      </c>
      <c r="L24" s="8">
        <v>12.1179399259488</v>
      </c>
      <c r="M24" s="8">
        <v>13.6385666563818</v>
      </c>
      <c r="N24" s="8">
        <v>5.19657217515172</v>
      </c>
      <c r="Y24" s="37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92</v>
      </c>
      <c r="H25" s="8"/>
      <c r="I25" s="8"/>
      <c r="J25" s="8"/>
      <c r="K25" s="8"/>
      <c r="L25" s="34"/>
      <c r="M25" s="8"/>
      <c r="N25" s="34"/>
      <c r="Y25" s="37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107</v>
      </c>
      <c r="H26" s="8">
        <v>10.5989244780417</v>
      </c>
      <c r="I26" s="8">
        <v>37.9573144586034</v>
      </c>
      <c r="J26" s="8">
        <v>0.952811356885734</v>
      </c>
      <c r="K26" s="8">
        <v>0.828674277486371</v>
      </c>
      <c r="L26" s="8">
        <v>11.3600980253008</v>
      </c>
      <c r="M26" s="8">
        <v>13.7852746374576</v>
      </c>
      <c r="N26" s="8">
        <v>4.61117086650211</v>
      </c>
      <c r="Y26" s="37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92</v>
      </c>
      <c r="H27" s="8"/>
      <c r="I27" s="8"/>
      <c r="J27" s="8"/>
      <c r="K27" s="8"/>
      <c r="L27" s="34"/>
      <c r="M27" s="8"/>
      <c r="N27" s="34"/>
      <c r="Y27" s="37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107</v>
      </c>
      <c r="H28" s="8">
        <v>9.08887096472283</v>
      </c>
      <c r="I28" s="8">
        <v>40.4171790753883</v>
      </c>
      <c r="J28" s="8">
        <v>0.874521066029003</v>
      </c>
      <c r="K28" s="8">
        <v>0.803579142240049</v>
      </c>
      <c r="L28" s="8">
        <v>15.1290753882547</v>
      </c>
      <c r="M28" s="8">
        <v>13.8402065926155</v>
      </c>
      <c r="N28" s="8">
        <v>4.75614363853749</v>
      </c>
      <c r="Y28" s="37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92</v>
      </c>
      <c r="H29" s="8"/>
      <c r="I29" s="8"/>
      <c r="J29" s="8"/>
      <c r="K29" s="8"/>
      <c r="L29" s="34"/>
      <c r="M29" s="8"/>
      <c r="N29" s="34"/>
      <c r="Y29" s="37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107</v>
      </c>
      <c r="H30" s="8">
        <v>10.8467996811684</v>
      </c>
      <c r="I30" s="8">
        <v>35.6937071819397</v>
      </c>
      <c r="J30" s="8">
        <v>0.794927123727246</v>
      </c>
      <c r="K30" s="8">
        <v>0.76473664074874</v>
      </c>
      <c r="L30" s="8">
        <v>11.3318934485241</v>
      </c>
      <c r="M30" s="8">
        <v>13.8952623572971</v>
      </c>
      <c r="N30" s="8">
        <v>4.19470298601254</v>
      </c>
      <c r="Y30" s="37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92</v>
      </c>
      <c r="H31" s="8"/>
      <c r="I31" s="8"/>
      <c r="J31" s="8"/>
      <c r="K31" s="8"/>
      <c r="L31" s="34"/>
      <c r="M31" s="8"/>
      <c r="N31" s="34"/>
      <c r="Y31" s="37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107</v>
      </c>
      <c r="H32" s="8">
        <v>11.8934414686825</v>
      </c>
      <c r="I32" s="8">
        <v>32.9747862048751</v>
      </c>
      <c r="J32" s="8">
        <v>0.129959888923172</v>
      </c>
      <c r="K32" s="8">
        <v>0.831761981590043</v>
      </c>
      <c r="L32" s="8">
        <v>12.3572971305153</v>
      </c>
      <c r="M32" s="8">
        <v>13.9705001645583</v>
      </c>
      <c r="N32" s="8">
        <v>4.21825598633137</v>
      </c>
      <c r="Y32" s="37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92</v>
      </c>
      <c r="H33" s="8"/>
      <c r="I33" s="8"/>
      <c r="J33" s="8"/>
      <c r="K33" s="8"/>
      <c r="L33" s="34"/>
      <c r="M33" s="8"/>
      <c r="N33" s="34"/>
      <c r="Y33" s="37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107</v>
      </c>
      <c r="H34" s="8">
        <v>26.6624976756145</v>
      </c>
      <c r="I34" s="8">
        <v>38.1891707238506</v>
      </c>
      <c r="J34" s="8">
        <v>10.4929801707292</v>
      </c>
      <c r="K34" s="8">
        <v>0.857339277074977</v>
      </c>
      <c r="L34" s="8">
        <v>11.9277028180603</v>
      </c>
      <c r="M34" s="8">
        <v>14.3538365422195</v>
      </c>
      <c r="N34" s="8">
        <v>3.13004012210223</v>
      </c>
      <c r="Y34" s="37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92</v>
      </c>
      <c r="H35" s="8"/>
      <c r="I35" s="8"/>
      <c r="J35" s="8"/>
      <c r="K35" s="8"/>
      <c r="L35" s="34"/>
      <c r="M35" s="8"/>
      <c r="N35" s="34"/>
      <c r="Y35" s="37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107</v>
      </c>
      <c r="H36" s="8">
        <v>41.060340861874</v>
      </c>
      <c r="I36" s="8">
        <v>33.784378818266</v>
      </c>
      <c r="J36" s="8">
        <v>20.2861740203641</v>
      </c>
      <c r="K36" s="8">
        <v>0.818690128663991</v>
      </c>
      <c r="L36" s="8">
        <v>24.5673734238404</v>
      </c>
      <c r="M36" s="8">
        <v>17.9069774863725</v>
      </c>
      <c r="N36" s="8">
        <v>3.80413662964106</v>
      </c>
      <c r="Y36" s="37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92</v>
      </c>
      <c r="H37" s="8"/>
      <c r="I37" s="8"/>
      <c r="J37" s="8"/>
      <c r="K37" s="8"/>
      <c r="L37" s="34"/>
      <c r="M37" s="8"/>
      <c r="N37" s="34"/>
      <c r="Y37" s="37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107</v>
      </c>
      <c r="H38" s="8">
        <v>52.6770213308649</v>
      </c>
      <c r="I38" s="8">
        <v>51.3297269215263</v>
      </c>
      <c r="J38" s="8">
        <v>28.9923556824026</v>
      </c>
      <c r="K38" s="8">
        <v>0.808961901676437</v>
      </c>
      <c r="L38" s="8">
        <v>27.800833929857</v>
      </c>
      <c r="M38" s="8">
        <v>18.1251942507457</v>
      </c>
      <c r="N38" s="8">
        <v>4.074092716065</v>
      </c>
      <c r="Y38" s="37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92</v>
      </c>
      <c r="H39" s="8"/>
      <c r="I39" s="8"/>
      <c r="J39" s="8"/>
      <c r="K39" s="8"/>
      <c r="L39" s="34"/>
      <c r="M39" s="8"/>
      <c r="N39" s="34"/>
      <c r="Y39" s="37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107</v>
      </c>
      <c r="H40" s="8">
        <v>64.047145130104</v>
      </c>
      <c r="I40" s="8">
        <v>57.3563338776097</v>
      </c>
      <c r="J40" s="8">
        <v>37.535728540574</v>
      </c>
      <c r="K40" s="8">
        <v>0.775639665226783</v>
      </c>
      <c r="L40" s="8">
        <v>26.064567962563</v>
      </c>
      <c r="M40" s="8">
        <v>17.3859292810861</v>
      </c>
      <c r="N40" s="8">
        <v>3.25187747125371</v>
      </c>
      <c r="Y40" s="37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92</v>
      </c>
      <c r="H41" s="8"/>
      <c r="I41" s="8"/>
      <c r="J41" s="8"/>
      <c r="K41" s="8"/>
      <c r="L41" s="34"/>
      <c r="M41" s="8"/>
      <c r="N41" s="34"/>
      <c r="Y41" s="37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107</v>
      </c>
      <c r="H42" s="8">
        <v>71.3701876889849</v>
      </c>
      <c r="I42" s="8">
        <v>39.6583355833591</v>
      </c>
      <c r="J42" s="8">
        <v>46.869524087216</v>
      </c>
      <c r="K42" s="8">
        <v>0.657081147793891</v>
      </c>
      <c r="L42" s="8">
        <v>24.6412783091638</v>
      </c>
      <c r="M42" s="8">
        <v>17.1982500154273</v>
      </c>
      <c r="N42" s="8">
        <v>2.38302748637252</v>
      </c>
      <c r="Y42" s="37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92</v>
      </c>
      <c r="H43" s="8"/>
      <c r="I43" s="8"/>
      <c r="J43" s="8"/>
      <c r="K43" s="8"/>
      <c r="L43" s="34"/>
      <c r="M43" s="8"/>
      <c r="N43" s="34"/>
      <c r="Y43" s="37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107</v>
      </c>
      <c r="H44" s="8">
        <v>83.0276779800474</v>
      </c>
      <c r="I44" s="8">
        <v>38.2804393249409</v>
      </c>
      <c r="J44" s="8">
        <v>57.5967661421371</v>
      </c>
      <c r="K44" s="8">
        <v>0.630877123932943</v>
      </c>
      <c r="L44" s="8">
        <v>25.2526388871747</v>
      </c>
      <c r="M44" s="8">
        <v>17.0500519798416</v>
      </c>
      <c r="N44" s="8">
        <v>2.23851802581508</v>
      </c>
      <c r="Y44" s="37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92</v>
      </c>
      <c r="H45" s="8"/>
      <c r="I45" s="8"/>
      <c r="J45" s="8"/>
      <c r="K45" s="8"/>
      <c r="L45" s="34"/>
      <c r="M45" s="8"/>
      <c r="N45" s="34"/>
      <c r="Y45" s="37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107</v>
      </c>
      <c r="H46" s="8">
        <v>94.1771232541397</v>
      </c>
      <c r="I46" s="8">
        <v>37.0299395753369</v>
      </c>
      <c r="J46" s="8">
        <v>68.3456909801503</v>
      </c>
      <c r="K46" s="8">
        <v>0.596554234598374</v>
      </c>
      <c r="L46" s="8">
        <v>26.4258067674586</v>
      </c>
      <c r="M46" s="8">
        <v>16.971784078988</v>
      </c>
      <c r="N46" s="8">
        <v>2.22497593263396</v>
      </c>
      <c r="Y46" s="37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92</v>
      </c>
      <c r="H47" s="8"/>
      <c r="I47" s="8"/>
      <c r="J47" s="8"/>
      <c r="K47" s="8"/>
      <c r="L47" s="34"/>
      <c r="M47" s="8"/>
      <c r="N47" s="34"/>
      <c r="Y47" s="37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107</v>
      </c>
      <c r="H48" s="8">
        <v>105.218125167129</v>
      </c>
      <c r="I48" s="8">
        <v>36.461262291772</v>
      </c>
      <c r="J48" s="8">
        <v>79.0488241900649</v>
      </c>
      <c r="K48" s="8">
        <v>0.564922967499743</v>
      </c>
      <c r="L48" s="8">
        <v>27.2473432582536</v>
      </c>
      <c r="M48" s="8">
        <v>16.8689553944256</v>
      </c>
      <c r="N48" s="8">
        <v>2.17710146704721</v>
      </c>
      <c r="Y48" s="37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92</v>
      </c>
      <c r="H49" s="8"/>
      <c r="I49" s="8"/>
      <c r="J49" s="8"/>
      <c r="K49" s="8"/>
      <c r="L49" s="34"/>
      <c r="M49" s="8"/>
      <c r="N49" s="34"/>
      <c r="Y49" s="37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107</v>
      </c>
      <c r="H50" s="8">
        <v>116.640598272138</v>
      </c>
      <c r="I50" s="8">
        <v>36.0352793324797</v>
      </c>
      <c r="J50" s="8">
        <v>89.740439247146</v>
      </c>
      <c r="K50" s="8">
        <v>0.546105487401009</v>
      </c>
      <c r="L50" s="8">
        <v>28.3952090095649</v>
      </c>
      <c r="M50" s="8">
        <v>16.8775035894271</v>
      </c>
      <c r="N50" s="8">
        <v>2.31794824788645</v>
      </c>
      <c r="Y50" s="37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92</v>
      </c>
      <c r="H51" s="8"/>
      <c r="I51" s="8"/>
      <c r="J51" s="8"/>
      <c r="K51" s="8"/>
      <c r="L51" s="34"/>
      <c r="M51" s="8"/>
      <c r="N51" s="34"/>
      <c r="Y51" s="37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107</v>
      </c>
      <c r="H52" s="8">
        <v>128.037285611437</v>
      </c>
      <c r="I52" s="8">
        <v>34.6895762055743</v>
      </c>
      <c r="J52" s="8">
        <v>100.453650509102</v>
      </c>
      <c r="K52" s="8">
        <v>0.527059693715931</v>
      </c>
      <c r="L52" s="8">
        <v>29.93080473105</v>
      </c>
      <c r="M52" s="8">
        <v>16.9799772086805</v>
      </c>
      <c r="N52" s="8">
        <v>2.37013993314821</v>
      </c>
      <c r="Y52" s="37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92</v>
      </c>
      <c r="H53" s="8"/>
      <c r="I53" s="8"/>
      <c r="J53" s="8"/>
      <c r="K53" s="8"/>
      <c r="L53" s="34"/>
      <c r="M53" s="8"/>
      <c r="N53" s="34"/>
      <c r="Y53" s="37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107</v>
      </c>
      <c r="H54" s="8">
        <v>141.665734135555</v>
      </c>
      <c r="I54" s="8">
        <v>37.5892655823306</v>
      </c>
      <c r="J54" s="8">
        <v>111.266536254243</v>
      </c>
      <c r="K54" s="8">
        <v>0.590945753882546</v>
      </c>
      <c r="L54" s="8">
        <v>33.26582180397</v>
      </c>
      <c r="M54" s="8">
        <v>17.0997092255477</v>
      </c>
      <c r="N54" s="8">
        <v>2.4932865309061</v>
      </c>
      <c r="Y54" s="37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92</v>
      </c>
      <c r="H55" s="8"/>
      <c r="I55" s="8"/>
      <c r="J55" s="8"/>
      <c r="K55" s="8"/>
      <c r="L55" s="34"/>
      <c r="M55" s="8"/>
      <c r="N55" s="34"/>
      <c r="Y55" s="37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107</v>
      </c>
      <c r="H56" s="8">
        <v>154.917198189859</v>
      </c>
      <c r="I56" s="8">
        <v>38.1554690452637</v>
      </c>
      <c r="J56" s="8">
        <v>122.052484624087</v>
      </c>
      <c r="K56" s="8">
        <v>0.651631750179986</v>
      </c>
      <c r="L56" s="8">
        <v>37.0173786279954</v>
      </c>
      <c r="M56" s="8">
        <v>17.6478779389077</v>
      </c>
      <c r="N56" s="8">
        <v>3.96177679317083</v>
      </c>
      <c r="Y56" s="37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92</v>
      </c>
      <c r="H57" s="8"/>
      <c r="I57" s="8"/>
      <c r="J57" s="8"/>
      <c r="K57" s="8"/>
      <c r="L57" s="34"/>
      <c r="M57" s="8"/>
      <c r="N57" s="34"/>
      <c r="Y57" s="37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107</v>
      </c>
      <c r="H58" s="8">
        <v>168.163908361617</v>
      </c>
      <c r="I58" s="8">
        <v>39.0042215598271</v>
      </c>
      <c r="J58" s="8">
        <v>133.001095958038</v>
      </c>
      <c r="K58" s="8">
        <v>0.64996102468374</v>
      </c>
      <c r="L58" s="8">
        <v>39.791657451404</v>
      </c>
      <c r="M58" s="8">
        <v>17.8118199218348</v>
      </c>
      <c r="N58" s="8">
        <v>4.2743011189962</v>
      </c>
      <c r="Y58" s="37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92</v>
      </c>
      <c r="H59" s="8"/>
      <c r="I59" s="8"/>
      <c r="J59" s="8"/>
      <c r="K59" s="8"/>
      <c r="L59" s="34"/>
      <c r="M59" s="8"/>
      <c r="N59" s="34"/>
      <c r="Y59" s="37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107</v>
      </c>
      <c r="H60" s="8">
        <v>181.391410264322</v>
      </c>
      <c r="I60" s="8">
        <v>41.8194328433611</v>
      </c>
      <c r="J60" s="8">
        <v>143.714474750591</v>
      </c>
      <c r="K60" s="8">
        <v>0.627312383626451</v>
      </c>
      <c r="L60" s="8">
        <v>40.6878417772291</v>
      </c>
      <c r="M60" s="8">
        <v>17.1788606088656</v>
      </c>
      <c r="N60" s="8">
        <v>3.39620727832974</v>
      </c>
      <c r="Y60" s="37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92</v>
      </c>
      <c r="H61" s="8"/>
      <c r="I61" s="8"/>
      <c r="J61" s="8"/>
      <c r="K61" s="8"/>
      <c r="L61" s="34"/>
      <c r="M61" s="8"/>
      <c r="N61" s="34"/>
      <c r="Y61" s="37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107</v>
      </c>
      <c r="H62" s="8">
        <v>194.46366070143</v>
      </c>
      <c r="I62" s="8">
        <v>41.9926814876271</v>
      </c>
      <c r="J62" s="8">
        <v>154.501396379718</v>
      </c>
      <c r="K62" s="8">
        <v>0.582315140800166</v>
      </c>
      <c r="L62" s="8">
        <v>42.1321514347423</v>
      </c>
      <c r="M62" s="8">
        <v>17.0877666152422</v>
      </c>
      <c r="N62" s="8">
        <v>3.54879595083823</v>
      </c>
      <c r="Y62" s="37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92</v>
      </c>
      <c r="H63" s="8"/>
      <c r="I63" s="8"/>
      <c r="J63" s="8"/>
      <c r="K63" s="8"/>
      <c r="L63" s="34"/>
      <c r="M63" s="8"/>
      <c r="N63" s="34"/>
      <c r="Y63" s="37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107</v>
      </c>
      <c r="H64" s="8">
        <v>209.725295690631</v>
      </c>
      <c r="I64" s="8">
        <v>43.3406624815386</v>
      </c>
      <c r="J64" s="8">
        <v>166.245565977579</v>
      </c>
      <c r="K64" s="8">
        <v>0.634478940039083</v>
      </c>
      <c r="L64" s="8">
        <v>44.4866692995989</v>
      </c>
      <c r="M64" s="8">
        <v>17.5099333950427</v>
      </c>
      <c r="N64" s="8">
        <v>3.93479876858994</v>
      </c>
      <c r="Y64" s="37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92</v>
      </c>
      <c r="H65" s="8"/>
      <c r="I65" s="8"/>
      <c r="J65" s="8"/>
      <c r="K65" s="8"/>
      <c r="L65" s="34"/>
      <c r="M65" s="8"/>
      <c r="N65" s="34"/>
      <c r="Y65" s="37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107</v>
      </c>
      <c r="H66" s="8">
        <v>225.316110562583</v>
      </c>
      <c r="I66" s="8">
        <v>46.4424371152937</v>
      </c>
      <c r="J66" s="8">
        <v>178.031029620487</v>
      </c>
      <c r="K66" s="8">
        <v>0.687793229044534</v>
      </c>
      <c r="L66" s="8">
        <v>46.7582532551683</v>
      </c>
      <c r="M66" s="8">
        <v>17.6615553121465</v>
      </c>
      <c r="N66" s="8">
        <v>4.25189569885837</v>
      </c>
      <c r="Y66" s="37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92</v>
      </c>
      <c r="H67" s="8"/>
      <c r="I67" s="8"/>
      <c r="J67" s="8"/>
      <c r="K67" s="8"/>
      <c r="L67" s="34"/>
      <c r="M67" s="8"/>
      <c r="N67" s="34"/>
      <c r="Y67" s="37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107</v>
      </c>
      <c r="H68" s="8">
        <v>241.19334310398</v>
      </c>
      <c r="I68" s="8">
        <v>49.8428880928726</v>
      </c>
      <c r="J68" s="8">
        <v>189.781187596421</v>
      </c>
      <c r="K68" s="8">
        <v>0.705559088655766</v>
      </c>
      <c r="L68" s="8">
        <v>49.1070040008229</v>
      </c>
      <c r="M68" s="8">
        <v>17.8568094003908</v>
      </c>
      <c r="N68" s="8">
        <v>4.43611950228326</v>
      </c>
      <c r="Y68" s="37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92</v>
      </c>
      <c r="H69" s="8"/>
      <c r="I69" s="8"/>
      <c r="J69" s="8"/>
      <c r="K69" s="8"/>
      <c r="L69" s="34"/>
      <c r="M69" s="8"/>
      <c r="N69" s="34"/>
      <c r="Y69" s="37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107</v>
      </c>
      <c r="H70" s="8">
        <v>256.829605060167</v>
      </c>
      <c r="I70" s="8">
        <v>54.7194772304843</v>
      </c>
      <c r="J70" s="8">
        <v>201.558092358326</v>
      </c>
      <c r="K70" s="8">
        <v>0.74274695176386</v>
      </c>
      <c r="L70" s="8">
        <v>51.0778289211149</v>
      </c>
      <c r="M70" s="8">
        <v>17.9492763344647</v>
      </c>
      <c r="N70" s="8">
        <v>4.52178646696491</v>
      </c>
      <c r="Y70" s="37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92</v>
      </c>
      <c r="H71" s="8"/>
      <c r="I71" s="8"/>
      <c r="J71" s="8"/>
      <c r="K71" s="8"/>
      <c r="L71" s="34"/>
      <c r="M71" s="8"/>
      <c r="N71" s="34"/>
      <c r="Y71" s="37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107</v>
      </c>
      <c r="H72" s="8">
        <v>272.466708114779</v>
      </c>
      <c r="I72" s="8">
        <v>60.592317682814</v>
      </c>
      <c r="J72" s="8">
        <v>213.32289190579</v>
      </c>
      <c r="K72" s="8">
        <v>0.766318398848091</v>
      </c>
      <c r="L72" s="8">
        <v>52.736400370256</v>
      </c>
      <c r="M72" s="8">
        <v>18.0374416023861</v>
      </c>
      <c r="N72" s="8">
        <v>4.59447901840994</v>
      </c>
      <c r="Y72" s="37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92</v>
      </c>
      <c r="S73"/>
      <c r="T73"/>
      <c r="U73"/>
      <c r="V73"/>
      <c r="Y73" s="37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38">
        <v>6.42451266018719</v>
      </c>
      <c r="S77" s="39">
        <v>14.1664769825666</v>
      </c>
      <c r="T77" s="39">
        <v>0.393270645428367</v>
      </c>
      <c r="U77" s="39">
        <v>0.287616990640749</v>
      </c>
      <c r="V77" s="39">
        <v>3.95968322534197</v>
      </c>
      <c r="W77" s="38">
        <v>4.71349665586754</v>
      </c>
      <c r="X77" s="38">
        <v>2.96037184697624</v>
      </c>
    </row>
    <row r="78" spans="18:24">
      <c r="R78" s="38"/>
      <c r="S78" s="39"/>
      <c r="T78" s="39"/>
      <c r="U78" s="39"/>
      <c r="V78" s="39"/>
      <c r="W78" s="38"/>
      <c r="X78" s="38"/>
    </row>
    <row r="79" spans="18:24">
      <c r="R79" s="38">
        <v>6.4563569438445</v>
      </c>
      <c r="S79" s="39">
        <v>14.6182300434917</v>
      </c>
      <c r="T79" s="39">
        <v>0.395471517278618</v>
      </c>
      <c r="U79" s="39">
        <v>0.291202303815695</v>
      </c>
      <c r="V79" s="39">
        <v>4.30122723182145</v>
      </c>
      <c r="W79" s="38">
        <v>4.68402875809936</v>
      </c>
      <c r="X79" s="38">
        <v>3.31228333031677</v>
      </c>
    </row>
    <row r="80" spans="18:24">
      <c r="R80" s="38"/>
      <c r="S80" s="39"/>
      <c r="T80" s="39"/>
      <c r="U80" s="39"/>
      <c r="V80" s="39"/>
      <c r="W80" s="38"/>
      <c r="X80" s="38"/>
    </row>
    <row r="81" spans="18:24">
      <c r="R81" s="38">
        <v>7.00943092872571</v>
      </c>
      <c r="S81" s="39">
        <v>19.958579268049</v>
      </c>
      <c r="T81" s="39">
        <v>0.888262780057593</v>
      </c>
      <c r="U81" s="39">
        <v>0.289877609791217</v>
      </c>
      <c r="V81" s="39">
        <v>3.85559364650827</v>
      </c>
      <c r="W81" s="38">
        <v>5.65085291936644</v>
      </c>
      <c r="X81" s="38">
        <v>3.1005795161843</v>
      </c>
    </row>
    <row r="82" spans="18:24">
      <c r="R82" s="38"/>
      <c r="S82" s="39"/>
      <c r="T82" s="39"/>
      <c r="U82" s="39"/>
      <c r="V82" s="39"/>
      <c r="W82" s="38"/>
      <c r="X82" s="38"/>
    </row>
    <row r="83" spans="18:24">
      <c r="R83" s="38">
        <v>6.49451212023037</v>
      </c>
      <c r="S83" s="39">
        <v>15.5981236367135</v>
      </c>
      <c r="T83" s="39">
        <v>0.98942400935925</v>
      </c>
      <c r="U83" s="39">
        <v>0.283107748740101</v>
      </c>
      <c r="V83" s="39">
        <v>5.31878555435566</v>
      </c>
      <c r="W83" s="38">
        <v>5.62421229661627</v>
      </c>
      <c r="X83" s="38">
        <v>2.73762883012959</v>
      </c>
    </row>
    <row r="84" spans="18:24">
      <c r="R84" s="38"/>
      <c r="S84" s="39"/>
      <c r="T84" s="39"/>
      <c r="U84" s="39"/>
      <c r="V84" s="39"/>
      <c r="W84" s="38"/>
      <c r="X84" s="38"/>
    </row>
    <row r="85" spans="18:24">
      <c r="R85" s="38">
        <v>6.53282399208064</v>
      </c>
      <c r="S85" s="39">
        <v>13.5893658560691</v>
      </c>
      <c r="T85" s="39">
        <v>0.732784316774657</v>
      </c>
      <c r="U85" s="39">
        <v>0.224409071418287</v>
      </c>
      <c r="V85" s="39">
        <v>6.91987435205185</v>
      </c>
      <c r="W85" s="38">
        <v>5.7264189272858</v>
      </c>
      <c r="X85" s="38">
        <v>3.0201664262167</v>
      </c>
    </row>
    <row r="86" spans="18:24">
      <c r="R86" s="38"/>
      <c r="S86" s="39"/>
      <c r="T86" s="39"/>
      <c r="U86" s="39"/>
      <c r="V86" s="39"/>
      <c r="W86" s="38"/>
      <c r="X86" s="38"/>
    </row>
    <row r="87" spans="18:24">
      <c r="R87" s="38">
        <v>4.47860497480204</v>
      </c>
      <c r="S87" s="39">
        <v>13.6242838397768</v>
      </c>
      <c r="T87" s="39">
        <v>0.566754998920086</v>
      </c>
      <c r="U87" s="39">
        <v>0.277930136357091</v>
      </c>
      <c r="V87" s="39">
        <v>3.97669345212384</v>
      </c>
      <c r="W87" s="38">
        <v>4.72844469042477</v>
      </c>
      <c r="X87" s="38">
        <v>2.1572082074514</v>
      </c>
    </row>
    <row r="88" spans="18:24">
      <c r="R88" s="38"/>
      <c r="S88" s="39"/>
      <c r="T88" s="39"/>
      <c r="U88" s="39"/>
      <c r="V88" s="39"/>
      <c r="W88" s="38"/>
      <c r="X88" s="38"/>
    </row>
    <row r="89" spans="18:24">
      <c r="R89" s="38">
        <v>3.96078837293016</v>
      </c>
      <c r="S89" s="39">
        <v>13.3610547705904</v>
      </c>
      <c r="T89" s="39">
        <v>0.557628822174224</v>
      </c>
      <c r="U89" s="39">
        <v>0.259565860655148</v>
      </c>
      <c r="V89" s="39">
        <v>4.24127897408208</v>
      </c>
      <c r="W89" s="38">
        <v>4.77349832973363</v>
      </c>
      <c r="X89" s="38">
        <v>1.8188002613031</v>
      </c>
    </row>
    <row r="90" spans="18:24">
      <c r="R90" s="38"/>
      <c r="S90" s="39"/>
      <c r="T90" s="39"/>
      <c r="U90" s="39"/>
      <c r="V90" s="39"/>
      <c r="W90" s="38"/>
      <c r="X90" s="38"/>
    </row>
    <row r="91" spans="18:24">
      <c r="R91" s="38">
        <v>3.70962356731459</v>
      </c>
      <c r="S91" s="39">
        <v>13.2850600605112</v>
      </c>
      <c r="T91" s="39">
        <v>0.333483974910007</v>
      </c>
      <c r="U91" s="39">
        <v>0.29003599712023</v>
      </c>
      <c r="V91" s="39">
        <v>3.97603430885528</v>
      </c>
      <c r="W91" s="38">
        <v>4.82484612311016</v>
      </c>
      <c r="X91" s="38">
        <v>1.61390980327574</v>
      </c>
    </row>
    <row r="92" spans="18:24">
      <c r="R92" s="38"/>
      <c r="S92" s="39"/>
      <c r="T92" s="39"/>
      <c r="U92" s="39"/>
      <c r="V92" s="39"/>
      <c r="W92" s="38"/>
      <c r="X92" s="38"/>
    </row>
    <row r="93" spans="18:24">
      <c r="R93" s="38">
        <v>3.18110483765299</v>
      </c>
      <c r="S93" s="39">
        <v>14.1460126763859</v>
      </c>
      <c r="T93" s="39">
        <v>0.306082373110151</v>
      </c>
      <c r="U93" s="39">
        <v>0.281252699784017</v>
      </c>
      <c r="V93" s="39">
        <v>5.29517638588914</v>
      </c>
      <c r="W93" s="38">
        <v>4.84407230741542</v>
      </c>
      <c r="X93" s="38">
        <v>1.66465027348812</v>
      </c>
    </row>
    <row r="94" spans="18:24">
      <c r="R94" s="38"/>
      <c r="S94" s="39"/>
      <c r="T94" s="39"/>
      <c r="U94" s="39"/>
      <c r="V94" s="39"/>
      <c r="W94" s="38"/>
      <c r="X94" s="38"/>
    </row>
    <row r="95" spans="18:24">
      <c r="R95" s="38">
        <v>3.79637988840894</v>
      </c>
      <c r="S95" s="39">
        <v>12.4927975136789</v>
      </c>
      <c r="T95" s="39">
        <v>0.278224493304536</v>
      </c>
      <c r="U95" s="39">
        <v>0.267657824262059</v>
      </c>
      <c r="V95" s="39">
        <v>3.96616270698343</v>
      </c>
      <c r="W95" s="38">
        <v>4.86334182505398</v>
      </c>
      <c r="X95" s="38">
        <v>1.46814604510439</v>
      </c>
    </row>
    <row r="96" spans="18:24">
      <c r="R96" s="38"/>
      <c r="S96" s="39"/>
      <c r="T96" s="39"/>
      <c r="U96" s="39"/>
      <c r="V96" s="39"/>
      <c r="W96" s="38"/>
      <c r="X96" s="38"/>
    </row>
    <row r="97" spans="18:24">
      <c r="R97" s="38">
        <v>4.16270451403888</v>
      </c>
      <c r="S97" s="39">
        <v>11.5411751717063</v>
      </c>
      <c r="T97" s="39">
        <v>0.0454859611231102</v>
      </c>
      <c r="U97" s="39">
        <v>0.291116693556515</v>
      </c>
      <c r="V97" s="39">
        <v>4.32505399568035</v>
      </c>
      <c r="W97" s="38">
        <v>4.88967505759541</v>
      </c>
      <c r="X97" s="38">
        <v>1.47638959521598</v>
      </c>
    </row>
    <row r="98" spans="18:24">
      <c r="R98" s="38"/>
      <c r="S98" s="39"/>
      <c r="T98" s="39"/>
      <c r="U98" s="39"/>
      <c r="V98" s="39"/>
      <c r="W98" s="38"/>
      <c r="X98" s="38"/>
    </row>
    <row r="99" spans="18:24">
      <c r="R99" s="38">
        <v>9.33187418646507</v>
      </c>
      <c r="S99" s="39">
        <v>13.3662097533477</v>
      </c>
      <c r="T99" s="39">
        <v>3.67254305975522</v>
      </c>
      <c r="U99" s="39">
        <v>0.300068746976242</v>
      </c>
      <c r="V99" s="39">
        <v>4.1746959863211</v>
      </c>
      <c r="W99" s="38">
        <v>5.02384278977682</v>
      </c>
      <c r="X99" s="38">
        <v>1.09551404273578</v>
      </c>
    </row>
    <row r="100" spans="18:24">
      <c r="R100" s="38"/>
      <c r="S100" s="39"/>
      <c r="T100" s="39"/>
      <c r="U100" s="39"/>
      <c r="V100" s="39"/>
      <c r="W100" s="38"/>
      <c r="X100" s="38"/>
    </row>
    <row r="101" spans="18:24">
      <c r="R101" s="38">
        <v>14.3711193016559</v>
      </c>
      <c r="S101" s="39">
        <v>11.8245325863931</v>
      </c>
      <c r="T101" s="39">
        <v>7.10016090712743</v>
      </c>
      <c r="U101" s="39">
        <v>0.286541545032397</v>
      </c>
      <c r="V101" s="39">
        <v>8.59858069834414</v>
      </c>
      <c r="W101" s="38">
        <v>6.26744212023037</v>
      </c>
      <c r="X101" s="38">
        <v>1.33144782037437</v>
      </c>
    </row>
    <row r="102" spans="18:24">
      <c r="R102" s="38"/>
      <c r="S102" s="39"/>
      <c r="T102" s="39"/>
      <c r="U102" s="39"/>
      <c r="V102" s="39"/>
      <c r="W102" s="38"/>
      <c r="X102" s="38"/>
    </row>
    <row r="103" spans="18:24">
      <c r="R103" s="38">
        <v>18.4369574658027</v>
      </c>
      <c r="S103" s="39">
        <v>17.9654044225342</v>
      </c>
      <c r="T103" s="39">
        <v>10.1473244888409</v>
      </c>
      <c r="U103" s="39">
        <v>0.283136665586753</v>
      </c>
      <c r="V103" s="39">
        <v>9.73029187544995</v>
      </c>
      <c r="W103" s="38">
        <v>6.34381798776099</v>
      </c>
      <c r="X103" s="38">
        <v>1.42593245062275</v>
      </c>
    </row>
    <row r="104" spans="18:24">
      <c r="R104" s="38"/>
      <c r="S104" s="39"/>
      <c r="T104" s="39"/>
      <c r="U104" s="39"/>
      <c r="V104" s="39"/>
      <c r="W104" s="38"/>
      <c r="X104" s="38"/>
    </row>
    <row r="105" spans="18:24">
      <c r="R105" s="38">
        <v>22.4165007955364</v>
      </c>
      <c r="S105" s="39">
        <v>20.0747168571634</v>
      </c>
      <c r="T105" s="39">
        <v>13.1375049892009</v>
      </c>
      <c r="U105" s="39">
        <v>0.271473882829374</v>
      </c>
      <c r="V105" s="39">
        <v>9.12259878689705</v>
      </c>
      <c r="W105" s="38">
        <v>6.08507524838013</v>
      </c>
      <c r="X105" s="38">
        <v>1.1381571149388</v>
      </c>
    </row>
    <row r="106" spans="18:24">
      <c r="R106" s="38"/>
      <c r="S106" s="39"/>
      <c r="T106" s="39"/>
      <c r="U106" s="39"/>
      <c r="V106" s="39"/>
      <c r="W106" s="38"/>
      <c r="X106" s="38"/>
    </row>
    <row r="107" spans="18:24">
      <c r="R107" s="38">
        <v>24.9795656911447</v>
      </c>
      <c r="S107" s="39">
        <v>13.8804174541757</v>
      </c>
      <c r="T107" s="39">
        <v>16.4043334305256</v>
      </c>
      <c r="U107" s="39">
        <v>0.229978401727862</v>
      </c>
      <c r="V107" s="39">
        <v>8.62444740820733</v>
      </c>
      <c r="W107" s="38">
        <v>6.01938750539955</v>
      </c>
      <c r="X107" s="38">
        <v>0.834059620230382</v>
      </c>
    </row>
    <row r="108" spans="18:24">
      <c r="R108" s="38"/>
      <c r="S108" s="39"/>
      <c r="T108" s="39"/>
      <c r="U108" s="39"/>
      <c r="V108" s="39"/>
      <c r="W108" s="38"/>
      <c r="X108" s="38"/>
    </row>
    <row r="109" spans="18:24">
      <c r="R109" s="38">
        <v>29.0596872930166</v>
      </c>
      <c r="S109" s="39">
        <v>13.3981537637293</v>
      </c>
      <c r="T109" s="39">
        <v>20.158868149748</v>
      </c>
      <c r="U109" s="39">
        <v>0.22080699337653</v>
      </c>
      <c r="V109" s="39">
        <v>8.83842361051114</v>
      </c>
      <c r="W109" s="38">
        <v>5.96751819294456</v>
      </c>
      <c r="X109" s="38">
        <v>0.783481309035278</v>
      </c>
    </row>
    <row r="110" spans="18:24">
      <c r="R110" s="38"/>
      <c r="S110" s="39"/>
      <c r="T110" s="39"/>
      <c r="U110" s="39"/>
      <c r="V110" s="39"/>
      <c r="W110" s="38"/>
      <c r="X110" s="38"/>
    </row>
    <row r="111" spans="18:24">
      <c r="R111" s="38">
        <v>32.9619931389489</v>
      </c>
      <c r="S111" s="39">
        <v>12.9604788513679</v>
      </c>
      <c r="T111" s="39">
        <v>23.9209918430526</v>
      </c>
      <c r="U111" s="39">
        <v>0.208793982109431</v>
      </c>
      <c r="V111" s="39">
        <v>9.24903236861051</v>
      </c>
      <c r="W111" s="38">
        <v>5.9401244276458</v>
      </c>
      <c r="X111" s="38">
        <v>0.778741576421886</v>
      </c>
    </row>
    <row r="112" spans="18:24">
      <c r="R112" s="38"/>
      <c r="S112" s="39"/>
      <c r="T112" s="39"/>
      <c r="U112" s="39"/>
      <c r="V112" s="39"/>
      <c r="W112" s="38"/>
      <c r="X112" s="38"/>
    </row>
    <row r="113" spans="18:24">
      <c r="R113" s="38">
        <v>36.8263438084951</v>
      </c>
      <c r="S113" s="39">
        <v>12.7614418021202</v>
      </c>
      <c r="T113" s="39">
        <v>27.6670884665227</v>
      </c>
      <c r="U113" s="39">
        <v>0.19772303862491</v>
      </c>
      <c r="V113" s="39">
        <v>9.53657014038876</v>
      </c>
      <c r="W113" s="38">
        <v>5.90413438804896</v>
      </c>
      <c r="X113" s="38">
        <v>0.761985513466524</v>
      </c>
    </row>
    <row r="114" spans="18:24">
      <c r="R114" s="38"/>
      <c r="S114" s="39"/>
      <c r="T114" s="39"/>
      <c r="U114" s="39"/>
      <c r="V114" s="39"/>
      <c r="W114" s="38"/>
      <c r="X114" s="38"/>
    </row>
    <row r="115" spans="18:24">
      <c r="R115" s="38">
        <v>40.8242093952483</v>
      </c>
      <c r="S115" s="39">
        <v>12.6123477663679</v>
      </c>
      <c r="T115" s="39">
        <v>31.4091537365011</v>
      </c>
      <c r="U115" s="39">
        <v>0.191136920590353</v>
      </c>
      <c r="V115" s="39">
        <v>9.93832315334772</v>
      </c>
      <c r="W115" s="38">
        <v>5.90712625629948</v>
      </c>
      <c r="X115" s="38">
        <v>0.811281886760257</v>
      </c>
    </row>
    <row r="116" spans="18:24">
      <c r="R116" s="38"/>
      <c r="S116" s="39"/>
      <c r="T116" s="39"/>
      <c r="U116" s="39"/>
      <c r="V116" s="39"/>
      <c r="W116" s="38"/>
      <c r="X116" s="38"/>
    </row>
    <row r="117" spans="18:24">
      <c r="R117" s="38">
        <v>44.8130499640029</v>
      </c>
      <c r="S117" s="39">
        <v>12.141351671951</v>
      </c>
      <c r="T117" s="39">
        <v>35.1587776781857</v>
      </c>
      <c r="U117" s="39">
        <v>0.184470892800576</v>
      </c>
      <c r="V117" s="39">
        <v>10.4757816558675</v>
      </c>
      <c r="W117" s="38">
        <v>5.94299202303817</v>
      </c>
      <c r="X117" s="38">
        <v>0.829548976601873</v>
      </c>
    </row>
    <row r="118" spans="18:24">
      <c r="R118" s="38"/>
      <c r="S118" s="39"/>
      <c r="T118" s="39"/>
      <c r="U118" s="39"/>
      <c r="V118" s="39"/>
      <c r="W118" s="38"/>
      <c r="X118" s="38"/>
    </row>
    <row r="119" spans="18:24">
      <c r="R119" s="38">
        <v>49.5830069474442</v>
      </c>
      <c r="S119" s="39">
        <v>13.1562429538157</v>
      </c>
      <c r="T119" s="39">
        <v>38.943287688985</v>
      </c>
      <c r="U119" s="39">
        <v>0.206831013858891</v>
      </c>
      <c r="V119" s="39">
        <v>11.6430376313895</v>
      </c>
      <c r="W119" s="38">
        <v>5.98489822894169</v>
      </c>
      <c r="X119" s="38">
        <v>0.872650285817135</v>
      </c>
    </row>
    <row r="120" spans="18:24">
      <c r="R120" s="38"/>
      <c r="S120" s="39"/>
      <c r="T120" s="39"/>
      <c r="U120" s="39"/>
      <c r="V120" s="39"/>
      <c r="W120" s="38"/>
      <c r="X120" s="38"/>
    </row>
    <row r="121" spans="18:24">
      <c r="R121" s="38">
        <v>54.2210193664506</v>
      </c>
      <c r="S121" s="39">
        <v>13.3544141658423</v>
      </c>
      <c r="T121" s="39">
        <v>42.7183696184305</v>
      </c>
      <c r="U121" s="39">
        <v>0.228071112562995</v>
      </c>
      <c r="V121" s="39">
        <v>12.9560825197984</v>
      </c>
      <c r="W121" s="38">
        <v>6.1767572786177</v>
      </c>
      <c r="X121" s="38">
        <v>1.38662187760979</v>
      </c>
    </row>
    <row r="122" spans="18:24">
      <c r="R122" s="38"/>
      <c r="S122" s="39"/>
      <c r="T122" s="39"/>
      <c r="U122" s="39"/>
      <c r="V122" s="39"/>
      <c r="W122" s="38"/>
      <c r="X122" s="38"/>
    </row>
    <row r="123" spans="18:24">
      <c r="R123" s="38">
        <v>58.8573679265659</v>
      </c>
      <c r="S123" s="39">
        <v>13.6514775459395</v>
      </c>
      <c r="T123" s="39">
        <v>46.5503835853133</v>
      </c>
      <c r="U123" s="39">
        <v>0.227486358639309</v>
      </c>
      <c r="V123" s="39">
        <v>13.9270801079914</v>
      </c>
      <c r="W123" s="38">
        <v>6.23413697264218</v>
      </c>
      <c r="X123" s="38">
        <v>1.49600539164867</v>
      </c>
    </row>
    <row r="124" spans="18:24">
      <c r="R124" s="38"/>
      <c r="S124" s="39"/>
      <c r="T124" s="39"/>
      <c r="U124" s="39"/>
      <c r="V124" s="39"/>
      <c r="W124" s="38"/>
      <c r="X124" s="38"/>
    </row>
    <row r="125" spans="18:24">
      <c r="R125" s="38">
        <v>63.4869935925127</v>
      </c>
      <c r="S125" s="39">
        <v>14.6368014951764</v>
      </c>
      <c r="T125" s="39">
        <v>50.3000661627068</v>
      </c>
      <c r="U125" s="39">
        <v>0.219559334269258</v>
      </c>
      <c r="V125" s="39">
        <v>14.2407446220302</v>
      </c>
      <c r="W125" s="38">
        <v>6.01260121310296</v>
      </c>
      <c r="X125" s="38">
        <v>1.18867254741541</v>
      </c>
    </row>
    <row r="126" spans="18:24">
      <c r="R126" s="38"/>
      <c r="S126" s="39"/>
      <c r="T126" s="39"/>
      <c r="U126" s="39"/>
      <c r="V126" s="39"/>
      <c r="W126" s="38"/>
      <c r="X126" s="38"/>
    </row>
    <row r="127" spans="18:24">
      <c r="R127" s="38">
        <v>68.0622812455005</v>
      </c>
      <c r="S127" s="39">
        <v>14.6974385206695</v>
      </c>
      <c r="T127" s="39">
        <v>54.0754887329013</v>
      </c>
      <c r="U127" s="39">
        <v>0.203810299280058</v>
      </c>
      <c r="V127" s="39">
        <v>14.7462530021598</v>
      </c>
      <c r="W127" s="38">
        <v>5.98071831533477</v>
      </c>
      <c r="X127" s="38">
        <v>1.24207858279338</v>
      </c>
    </row>
    <row r="128" spans="18:24">
      <c r="R128" s="38"/>
      <c r="S128" s="39"/>
      <c r="T128" s="39"/>
      <c r="U128" s="39"/>
      <c r="V128" s="39"/>
      <c r="W128" s="38"/>
      <c r="X128" s="38"/>
    </row>
    <row r="129" spans="18:24">
      <c r="R129" s="38">
        <v>73.4038534917208</v>
      </c>
      <c r="S129" s="39">
        <v>15.1692318685385</v>
      </c>
      <c r="T129" s="39">
        <v>58.1859480921526</v>
      </c>
      <c r="U129" s="39">
        <v>0.222067629013679</v>
      </c>
      <c r="V129" s="39">
        <v>15.5703342548596</v>
      </c>
      <c r="W129" s="38">
        <v>6.12847668826494</v>
      </c>
      <c r="X129" s="38">
        <v>1.37717956900648</v>
      </c>
    </row>
    <row r="130" spans="18:24">
      <c r="R130" s="38"/>
      <c r="S130" s="39"/>
      <c r="T130" s="39"/>
      <c r="U130" s="39"/>
      <c r="V130" s="39"/>
      <c r="W130" s="38"/>
      <c r="X130" s="38"/>
    </row>
    <row r="131" spans="18:24">
      <c r="R131" s="38">
        <v>78.860638696904</v>
      </c>
      <c r="S131" s="39">
        <v>16.2548529903528</v>
      </c>
      <c r="T131" s="39">
        <v>62.3108603671704</v>
      </c>
      <c r="U131" s="39">
        <v>0.240727630165587</v>
      </c>
      <c r="V131" s="39">
        <v>16.3653886393089</v>
      </c>
      <c r="W131" s="38">
        <v>6.18154435925127</v>
      </c>
      <c r="X131" s="38">
        <v>1.48816349460043</v>
      </c>
    </row>
    <row r="132" spans="18:24">
      <c r="R132" s="38"/>
      <c r="S132" s="39"/>
      <c r="T132" s="39"/>
      <c r="U132" s="39"/>
      <c r="V132" s="39"/>
      <c r="W132" s="38"/>
      <c r="X132" s="38"/>
    </row>
    <row r="133" spans="18:24">
      <c r="R133" s="38">
        <v>84.417670086393</v>
      </c>
      <c r="S133" s="39">
        <v>17.4450108325054</v>
      </c>
      <c r="T133" s="39">
        <v>66.4234156587473</v>
      </c>
      <c r="U133" s="39">
        <v>0.246945681029518</v>
      </c>
      <c r="V133" s="39">
        <v>17.187451400288</v>
      </c>
      <c r="W133" s="38">
        <v>6.24988329013678</v>
      </c>
      <c r="X133" s="38">
        <v>1.55264182579914</v>
      </c>
    </row>
    <row r="134" spans="18:24">
      <c r="R134" s="38"/>
      <c r="S134" s="39"/>
      <c r="T134" s="39"/>
      <c r="U134" s="39"/>
      <c r="V134" s="39"/>
      <c r="W134" s="38"/>
      <c r="X134" s="38"/>
    </row>
    <row r="135" spans="18:24">
      <c r="R135" s="38">
        <v>89.8903617710585</v>
      </c>
      <c r="S135" s="39">
        <v>19.1518170306695</v>
      </c>
      <c r="T135" s="39">
        <v>70.5453323254141</v>
      </c>
      <c r="U135" s="39">
        <v>0.259961433117351</v>
      </c>
      <c r="V135" s="39">
        <v>17.8772401223902</v>
      </c>
      <c r="W135" s="38">
        <v>6.28224671706264</v>
      </c>
      <c r="X135" s="38">
        <v>1.58262526343772</v>
      </c>
    </row>
    <row r="136" spans="18:24">
      <c r="R136" s="38"/>
      <c r="S136" s="39"/>
      <c r="T136" s="39"/>
      <c r="U136" s="39"/>
      <c r="V136" s="39"/>
      <c r="W136" s="38"/>
      <c r="X136" s="38"/>
    </row>
    <row r="137" spans="18:24">
      <c r="R137" s="38">
        <v>95.3633478401727</v>
      </c>
      <c r="S137" s="39">
        <v>21.2073111889849</v>
      </c>
      <c r="T137" s="39">
        <v>74.6630121670265</v>
      </c>
      <c r="U137" s="39">
        <v>0.268211439596832</v>
      </c>
      <c r="V137" s="39">
        <v>18.4577401295896</v>
      </c>
      <c r="W137" s="38">
        <v>6.31310456083513</v>
      </c>
      <c r="X137" s="38">
        <v>1.60806765644348</v>
      </c>
    </row>
    <row r="138" spans="18:24">
      <c r="R138" s="38"/>
      <c r="S138" s="39"/>
      <c r="T138" s="39"/>
      <c r="U138" s="39"/>
      <c r="V138" s="39"/>
      <c r="W138" s="38"/>
      <c r="X138" s="38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42</v>
      </c>
      <c r="K10" s="8" t="s">
        <v>13</v>
      </c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 t="s">
        <v>116</v>
      </c>
      <c r="B11" s="8"/>
      <c r="C11" s="23" t="s">
        <v>117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0.00013349</v>
      </c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0.00026698</v>
      </c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0.05352949</v>
      </c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0.38111395</v>
      </c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0.89384904</v>
      </c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</v>
      </c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3.02248058</v>
      </c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</v>
      </c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</v>
      </c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19.0476881</v>
      </c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</v>
      </c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39.40571404</v>
      </c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49.10015831</v>
      </c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</v>
      </c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</v>
      </c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</v>
      </c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132.42234698</v>
      </c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</v>
      </c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</v>
      </c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3:31">
      <c r="C39" s="1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3:31">
      <c r="C40" s="1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3:31">
      <c r="C41" s="1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spans="3:31">
      <c r="C42" s="23"/>
      <c r="H42" s="8"/>
      <c r="I42" s="8"/>
      <c r="J42" s="8"/>
      <c r="K42" s="8"/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/>
      <c r="I43" s="8"/>
      <c r="J43" s="8"/>
      <c r="K43" s="8"/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/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 t="s">
        <v>2</v>
      </c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spans="1:31">
      <c r="A42" s="8" t="s">
        <v>121</v>
      </c>
      <c r="C42" s="23" t="s">
        <v>122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</v>
      </c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</v>
      </c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</v>
      </c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841.21473394</v>
      </c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743.6687853</v>
      </c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</v>
      </c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632.84044817</v>
      </c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</v>
      </c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283.33426037</v>
      </c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205.77603641</v>
      </c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</v>
      </c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134.61425278</v>
      </c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54.36767371</v>
      </c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</v>
      </c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</v>
      </c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0.01615229</v>
      </c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0.01107967</v>
      </c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123</v>
      </c>
      <c r="C42" s="28" t="s">
        <v>124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0.00013349</v>
      </c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</v>
      </c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68.30976978</v>
      </c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</v>
      </c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</v>
      </c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150.74691975</v>
      </c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213.50617533</v>
      </c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331.98362295</v>
      </c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360.94134167</v>
      </c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390.49629465</v>
      </c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414.91001377</v>
      </c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</v>
      </c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481.38029135</v>
      </c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498.86761484</v>
      </c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</v>
      </c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</v>
      </c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537.14760771</v>
      </c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554.81207243</v>
      </c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564.99455614</v>
      </c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</v>
      </c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</v>
      </c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125</v>
      </c>
      <c r="C42" s="25" t="s">
        <v>126</v>
      </c>
      <c r="H42" s="8">
        <v>2020</v>
      </c>
      <c r="I42" s="8"/>
      <c r="J42" s="8">
        <v>1</v>
      </c>
      <c r="K42" s="8">
        <v>0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topLeftCell="I1" workbookViewId="0">
      <selection activeCell="Q19" sqref="Q19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127</v>
      </c>
    </row>
    <row r="5" spans="9:22">
      <c r="I5" s="1"/>
      <c r="J5" s="1"/>
      <c r="K5" s="1"/>
      <c r="L5" s="1"/>
      <c r="M5" s="2" t="s">
        <v>60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128</v>
      </c>
      <c r="L6" s="3" t="s">
        <v>129</v>
      </c>
      <c r="M6" s="3" t="s">
        <v>130</v>
      </c>
      <c r="N6" s="3" t="s">
        <v>131</v>
      </c>
      <c r="O6" s="4" t="s">
        <v>10</v>
      </c>
      <c r="P6" s="5" t="s">
        <v>76</v>
      </c>
      <c r="Q6" s="12" t="s">
        <v>82</v>
      </c>
      <c r="R6" s="12" t="s">
        <v>77</v>
      </c>
      <c r="S6" s="12" t="s">
        <v>79</v>
      </c>
      <c r="T6" s="12" t="s">
        <v>80</v>
      </c>
      <c r="U6" s="12" t="s">
        <v>78</v>
      </c>
      <c r="V6" s="12" t="s">
        <v>81</v>
      </c>
    </row>
    <row r="7" spans="9:31">
      <c r="I7" s="1" t="s">
        <v>132</v>
      </c>
      <c r="J7" s="4" t="s">
        <v>63</v>
      </c>
      <c r="K7" s="6" t="s">
        <v>133</v>
      </c>
      <c r="L7" s="1" t="s">
        <v>134</v>
      </c>
      <c r="M7" s="1" t="s">
        <v>135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9:31">
      <c r="I8" s="1" t="s">
        <v>132</v>
      </c>
      <c r="J8" s="4" t="s">
        <v>63</v>
      </c>
      <c r="K8" s="6" t="s">
        <v>136</v>
      </c>
      <c r="L8" s="1" t="s">
        <v>137</v>
      </c>
      <c r="M8" s="1" t="s">
        <v>138</v>
      </c>
      <c r="N8" s="1"/>
      <c r="O8" s="1">
        <v>2050</v>
      </c>
      <c r="P8">
        <f>Y8*24%</f>
        <v>1777.05537867379</v>
      </c>
      <c r="Q8">
        <f>Z8*24%</f>
        <v>152.198055283907</v>
      </c>
      <c r="S8">
        <f>AB8*24%</f>
        <v>56.3150064045713</v>
      </c>
      <c r="U8">
        <f>AD8*24%</f>
        <v>76.4641125332873</v>
      </c>
      <c r="Y8" s="16">
        <v>7404.3974111408</v>
      </c>
      <c r="Z8" s="17">
        <v>634.158563682946</v>
      </c>
      <c r="AA8" s="18"/>
      <c r="AB8" s="19">
        <v>234.645860019047</v>
      </c>
      <c r="AC8" s="18"/>
      <c r="AD8" s="20">
        <v>318.600468888697</v>
      </c>
      <c r="AE8" s="4"/>
    </row>
    <row r="9" spans="9:31">
      <c r="I9" s="1" t="s">
        <v>132</v>
      </c>
      <c r="J9" s="4" t="s">
        <v>63</v>
      </c>
      <c r="K9" s="1" t="s">
        <v>139</v>
      </c>
      <c r="L9" s="1"/>
      <c r="M9" s="1" t="s">
        <v>140</v>
      </c>
      <c r="N9" s="1"/>
      <c r="O9" s="1">
        <v>2050</v>
      </c>
      <c r="P9">
        <f>Y9*(1-68%)</f>
        <v>400.84844263905</v>
      </c>
      <c r="R9">
        <f>AA9*(1-68%)</f>
        <v>171.79218970245</v>
      </c>
      <c r="Y9" s="21">
        <v>1252.65138324703</v>
      </c>
      <c r="Z9" s="1"/>
      <c r="AA9" s="21">
        <v>536.850592820157</v>
      </c>
      <c r="AB9" s="1"/>
      <c r="AC9" s="1"/>
      <c r="AD9" s="1"/>
      <c r="AE9" s="1"/>
    </row>
    <row r="10" spans="9:18">
      <c r="I10" s="1" t="s">
        <v>132</v>
      </c>
      <c r="J10" s="4" t="s">
        <v>63</v>
      </c>
      <c r="K10" t="s">
        <v>141</v>
      </c>
      <c r="M10" s="1" t="s">
        <v>142</v>
      </c>
      <c r="O10" s="1">
        <v>2050</v>
      </c>
      <c r="R10">
        <v>116</v>
      </c>
    </row>
    <row r="11" spans="9:15">
      <c r="I11" s="1"/>
      <c r="J11" s="4"/>
      <c r="M11" s="1"/>
      <c r="O11" s="1"/>
    </row>
    <row r="12" spans="9:22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9:22">
      <c r="I15" s="8" t="s">
        <v>75</v>
      </c>
      <c r="J15" s="9" t="s">
        <v>9</v>
      </c>
      <c r="K15" s="8" t="s">
        <v>11</v>
      </c>
      <c r="L15" s="8" t="s">
        <v>61</v>
      </c>
      <c r="M15" s="10" t="s">
        <v>10</v>
      </c>
      <c r="N15" s="8" t="s">
        <v>5</v>
      </c>
      <c r="O15" s="10" t="s">
        <v>76</v>
      </c>
      <c r="P15" s="10" t="s">
        <v>77</v>
      </c>
      <c r="Q15" s="10" t="s">
        <v>78</v>
      </c>
      <c r="R15" s="10" t="s">
        <v>79</v>
      </c>
      <c r="S15" s="10" t="s">
        <v>80</v>
      </c>
      <c r="T15" s="10" t="s">
        <v>81</v>
      </c>
      <c r="U15" s="10" t="s">
        <v>82</v>
      </c>
      <c r="V15" s="1"/>
    </row>
    <row r="16" spans="9:21">
      <c r="I16" s="8" t="s">
        <v>83</v>
      </c>
      <c r="J16" s="11" t="s">
        <v>63</v>
      </c>
      <c r="K16" t="s">
        <v>16</v>
      </c>
      <c r="M16" s="10">
        <v>2020</v>
      </c>
      <c r="N16" s="10" t="s">
        <v>84</v>
      </c>
      <c r="O16" s="8" t="e">
        <f t="shared" ref="O16:U16" si="0">Z16/AM16</f>
        <v>#DIV/0!</v>
      </c>
      <c r="P16" s="8" t="e">
        <f t="shared" si="0"/>
        <v>#DIV/0!</v>
      </c>
      <c r="Q16" s="8" t="e">
        <f t="shared" si="0"/>
        <v>#DIV/0!</v>
      </c>
      <c r="R16" s="8" t="e">
        <f t="shared" si="0"/>
        <v>#DIV/0!</v>
      </c>
      <c r="S16" s="8" t="e">
        <f t="shared" si="0"/>
        <v>#DIV/0!</v>
      </c>
      <c r="T16" s="8" t="e">
        <f t="shared" si="0"/>
        <v>#DIV/0!</v>
      </c>
      <c r="U16" s="8" t="e">
        <f t="shared" si="0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4"/>
  <sheetViews>
    <sheetView zoomScale="70" zoomScaleNormal="70" workbookViewId="0">
      <selection activeCell="N26" sqref="N26"/>
    </sheetView>
  </sheetViews>
  <sheetFormatPr defaultColWidth="8.72727272727273" defaultRowHeight="14.5"/>
  <cols>
    <col min="1" max="1" width="65.0909090909091" style="8" customWidth="1"/>
    <col min="2" max="10" width="8.72727272727273" style="8"/>
    <col min="11" max="11" width="11.5454545454545" style="8" customWidth="1"/>
    <col min="12" max="12" width="12.8181818181818" style="8"/>
    <col min="14" max="14" width="19.5454545454545" customWidth="1"/>
    <col min="15" max="15" width="22.6363636363636" customWidth="1"/>
    <col min="16" max="16" width="12.8181818181818"/>
    <col min="17" max="17" width="18.7272727272727" customWidth="1"/>
    <col min="18" max="18" width="12.8181818181818"/>
  </cols>
  <sheetData>
    <row r="1" spans="1:2">
      <c r="A1" s="8" t="s">
        <v>19</v>
      </c>
      <c r="B1" s="8" t="s">
        <v>20</v>
      </c>
    </row>
    <row r="4" spans="2:2">
      <c r="B4" s="22" t="s">
        <v>0</v>
      </c>
    </row>
    <row r="5" spans="2:2">
      <c r="B5" s="8" t="s">
        <v>1</v>
      </c>
    </row>
    <row r="8" spans="10:10">
      <c r="J8" s="8" t="s">
        <v>2</v>
      </c>
    </row>
    <row r="9" spans="2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6"/>
      <c r="P9" s="57" t="s">
        <v>21</v>
      </c>
      <c r="Q9" s="57" t="s">
        <v>22</v>
      </c>
      <c r="R9" s="59" t="s">
        <v>23</v>
      </c>
    </row>
    <row r="10" spans="2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L10" s="8">
        <f>SUM(P10:Q10)*1000</f>
        <v>256929.91066</v>
      </c>
      <c r="N10" s="26"/>
      <c r="P10" s="10">
        <v>73.57588066</v>
      </c>
      <c r="Q10">
        <v>183.35403</v>
      </c>
      <c r="R10" s="59">
        <v>46.057254</v>
      </c>
    </row>
    <row r="11" spans="7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SUM(P11:Q11)*1000</f>
        <v>265964.90433</v>
      </c>
      <c r="N11" s="26"/>
      <c r="P11" s="8">
        <v>76.81255283</v>
      </c>
      <c r="Q11" s="26">
        <v>189.1523515</v>
      </c>
      <c r="R11" s="60">
        <v>46.98380465</v>
      </c>
    </row>
    <row r="12" spans="7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265630.08156</v>
      </c>
      <c r="N12" s="26"/>
      <c r="P12" s="8">
        <v>74.20667416</v>
      </c>
      <c r="Q12" s="26">
        <v>191.4234074</v>
      </c>
      <c r="R12" s="60">
        <v>45.93380072</v>
      </c>
    </row>
    <row r="13" spans="7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264920.80756</v>
      </c>
      <c r="N13" s="26"/>
      <c r="P13" s="8">
        <v>75.92864216</v>
      </c>
      <c r="Q13" s="26">
        <v>188.9921654</v>
      </c>
      <c r="R13" s="60">
        <v>44.90290243</v>
      </c>
    </row>
    <row r="14" spans="7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257363.18324</v>
      </c>
      <c r="N14" s="26"/>
      <c r="P14" s="8">
        <v>74.52501574</v>
      </c>
      <c r="Q14" s="26">
        <v>182.8381675</v>
      </c>
      <c r="R14" s="60">
        <v>44.0643695</v>
      </c>
    </row>
    <row r="15" spans="7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248058.11388</v>
      </c>
      <c r="N15" s="26"/>
      <c r="P15" s="8">
        <v>72.07338198</v>
      </c>
      <c r="Q15" s="26">
        <v>175.9847319</v>
      </c>
      <c r="R15" s="60">
        <v>42.33729179</v>
      </c>
    </row>
    <row r="16" spans="7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240152.42289</v>
      </c>
      <c r="N16" s="26"/>
      <c r="P16" s="8">
        <v>69.68119389</v>
      </c>
      <c r="Q16" s="26">
        <v>170.471229</v>
      </c>
      <c r="R16" s="60">
        <v>41.33597037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230000.66572</v>
      </c>
      <c r="N17" s="26"/>
      <c r="P17" s="8">
        <v>68.24044312</v>
      </c>
      <c r="Q17" s="26">
        <v>161.7602226</v>
      </c>
      <c r="R17" s="60">
        <v>40.35853982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217105.32727</v>
      </c>
      <c r="N18" s="26"/>
      <c r="P18" s="8">
        <v>65.91188097</v>
      </c>
      <c r="Q18" s="26">
        <v>151.1934463</v>
      </c>
      <c r="R18" s="60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200651.70853</v>
      </c>
      <c r="N19" s="26"/>
      <c r="P19" s="8">
        <v>61.58942183</v>
      </c>
      <c r="Q19" s="26">
        <v>139.0622867</v>
      </c>
      <c r="R19" s="60">
        <v>37.96006098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183409.39942</v>
      </c>
      <c r="N20" s="26"/>
      <c r="P20" s="8">
        <v>57.12518162</v>
      </c>
      <c r="Q20" s="26">
        <v>126.2842178</v>
      </c>
      <c r="R20" s="60">
        <v>36.64641656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170145.94456</v>
      </c>
      <c r="N21" s="26"/>
      <c r="P21" s="8">
        <v>54.97099716</v>
      </c>
      <c r="Q21" s="26">
        <v>115.1749474</v>
      </c>
      <c r="R21" s="60">
        <v>36.23486628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156569.28081</v>
      </c>
      <c r="N22" s="26"/>
      <c r="P22" s="8">
        <v>52.09756511</v>
      </c>
      <c r="Q22" s="26">
        <v>104.4717157</v>
      </c>
      <c r="R22" s="60">
        <v>35.85172749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141345.36427</v>
      </c>
      <c r="N23" s="26"/>
      <c r="P23" s="8">
        <v>48.93422411</v>
      </c>
      <c r="Q23" s="26">
        <v>92.41114016</v>
      </c>
      <c r="R23" s="60">
        <v>35.41487997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125876.84694</v>
      </c>
      <c r="N24" s="26"/>
      <c r="P24" s="8">
        <v>45.32865225</v>
      </c>
      <c r="Q24" s="26">
        <v>80.54819469</v>
      </c>
      <c r="R24" s="60">
        <v>34.85236555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114587.10221</v>
      </c>
      <c r="N25" s="26"/>
      <c r="P25" s="8">
        <v>43.76225209</v>
      </c>
      <c r="Q25" s="26">
        <v>70.82485012</v>
      </c>
      <c r="R25" s="60">
        <v>34.33035799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102823.00972</v>
      </c>
      <c r="N26" s="26"/>
      <c r="P26" s="8">
        <v>40.64819274</v>
      </c>
      <c r="Q26" s="26">
        <v>62.17481698</v>
      </c>
      <c r="R26" s="60">
        <v>33.77609707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91444.4255</v>
      </c>
      <c r="N27" s="26"/>
      <c r="P27" s="8">
        <v>37.47832104</v>
      </c>
      <c r="Q27" s="26">
        <v>53.96610446</v>
      </c>
      <c r="R27" s="60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N28" s="26"/>
      <c r="P28" s="8">
        <v>33.99894704</v>
      </c>
      <c r="Q28" s="26">
        <v>48.3400597</v>
      </c>
      <c r="R28" s="60">
        <v>32.55534973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N29" s="26"/>
      <c r="P29" s="8">
        <v>30.89853978</v>
      </c>
      <c r="Q29" s="26">
        <v>44.97556922</v>
      </c>
      <c r="R29" s="60">
        <v>31.95494453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N30" s="26"/>
      <c r="P30" s="8">
        <v>28.38328985</v>
      </c>
      <c r="Q30" s="26">
        <v>41.27973697</v>
      </c>
      <c r="R30" s="60">
        <v>31.36872435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N31" s="58">
        <f>L30</f>
        <v>0</v>
      </c>
      <c r="P31" s="8">
        <v>26.32048844</v>
      </c>
      <c r="Q31" s="26">
        <v>37.13639633</v>
      </c>
      <c r="R31" s="60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N32" s="58">
        <f t="shared" ref="N32:N40" si="1">N31</f>
        <v>0</v>
      </c>
      <c r="P32" s="8">
        <v>25.16538086</v>
      </c>
      <c r="Q32" s="26">
        <v>34.53693019</v>
      </c>
      <c r="R32" s="60">
        <v>29.99942387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N33" s="58">
        <f t="shared" si="1"/>
        <v>0</v>
      </c>
      <c r="P33" s="8">
        <v>23.99288735</v>
      </c>
      <c r="Q33" s="26">
        <v>32.13085374</v>
      </c>
      <c r="R33" s="60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N34" s="58">
        <f t="shared" si="1"/>
        <v>0</v>
      </c>
      <c r="P34" s="8">
        <v>23.11091826</v>
      </c>
      <c r="Q34" s="26">
        <v>29.9918386</v>
      </c>
      <c r="R34" s="60">
        <v>28.87253013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N35" s="58">
        <f t="shared" si="1"/>
        <v>0</v>
      </c>
      <c r="P35" s="8">
        <v>22.34053179</v>
      </c>
      <c r="Q35" s="26">
        <v>26.98649427</v>
      </c>
      <c r="R35" s="60">
        <v>28.35097291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N36" s="58">
        <f t="shared" si="1"/>
        <v>0</v>
      </c>
      <c r="P36" s="8">
        <v>21.50986558</v>
      </c>
      <c r="Q36" s="26">
        <v>23.70647213</v>
      </c>
      <c r="R36" s="60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N37" s="58">
        <f t="shared" si="1"/>
        <v>0</v>
      </c>
      <c r="P37" s="8">
        <v>20.91647133</v>
      </c>
      <c r="Q37" s="26">
        <v>21.98620828</v>
      </c>
      <c r="R37" s="60">
        <v>27.3441707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N38" s="58">
        <f t="shared" si="1"/>
        <v>0</v>
      </c>
      <c r="P38" s="8">
        <v>20.24502532</v>
      </c>
      <c r="Q38" s="26">
        <v>20.35039071</v>
      </c>
      <c r="R38" s="60">
        <v>26.89853396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N39" s="58">
        <f t="shared" si="1"/>
        <v>0</v>
      </c>
      <c r="P39" s="8">
        <v>19.81224124</v>
      </c>
      <c r="Q39" s="26">
        <v>18.85442128</v>
      </c>
      <c r="R39" s="60">
        <v>26.53697269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N40" s="58">
        <f t="shared" si="1"/>
        <v>0</v>
      </c>
      <c r="P40" s="8">
        <v>19.37596273</v>
      </c>
      <c r="Q40" s="26">
        <v>17.35522222</v>
      </c>
      <c r="R40" s="60">
        <v>26.20108575</v>
      </c>
    </row>
    <row r="44" spans="7:11">
      <c r="G44" s="51" t="s">
        <v>26</v>
      </c>
      <c r="I44" s="8">
        <v>2020</v>
      </c>
      <c r="J44" s="8" t="s">
        <v>16</v>
      </c>
      <c r="K44" s="8">
        <v>1</v>
      </c>
    </row>
    <row r="45" spans="7:11">
      <c r="G45" s="8" t="str">
        <f t="shared" ref="G45:G74" si="2">G44</f>
        <v>WASTECO2N</v>
      </c>
      <c r="I45" s="8">
        <v>2021</v>
      </c>
      <c r="J45" s="8" t="s">
        <v>16</v>
      </c>
      <c r="K45" s="8">
        <v>1</v>
      </c>
    </row>
    <row r="46" spans="7:11">
      <c r="G46" s="8" t="str">
        <f t="shared" si="2"/>
        <v>WASTECO2N</v>
      </c>
      <c r="I46" s="8">
        <v>2022</v>
      </c>
      <c r="J46" s="8" t="s">
        <v>16</v>
      </c>
      <c r="K46" s="8">
        <v>1</v>
      </c>
    </row>
    <row r="47" spans="7:11">
      <c r="G47" s="8" t="str">
        <f t="shared" si="2"/>
        <v>WASTECO2N</v>
      </c>
      <c r="I47" s="8">
        <v>2023</v>
      </c>
      <c r="J47" s="8" t="s">
        <v>16</v>
      </c>
      <c r="K47" s="8">
        <v>1</v>
      </c>
    </row>
    <row r="48" spans="7:11">
      <c r="G48" s="8" t="str">
        <f t="shared" si="2"/>
        <v>WASTECO2N</v>
      </c>
      <c r="I48" s="8">
        <v>2024</v>
      </c>
      <c r="J48" s="8" t="s">
        <v>16</v>
      </c>
      <c r="K48" s="8">
        <v>1</v>
      </c>
    </row>
    <row r="49" spans="7:11">
      <c r="G49" s="8" t="str">
        <f t="shared" si="2"/>
        <v>WASTECO2N</v>
      </c>
      <c r="I49" s="8">
        <v>2025</v>
      </c>
      <c r="J49" s="8" t="s">
        <v>16</v>
      </c>
      <c r="K49" s="8">
        <v>1</v>
      </c>
    </row>
    <row r="50" spans="7:11">
      <c r="G50" s="8" t="str">
        <f t="shared" si="2"/>
        <v>WASTECO2N</v>
      </c>
      <c r="I50" s="8">
        <v>2026</v>
      </c>
      <c r="J50" s="8" t="s">
        <v>16</v>
      </c>
      <c r="K50" s="8">
        <v>1</v>
      </c>
    </row>
    <row r="51" spans="7:11">
      <c r="G51" s="8" t="str">
        <f t="shared" si="2"/>
        <v>WASTECO2N</v>
      </c>
      <c r="I51" s="8">
        <v>2027</v>
      </c>
      <c r="J51" s="8" t="s">
        <v>16</v>
      </c>
      <c r="K51" s="8">
        <v>1</v>
      </c>
    </row>
    <row r="52" spans="7:11">
      <c r="G52" s="8" t="str">
        <f t="shared" si="2"/>
        <v>WASTECO2N</v>
      </c>
      <c r="I52" s="8">
        <v>2028</v>
      </c>
      <c r="J52" s="8" t="s">
        <v>16</v>
      </c>
      <c r="K52" s="8">
        <v>1</v>
      </c>
    </row>
    <row r="53" spans="7:11">
      <c r="G53" s="8" t="str">
        <f t="shared" si="2"/>
        <v>WASTECO2N</v>
      </c>
      <c r="I53" s="8">
        <v>2029</v>
      </c>
      <c r="J53" s="8" t="s">
        <v>16</v>
      </c>
      <c r="K53" s="8">
        <v>1</v>
      </c>
    </row>
    <row r="54" spans="7:11">
      <c r="G54" s="8" t="str">
        <f t="shared" si="2"/>
        <v>WASTECO2N</v>
      </c>
      <c r="I54" s="8">
        <v>2030</v>
      </c>
      <c r="J54" s="8" t="s">
        <v>16</v>
      </c>
      <c r="K54" s="8">
        <v>1</v>
      </c>
    </row>
    <row r="55" spans="7:11">
      <c r="G55" s="8" t="str">
        <f t="shared" si="2"/>
        <v>WASTECO2N</v>
      </c>
      <c r="I55" s="8">
        <v>2031</v>
      </c>
      <c r="J55" s="8" t="s">
        <v>16</v>
      </c>
      <c r="K55" s="8">
        <v>1</v>
      </c>
    </row>
    <row r="56" spans="7:11">
      <c r="G56" s="8" t="str">
        <f t="shared" si="2"/>
        <v>WASTECO2N</v>
      </c>
      <c r="I56" s="8">
        <v>2032</v>
      </c>
      <c r="J56" s="8" t="s">
        <v>16</v>
      </c>
      <c r="K56" s="8">
        <v>1</v>
      </c>
    </row>
    <row r="57" spans="7:11">
      <c r="G57" s="8" t="str">
        <f t="shared" si="2"/>
        <v>WASTECO2N</v>
      </c>
      <c r="I57" s="8">
        <v>2033</v>
      </c>
      <c r="J57" s="8" t="s">
        <v>16</v>
      </c>
      <c r="K57" s="8">
        <v>1</v>
      </c>
    </row>
    <row r="58" spans="7:11">
      <c r="G58" s="8" t="str">
        <f t="shared" si="2"/>
        <v>WASTECO2N</v>
      </c>
      <c r="I58" s="8">
        <v>2034</v>
      </c>
      <c r="J58" s="8" t="s">
        <v>16</v>
      </c>
      <c r="K58" s="8">
        <v>1</v>
      </c>
    </row>
    <row r="59" spans="7:11">
      <c r="G59" s="8" t="str">
        <f t="shared" si="2"/>
        <v>WASTECO2N</v>
      </c>
      <c r="I59" s="8">
        <v>2035</v>
      </c>
      <c r="J59" s="8" t="s">
        <v>16</v>
      </c>
      <c r="K59" s="8">
        <v>1</v>
      </c>
    </row>
    <row r="60" spans="7:11">
      <c r="G60" s="8" t="str">
        <f t="shared" si="2"/>
        <v>WASTECO2N</v>
      </c>
      <c r="I60" s="8">
        <v>2036</v>
      </c>
      <c r="J60" s="8" t="s">
        <v>16</v>
      </c>
      <c r="K60" s="8">
        <v>1</v>
      </c>
    </row>
    <row r="61" spans="7:11">
      <c r="G61" s="8" t="str">
        <f t="shared" si="2"/>
        <v>WASTECO2N</v>
      </c>
      <c r="I61" s="8">
        <v>2037</v>
      </c>
      <c r="J61" s="8" t="s">
        <v>16</v>
      </c>
      <c r="K61" s="8">
        <v>1</v>
      </c>
    </row>
    <row r="62" spans="7:11">
      <c r="G62" s="8" t="str">
        <f t="shared" si="2"/>
        <v>WASTECO2N</v>
      </c>
      <c r="I62" s="8">
        <v>2038</v>
      </c>
      <c r="J62" s="8" t="s">
        <v>16</v>
      </c>
      <c r="K62" s="8">
        <v>1</v>
      </c>
    </row>
    <row r="63" spans="7:11">
      <c r="G63" s="8" t="str">
        <f t="shared" si="2"/>
        <v>WASTECO2N</v>
      </c>
      <c r="I63" s="8">
        <v>2039</v>
      </c>
      <c r="J63" s="8" t="s">
        <v>16</v>
      </c>
      <c r="K63" s="8">
        <v>1</v>
      </c>
    </row>
    <row r="64" spans="7:11">
      <c r="G64" s="8" t="str">
        <f t="shared" si="2"/>
        <v>WASTECO2N</v>
      </c>
      <c r="I64" s="8">
        <v>2040</v>
      </c>
      <c r="J64" s="8" t="s">
        <v>16</v>
      </c>
      <c r="K64" s="8">
        <v>1</v>
      </c>
    </row>
    <row r="65" spans="7:11">
      <c r="G65" s="8" t="str">
        <f t="shared" si="2"/>
        <v>WASTECO2N</v>
      </c>
      <c r="I65" s="8">
        <v>2041</v>
      </c>
      <c r="J65" s="8" t="s">
        <v>16</v>
      </c>
      <c r="K65" s="8">
        <v>1</v>
      </c>
    </row>
    <row r="66" spans="7:11">
      <c r="G66" s="8" t="str">
        <f t="shared" si="2"/>
        <v>WASTECO2N</v>
      </c>
      <c r="I66" s="8">
        <v>2042</v>
      </c>
      <c r="J66" s="8" t="s">
        <v>16</v>
      </c>
      <c r="K66" s="8">
        <v>1</v>
      </c>
    </row>
    <row r="67" spans="7:11">
      <c r="G67" s="8" t="str">
        <f t="shared" si="2"/>
        <v>WASTECO2N</v>
      </c>
      <c r="I67" s="8">
        <v>2043</v>
      </c>
      <c r="J67" s="8" t="s">
        <v>16</v>
      </c>
      <c r="K67" s="8">
        <v>1</v>
      </c>
    </row>
    <row r="68" spans="7:11">
      <c r="G68" s="8" t="str">
        <f t="shared" si="2"/>
        <v>WASTECO2N</v>
      </c>
      <c r="I68" s="8">
        <v>2044</v>
      </c>
      <c r="J68" s="8" t="s">
        <v>16</v>
      </c>
      <c r="K68" s="8">
        <v>1</v>
      </c>
    </row>
    <row r="69" spans="7:11">
      <c r="G69" s="8" t="str">
        <f t="shared" si="2"/>
        <v>WASTECO2N</v>
      </c>
      <c r="I69" s="8">
        <v>2045</v>
      </c>
      <c r="J69" s="8" t="s">
        <v>16</v>
      </c>
      <c r="K69" s="8">
        <v>1</v>
      </c>
    </row>
    <row r="70" spans="7:11">
      <c r="G70" s="8" t="str">
        <f t="shared" si="2"/>
        <v>WASTECO2N</v>
      </c>
      <c r="I70" s="8">
        <v>2046</v>
      </c>
      <c r="J70" s="8" t="s">
        <v>16</v>
      </c>
      <c r="K70" s="8">
        <v>1</v>
      </c>
    </row>
    <row r="71" spans="7:11">
      <c r="G71" s="8" t="str">
        <f t="shared" si="2"/>
        <v>WASTECO2N</v>
      </c>
      <c r="I71" s="8">
        <v>2047</v>
      </c>
      <c r="J71" s="8" t="s">
        <v>16</v>
      </c>
      <c r="K71" s="8">
        <v>1</v>
      </c>
    </row>
    <row r="72" spans="7:11">
      <c r="G72" s="8" t="str">
        <f t="shared" si="2"/>
        <v>WASTECO2N</v>
      </c>
      <c r="I72" s="8">
        <v>2048</v>
      </c>
      <c r="J72" s="8" t="s">
        <v>16</v>
      </c>
      <c r="K72" s="8">
        <v>1</v>
      </c>
    </row>
    <row r="73" spans="7:11">
      <c r="G73" s="8" t="str">
        <f t="shared" si="2"/>
        <v>WASTECO2N</v>
      </c>
      <c r="I73" s="8">
        <v>2049</v>
      </c>
      <c r="J73" s="8" t="s">
        <v>16</v>
      </c>
      <c r="K73" s="8">
        <v>1</v>
      </c>
    </row>
    <row r="74" spans="7:11">
      <c r="G74" s="8" t="str">
        <f t="shared" si="2"/>
        <v>WASTECO2N</v>
      </c>
      <c r="I74" s="8">
        <v>2050</v>
      </c>
      <c r="J74" s="8" t="s">
        <v>16</v>
      </c>
      <c r="K74" s="8">
        <v>1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26" sqref="M2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 t="s">
        <v>27</v>
      </c>
    </row>
    <row r="11" spans="2:14">
      <c r="B11" s="8" t="s">
        <v>28</v>
      </c>
      <c r="G11" t="s">
        <v>29</v>
      </c>
      <c r="I11" s="8">
        <v>2020</v>
      </c>
      <c r="J11" s="8" t="s">
        <v>16</v>
      </c>
      <c r="K11" s="8">
        <v>1</v>
      </c>
      <c r="L11" s="8">
        <f t="shared" ref="L11:L23" si="0">N11*1000</f>
        <v>0</v>
      </c>
      <c r="N11">
        <v>0</v>
      </c>
    </row>
    <row r="12" spans="7:15">
      <c r="G12" t="s">
        <v>29</v>
      </c>
      <c r="I12" s="8">
        <v>2021</v>
      </c>
      <c r="J12" s="8" t="s">
        <v>16</v>
      </c>
      <c r="K12" s="8">
        <v>1</v>
      </c>
      <c r="L12" s="8">
        <f t="shared" si="0"/>
        <v>0</v>
      </c>
      <c r="N12" s="26">
        <v>0</v>
      </c>
      <c r="O12" s="8"/>
    </row>
    <row r="13" spans="7:15">
      <c r="G13" t="s">
        <v>29</v>
      </c>
      <c r="I13" s="8">
        <v>2022</v>
      </c>
      <c r="J13" s="8" t="s">
        <v>16</v>
      </c>
      <c r="K13" s="8">
        <v>1</v>
      </c>
      <c r="L13" s="8">
        <f t="shared" si="0"/>
        <v>1.131733</v>
      </c>
      <c r="N13" s="26">
        <v>0.001131733</v>
      </c>
      <c r="O13" s="8"/>
    </row>
    <row r="14" spans="7:15">
      <c r="G14" t="s">
        <v>29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6">
        <v>0.000310608</v>
      </c>
      <c r="O14" s="8"/>
    </row>
    <row r="15" spans="7:15">
      <c r="G15" t="s">
        <v>29</v>
      </c>
      <c r="I15" s="8">
        <v>2024</v>
      </c>
      <c r="J15" s="8" t="s">
        <v>16</v>
      </c>
      <c r="K15" s="8">
        <v>1</v>
      </c>
      <c r="L15" s="8">
        <f t="shared" si="0"/>
        <v>67.3109</v>
      </c>
      <c r="N15" s="26">
        <v>0.0673109</v>
      </c>
      <c r="O15" s="8"/>
    </row>
    <row r="16" spans="7:15">
      <c r="G16" t="s">
        <v>29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6">
        <v>0.164262</v>
      </c>
      <c r="O16" s="8"/>
    </row>
    <row r="17" spans="7:15">
      <c r="G17" t="s">
        <v>29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6">
        <v>0.244863</v>
      </c>
      <c r="O17" s="8"/>
    </row>
    <row r="18" spans="7:15">
      <c r="G18" t="s">
        <v>29</v>
      </c>
      <c r="I18" s="8">
        <v>2027</v>
      </c>
      <c r="J18" s="8" t="s">
        <v>16</v>
      </c>
      <c r="K18" s="8">
        <v>1</v>
      </c>
      <c r="L18" s="8">
        <f t="shared" si="0"/>
        <v>303.812</v>
      </c>
      <c r="N18" s="26">
        <v>0.303812</v>
      </c>
      <c r="O18" s="8"/>
    </row>
    <row r="19" spans="7:15">
      <c r="G19" t="s">
        <v>29</v>
      </c>
      <c r="I19" s="8">
        <v>2028</v>
      </c>
      <c r="J19" s="8" t="s">
        <v>16</v>
      </c>
      <c r="K19" s="8">
        <v>1</v>
      </c>
      <c r="L19" s="8">
        <f t="shared" si="0"/>
        <v>344.792</v>
      </c>
      <c r="N19" s="26">
        <v>0.344792</v>
      </c>
      <c r="O19" s="8"/>
    </row>
    <row r="20" spans="7:15">
      <c r="G20" t="s">
        <v>29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6">
        <v>0.414536</v>
      </c>
      <c r="O20" s="8"/>
    </row>
    <row r="21" spans="7:15">
      <c r="G21" t="s">
        <v>29</v>
      </c>
      <c r="I21" s="8">
        <v>2030</v>
      </c>
      <c r="J21" s="8" t="s">
        <v>16</v>
      </c>
      <c r="K21" s="8">
        <v>1</v>
      </c>
      <c r="L21" s="8">
        <f t="shared" si="0"/>
        <v>529.492</v>
      </c>
      <c r="N21" s="26">
        <v>0.529492</v>
      </c>
      <c r="O21" s="8"/>
    </row>
    <row r="22" spans="7:15">
      <c r="G22" t="s">
        <v>29</v>
      </c>
      <c r="I22" s="8">
        <v>2031</v>
      </c>
      <c r="J22" s="8" t="s">
        <v>16</v>
      </c>
      <c r="K22" s="8">
        <v>1</v>
      </c>
      <c r="L22" s="8">
        <f t="shared" si="0"/>
        <v>426.109</v>
      </c>
      <c r="N22" s="26">
        <v>0.426109</v>
      </c>
      <c r="O22" s="8"/>
    </row>
    <row r="23" spans="7:15">
      <c r="G23" t="s">
        <v>29</v>
      </c>
      <c r="I23" s="8">
        <v>2032</v>
      </c>
      <c r="J23" s="8" t="s">
        <v>16</v>
      </c>
      <c r="K23" s="8">
        <v>1</v>
      </c>
      <c r="L23" s="8">
        <f t="shared" si="0"/>
        <v>200.5528</v>
      </c>
      <c r="N23" s="26">
        <v>0.2005528</v>
      </c>
      <c r="O23" s="8"/>
    </row>
    <row r="24" spans="7:15">
      <c r="G24" t="s">
        <v>29</v>
      </c>
      <c r="I24" s="8">
        <v>2033</v>
      </c>
      <c r="J24" s="8" t="s">
        <v>16</v>
      </c>
      <c r="K24" s="8">
        <v>1</v>
      </c>
      <c r="L24" s="8">
        <v>0</v>
      </c>
      <c r="N24" s="26">
        <v>0</v>
      </c>
      <c r="O24" s="8">
        <v>-0.012553</v>
      </c>
    </row>
    <row r="25" spans="7:15">
      <c r="G25" t="s">
        <v>29</v>
      </c>
      <c r="I25" s="8">
        <v>2034</v>
      </c>
      <c r="J25" s="8" t="s">
        <v>16</v>
      </c>
      <c r="K25" s="8">
        <v>1</v>
      </c>
      <c r="L25" s="8">
        <f t="shared" ref="L25:L41" si="1">L24</f>
        <v>0</v>
      </c>
      <c r="N25" s="26">
        <v>0</v>
      </c>
      <c r="O25" s="8">
        <v>-0.29885</v>
      </c>
    </row>
    <row r="26" spans="7:15">
      <c r="G26" t="s">
        <v>29</v>
      </c>
      <c r="I26" s="8">
        <v>2035</v>
      </c>
      <c r="J26" s="8" t="s">
        <v>16</v>
      </c>
      <c r="K26" s="8">
        <v>1</v>
      </c>
      <c r="L26" s="8">
        <f t="shared" si="1"/>
        <v>0</v>
      </c>
      <c r="N26" s="26">
        <v>0</v>
      </c>
      <c r="O26" s="8">
        <v>-1.0398952</v>
      </c>
    </row>
    <row r="27" spans="7:15">
      <c r="G27" t="s">
        <v>29</v>
      </c>
      <c r="I27" s="8">
        <v>2036</v>
      </c>
      <c r="J27" s="8" t="s">
        <v>16</v>
      </c>
      <c r="K27" s="8">
        <v>1</v>
      </c>
      <c r="L27" s="8">
        <f t="shared" si="1"/>
        <v>0</v>
      </c>
      <c r="N27" s="26">
        <v>0</v>
      </c>
      <c r="O27" s="8">
        <v>-2.128702</v>
      </c>
    </row>
    <row r="28" spans="7:15">
      <c r="G28" t="s">
        <v>29</v>
      </c>
      <c r="I28" s="8">
        <v>2037</v>
      </c>
      <c r="J28" s="8" t="s">
        <v>16</v>
      </c>
      <c r="K28" s="8">
        <v>1</v>
      </c>
      <c r="L28" s="8">
        <f t="shared" si="1"/>
        <v>0</v>
      </c>
      <c r="N28" s="26">
        <v>0</v>
      </c>
      <c r="O28" s="8">
        <v>-3.0827072</v>
      </c>
    </row>
    <row r="29" spans="7:15">
      <c r="G29" t="s">
        <v>29</v>
      </c>
      <c r="I29" s="8">
        <v>2038</v>
      </c>
      <c r="J29" s="8" t="s">
        <v>16</v>
      </c>
      <c r="K29" s="8">
        <v>1</v>
      </c>
      <c r="L29" s="8">
        <f t="shared" si="1"/>
        <v>0</v>
      </c>
      <c r="N29" s="26">
        <v>0</v>
      </c>
      <c r="O29" s="8">
        <v>-4.1835428</v>
      </c>
    </row>
    <row r="30" spans="7:15">
      <c r="G30" t="s">
        <v>29</v>
      </c>
      <c r="I30" s="8">
        <v>2039</v>
      </c>
      <c r="J30" s="8" t="s">
        <v>16</v>
      </c>
      <c r="K30" s="8">
        <v>1</v>
      </c>
      <c r="L30" s="8">
        <f t="shared" si="1"/>
        <v>0</v>
      </c>
      <c r="N30" s="26">
        <v>0</v>
      </c>
      <c r="O30" s="8">
        <v>-5.394762</v>
      </c>
    </row>
    <row r="31" spans="7:15">
      <c r="G31" t="s">
        <v>29</v>
      </c>
      <c r="I31" s="8">
        <v>2040</v>
      </c>
      <c r="J31" s="8" t="s">
        <v>16</v>
      </c>
      <c r="K31" s="8">
        <v>1</v>
      </c>
      <c r="L31" s="8">
        <f t="shared" si="1"/>
        <v>0</v>
      </c>
      <c r="N31" s="26">
        <v>0</v>
      </c>
      <c r="O31" s="8">
        <v>-6.7094956</v>
      </c>
    </row>
    <row r="32" spans="7:15">
      <c r="G32" t="s">
        <v>29</v>
      </c>
      <c r="I32" s="8">
        <v>2041</v>
      </c>
      <c r="J32" s="8" t="s">
        <v>16</v>
      </c>
      <c r="K32" s="8">
        <v>1</v>
      </c>
      <c r="L32" s="8">
        <f t="shared" si="1"/>
        <v>0</v>
      </c>
      <c r="N32" s="26">
        <v>0</v>
      </c>
      <c r="O32" s="8">
        <v>-8.266304</v>
      </c>
    </row>
    <row r="33" spans="7:15">
      <c r="G33" t="s">
        <v>29</v>
      </c>
      <c r="I33" s="8">
        <v>2042</v>
      </c>
      <c r="J33" s="8" t="s">
        <v>16</v>
      </c>
      <c r="K33" s="8">
        <v>1</v>
      </c>
      <c r="L33" s="8">
        <f t="shared" si="1"/>
        <v>0</v>
      </c>
      <c r="N33" s="26">
        <v>0</v>
      </c>
      <c r="O33" s="8">
        <v>-9.9409172</v>
      </c>
    </row>
    <row r="34" spans="7:15">
      <c r="G34" t="s">
        <v>29</v>
      </c>
      <c r="I34" s="8">
        <v>2043</v>
      </c>
      <c r="J34" s="8" t="s">
        <v>16</v>
      </c>
      <c r="K34" s="8">
        <v>1</v>
      </c>
      <c r="L34" s="8">
        <f t="shared" si="1"/>
        <v>0</v>
      </c>
      <c r="N34" s="26">
        <v>0</v>
      </c>
      <c r="O34" s="8">
        <v>-11.042158</v>
      </c>
    </row>
    <row r="35" spans="7:15">
      <c r="G35" t="s">
        <v>29</v>
      </c>
      <c r="I35" s="8">
        <v>2044</v>
      </c>
      <c r="J35" s="8" t="s">
        <v>16</v>
      </c>
      <c r="K35" s="8">
        <v>1</v>
      </c>
      <c r="L35" s="8">
        <f t="shared" si="1"/>
        <v>0</v>
      </c>
      <c r="N35" s="26">
        <v>0</v>
      </c>
      <c r="O35" s="8">
        <v>-12.1220788</v>
      </c>
    </row>
    <row r="36" spans="7:15">
      <c r="G36" t="s">
        <v>29</v>
      </c>
      <c r="I36" s="8">
        <v>2045</v>
      </c>
      <c r="J36" s="8" t="s">
        <v>16</v>
      </c>
      <c r="K36" s="8">
        <v>1</v>
      </c>
      <c r="L36" s="8">
        <f t="shared" si="1"/>
        <v>0</v>
      </c>
      <c r="N36" s="26">
        <v>0</v>
      </c>
      <c r="O36" s="8">
        <v>-13.1658332</v>
      </c>
    </row>
    <row r="37" spans="7:15">
      <c r="G37" t="s">
        <v>29</v>
      </c>
      <c r="I37" s="8">
        <v>2046</v>
      </c>
      <c r="J37" s="8" t="s">
        <v>16</v>
      </c>
      <c r="K37" s="8">
        <v>1</v>
      </c>
      <c r="L37" s="8">
        <f t="shared" si="1"/>
        <v>0</v>
      </c>
      <c r="N37" s="26">
        <v>0</v>
      </c>
      <c r="O37" s="8">
        <v>-14.5867332</v>
      </c>
    </row>
    <row r="38" spans="7:15">
      <c r="G38" t="s">
        <v>29</v>
      </c>
      <c r="I38" s="8">
        <v>2047</v>
      </c>
      <c r="J38" s="8" t="s">
        <v>16</v>
      </c>
      <c r="K38" s="8">
        <v>1</v>
      </c>
      <c r="L38" s="8">
        <f t="shared" si="1"/>
        <v>0</v>
      </c>
      <c r="N38" s="26">
        <v>0</v>
      </c>
      <c r="O38" s="8">
        <v>-16.07081472</v>
      </c>
    </row>
    <row r="39" spans="7:15">
      <c r="G39" t="s">
        <v>29</v>
      </c>
      <c r="I39" s="8">
        <v>2048</v>
      </c>
      <c r="J39" s="8" t="s">
        <v>16</v>
      </c>
      <c r="K39" s="8">
        <v>1</v>
      </c>
      <c r="L39" s="8">
        <f t="shared" si="1"/>
        <v>0</v>
      </c>
      <c r="N39" s="26">
        <v>0</v>
      </c>
      <c r="O39" s="8">
        <v>-17.60142056</v>
      </c>
    </row>
    <row r="40" spans="7:15">
      <c r="G40" t="s">
        <v>29</v>
      </c>
      <c r="I40" s="8">
        <v>2049</v>
      </c>
      <c r="J40" s="8" t="s">
        <v>16</v>
      </c>
      <c r="K40" s="8">
        <v>1</v>
      </c>
      <c r="L40" s="8">
        <f t="shared" si="1"/>
        <v>0</v>
      </c>
      <c r="N40" s="26">
        <v>0</v>
      </c>
      <c r="O40" s="8">
        <v>-19.19615312</v>
      </c>
    </row>
    <row r="41" spans="7:15">
      <c r="G41" t="s">
        <v>29</v>
      </c>
      <c r="I41" s="8">
        <v>2050</v>
      </c>
      <c r="J41" s="8" t="s">
        <v>16</v>
      </c>
      <c r="K41" s="8">
        <v>1</v>
      </c>
      <c r="L41" s="8">
        <f t="shared" si="1"/>
        <v>0</v>
      </c>
      <c r="N41" s="26">
        <v>0</v>
      </c>
      <c r="O41" s="8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6" width="8.72727272727273" style="8"/>
    <col min="7" max="7" width="13.5454545454545" style="8" customWidth="1"/>
    <col min="8" max="10" width="8.72727272727273" style="8"/>
    <col min="11" max="11" width="11.5454545454545" style="8" customWidth="1"/>
    <col min="12" max="12" width="12.8181818181818" style="8"/>
    <col min="13" max="13" width="10.5454545454545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30</v>
      </c>
      <c r="G11" t="s">
        <v>31</v>
      </c>
      <c r="I11" s="8">
        <v>2020</v>
      </c>
      <c r="J11" s="8" t="s">
        <v>16</v>
      </c>
      <c r="K11" s="8">
        <v>1</v>
      </c>
      <c r="N11">
        <v>69.778457</v>
      </c>
    </row>
    <row r="12" spans="7:14">
      <c r="G12" t="s">
        <v>31</v>
      </c>
      <c r="I12" s="8">
        <v>2021</v>
      </c>
      <c r="J12" s="8" t="s">
        <v>16</v>
      </c>
      <c r="K12" s="8">
        <v>1</v>
      </c>
      <c r="L12" s="8">
        <f t="shared" ref="L12:L41" si="0">N12*1000</f>
        <v>68516.82202</v>
      </c>
      <c r="N12" s="26">
        <v>68.51682202</v>
      </c>
    </row>
    <row r="13" spans="7:14">
      <c r="G13" t="s">
        <v>31</v>
      </c>
      <c r="I13" s="8">
        <v>2022</v>
      </c>
      <c r="J13" s="8" t="s">
        <v>16</v>
      </c>
      <c r="K13" s="8">
        <v>1</v>
      </c>
      <c r="L13" s="8">
        <f t="shared" si="0"/>
        <v>70791.52977</v>
      </c>
      <c r="N13" s="26">
        <v>70.79152977</v>
      </c>
    </row>
    <row r="14" spans="7:14">
      <c r="G14" t="s">
        <v>31</v>
      </c>
      <c r="I14" s="8">
        <v>2023</v>
      </c>
      <c r="J14" s="8" t="s">
        <v>16</v>
      </c>
      <c r="K14" s="8">
        <v>1</v>
      </c>
      <c r="L14" s="8">
        <f t="shared" si="0"/>
        <v>71019.13531</v>
      </c>
      <c r="N14" s="26">
        <v>71.01913531</v>
      </c>
    </row>
    <row r="15" spans="7:14">
      <c r="G15" t="s">
        <v>31</v>
      </c>
      <c r="I15" s="8">
        <v>2024</v>
      </c>
      <c r="J15" s="8" t="s">
        <v>16</v>
      </c>
      <c r="K15" s="8">
        <v>1</v>
      </c>
      <c r="L15" s="8">
        <f t="shared" si="0"/>
        <v>69476.96359</v>
      </c>
      <c r="N15" s="26">
        <v>69.47696359</v>
      </c>
    </row>
    <row r="16" spans="7:14">
      <c r="G16" t="s">
        <v>31</v>
      </c>
      <c r="I16" s="8">
        <v>2025</v>
      </c>
      <c r="J16" s="8" t="s">
        <v>16</v>
      </c>
      <c r="K16" s="8">
        <v>1</v>
      </c>
      <c r="L16" s="8">
        <f t="shared" si="0"/>
        <v>68456.15105</v>
      </c>
      <c r="N16" s="26">
        <v>68.45615105</v>
      </c>
    </row>
    <row r="17" spans="7:14">
      <c r="G17" t="s">
        <v>31</v>
      </c>
      <c r="I17" s="8">
        <v>2026</v>
      </c>
      <c r="J17" s="8" t="s">
        <v>16</v>
      </c>
      <c r="K17" s="8">
        <v>1</v>
      </c>
      <c r="L17" s="8">
        <f t="shared" si="0"/>
        <v>68120.26137</v>
      </c>
      <c r="N17" s="26">
        <v>68.12026137</v>
      </c>
    </row>
    <row r="18" spans="7:14">
      <c r="G18" t="s">
        <v>31</v>
      </c>
      <c r="I18" s="8">
        <v>2027</v>
      </c>
      <c r="J18" s="8" t="s">
        <v>16</v>
      </c>
      <c r="K18" s="8">
        <v>1</v>
      </c>
      <c r="L18" s="8">
        <f t="shared" si="0"/>
        <v>67666.10413</v>
      </c>
      <c r="N18" s="26">
        <v>67.66610413</v>
      </c>
    </row>
    <row r="19" spans="7:14">
      <c r="G19" t="s">
        <v>31</v>
      </c>
      <c r="I19" s="8">
        <v>2028</v>
      </c>
      <c r="J19" s="8" t="s">
        <v>16</v>
      </c>
      <c r="K19" s="8">
        <v>1</v>
      </c>
      <c r="L19" s="8">
        <f t="shared" si="0"/>
        <v>67427.63968</v>
      </c>
      <c r="N19" s="26">
        <v>67.42763968</v>
      </c>
    </row>
    <row r="20" spans="7:14">
      <c r="G20" t="s">
        <v>31</v>
      </c>
      <c r="I20" s="8">
        <v>2029</v>
      </c>
      <c r="J20" s="8" t="s">
        <v>16</v>
      </c>
      <c r="K20" s="8">
        <v>1</v>
      </c>
      <c r="L20" s="8">
        <f t="shared" si="0"/>
        <v>67270.27715</v>
      </c>
      <c r="N20" s="26">
        <v>67.27027715</v>
      </c>
    </row>
    <row r="21" spans="7:14">
      <c r="G21" t="s">
        <v>31</v>
      </c>
      <c r="I21" s="8">
        <v>2030</v>
      </c>
      <c r="J21" s="8" t="s">
        <v>16</v>
      </c>
      <c r="K21" s="8">
        <v>1</v>
      </c>
      <c r="L21" s="8">
        <f t="shared" si="0"/>
        <v>66990.64801</v>
      </c>
      <c r="N21" s="26">
        <v>66.99064801</v>
      </c>
    </row>
    <row r="22" spans="7:14">
      <c r="G22" t="s">
        <v>31</v>
      </c>
      <c r="I22" s="8">
        <v>2031</v>
      </c>
      <c r="J22" s="8" t="s">
        <v>16</v>
      </c>
      <c r="K22" s="8">
        <v>1</v>
      </c>
      <c r="L22" s="8">
        <f t="shared" si="0"/>
        <v>66768.00235</v>
      </c>
      <c r="N22" s="26">
        <v>66.76800235</v>
      </c>
    </row>
    <row r="23" spans="7:14">
      <c r="G23" t="s">
        <v>31</v>
      </c>
      <c r="I23" s="8">
        <v>2032</v>
      </c>
      <c r="J23" s="8" t="s">
        <v>16</v>
      </c>
      <c r="K23" s="8">
        <v>1</v>
      </c>
      <c r="L23" s="8">
        <f t="shared" si="0"/>
        <v>66434.18657</v>
      </c>
      <c r="N23" s="26">
        <v>66.43418657</v>
      </c>
    </row>
    <row r="24" spans="7:14">
      <c r="G24" t="s">
        <v>31</v>
      </c>
      <c r="I24" s="8">
        <v>2033</v>
      </c>
      <c r="J24" s="8" t="s">
        <v>16</v>
      </c>
      <c r="K24" s="8">
        <v>1</v>
      </c>
      <c r="L24" s="8">
        <f t="shared" si="0"/>
        <v>65956.03029</v>
      </c>
      <c r="N24" s="26">
        <v>65.95603029</v>
      </c>
    </row>
    <row r="25" spans="7:14">
      <c r="G25" t="s">
        <v>31</v>
      </c>
      <c r="I25" s="8">
        <v>2034</v>
      </c>
      <c r="J25" s="8" t="s">
        <v>16</v>
      </c>
      <c r="K25" s="8">
        <v>1</v>
      </c>
      <c r="L25" s="8">
        <f t="shared" si="0"/>
        <v>65253.56464</v>
      </c>
      <c r="N25" s="26">
        <v>65.25356464</v>
      </c>
    </row>
    <row r="26" spans="7:14">
      <c r="G26" t="s">
        <v>31</v>
      </c>
      <c r="I26" s="8">
        <v>2035</v>
      </c>
      <c r="J26" s="8" t="s">
        <v>16</v>
      </c>
      <c r="K26" s="8">
        <v>1</v>
      </c>
      <c r="L26" s="8">
        <f t="shared" si="0"/>
        <v>64364.44642</v>
      </c>
      <c r="N26" s="26">
        <v>64.36444642</v>
      </c>
    </row>
    <row r="27" spans="7:14">
      <c r="G27" t="s">
        <v>31</v>
      </c>
      <c r="I27" s="8">
        <v>2036</v>
      </c>
      <c r="J27" s="8" t="s">
        <v>16</v>
      </c>
      <c r="K27" s="8">
        <v>1</v>
      </c>
      <c r="L27" s="8">
        <f t="shared" si="0"/>
        <v>63288.40235</v>
      </c>
      <c r="N27" s="26">
        <v>63.28840235</v>
      </c>
    </row>
    <row r="28" spans="7:14">
      <c r="G28" t="s">
        <v>31</v>
      </c>
      <c r="I28" s="8">
        <v>2037</v>
      </c>
      <c r="J28" s="8" t="s">
        <v>16</v>
      </c>
      <c r="K28" s="8">
        <v>1</v>
      </c>
      <c r="L28" s="8">
        <f t="shared" si="0"/>
        <v>62112.70825</v>
      </c>
      <c r="N28" s="26">
        <v>62.11270825</v>
      </c>
    </row>
    <row r="29" spans="7:14">
      <c r="G29" t="s">
        <v>31</v>
      </c>
      <c r="I29" s="8">
        <v>2038</v>
      </c>
      <c r="J29" s="8" t="s">
        <v>16</v>
      </c>
      <c r="K29" s="8">
        <v>1</v>
      </c>
      <c r="L29" s="8">
        <f t="shared" si="0"/>
        <v>60901.45089</v>
      </c>
      <c r="N29" s="26">
        <v>60.90145089</v>
      </c>
    </row>
    <row r="30" spans="7:14">
      <c r="G30" t="s">
        <v>31</v>
      </c>
      <c r="I30" s="8">
        <v>2039</v>
      </c>
      <c r="J30" s="8" t="s">
        <v>16</v>
      </c>
      <c r="K30" s="8">
        <v>1</v>
      </c>
      <c r="L30" s="8">
        <f t="shared" si="0"/>
        <v>59723.4061</v>
      </c>
      <c r="N30" s="26">
        <v>59.7234061</v>
      </c>
    </row>
    <row r="31" spans="7:14">
      <c r="G31" t="s">
        <v>31</v>
      </c>
      <c r="I31" s="8">
        <v>2040</v>
      </c>
      <c r="J31" s="8" t="s">
        <v>16</v>
      </c>
      <c r="K31" s="8">
        <v>1</v>
      </c>
      <c r="L31" s="8">
        <f t="shared" si="0"/>
        <v>58598.71227</v>
      </c>
      <c r="N31" s="26">
        <v>58.59871227</v>
      </c>
    </row>
    <row r="32" spans="7:14">
      <c r="G32" t="s">
        <v>31</v>
      </c>
      <c r="I32" s="8">
        <v>2041</v>
      </c>
      <c r="J32" s="8" t="s">
        <v>16</v>
      </c>
      <c r="K32" s="8">
        <v>1</v>
      </c>
      <c r="L32" s="8">
        <f t="shared" si="0"/>
        <v>57516.27292</v>
      </c>
      <c r="N32" s="26">
        <v>57.51627292</v>
      </c>
    </row>
    <row r="33" spans="7:14">
      <c r="G33" t="s">
        <v>31</v>
      </c>
      <c r="I33" s="8">
        <v>2042</v>
      </c>
      <c r="J33" s="8" t="s">
        <v>16</v>
      </c>
      <c r="K33" s="8">
        <v>1</v>
      </c>
      <c r="L33" s="8">
        <f t="shared" si="0"/>
        <v>56502.94697</v>
      </c>
      <c r="N33" s="26">
        <v>56.50294697</v>
      </c>
    </row>
    <row r="34" spans="7:14">
      <c r="G34" t="s">
        <v>31</v>
      </c>
      <c r="I34" s="8">
        <v>2043</v>
      </c>
      <c r="J34" s="8" t="s">
        <v>16</v>
      </c>
      <c r="K34" s="8">
        <v>1</v>
      </c>
      <c r="L34" s="8">
        <f t="shared" si="0"/>
        <v>55545.35771</v>
      </c>
      <c r="N34" s="26">
        <v>55.54535771</v>
      </c>
    </row>
    <row r="35" spans="7:14">
      <c r="G35" t="s">
        <v>31</v>
      </c>
      <c r="I35" s="8">
        <v>2044</v>
      </c>
      <c r="J35" s="8" t="s">
        <v>16</v>
      </c>
      <c r="K35" s="8">
        <v>1</v>
      </c>
      <c r="L35" s="8">
        <f t="shared" si="0"/>
        <v>54664.89303</v>
      </c>
      <c r="N35" s="26">
        <v>54.66489303</v>
      </c>
    </row>
    <row r="36" spans="7:14">
      <c r="G36" t="s">
        <v>31</v>
      </c>
      <c r="I36" s="8">
        <v>2045</v>
      </c>
      <c r="J36" s="8" t="s">
        <v>16</v>
      </c>
      <c r="K36" s="8">
        <v>1</v>
      </c>
      <c r="L36" s="8">
        <f t="shared" si="0"/>
        <v>53777.15531</v>
      </c>
      <c r="N36" s="26">
        <v>53.77715531</v>
      </c>
    </row>
    <row r="37" spans="7:14">
      <c r="G37" t="s">
        <v>31</v>
      </c>
      <c r="I37" s="8">
        <v>2046</v>
      </c>
      <c r="J37" s="8" t="s">
        <v>16</v>
      </c>
      <c r="K37" s="8">
        <v>1</v>
      </c>
      <c r="L37" s="8">
        <f t="shared" si="0"/>
        <v>52918.35459</v>
      </c>
      <c r="N37" s="26">
        <v>52.91835459</v>
      </c>
    </row>
    <row r="38" spans="7:14">
      <c r="G38" t="s">
        <v>31</v>
      </c>
      <c r="I38" s="8">
        <v>2047</v>
      </c>
      <c r="J38" s="8" t="s">
        <v>16</v>
      </c>
      <c r="K38" s="8">
        <v>1</v>
      </c>
      <c r="L38" s="8">
        <f t="shared" si="0"/>
        <v>52154.00081</v>
      </c>
      <c r="N38" s="26">
        <v>52.15400081</v>
      </c>
    </row>
    <row r="39" spans="7:14">
      <c r="G39" t="s">
        <v>31</v>
      </c>
      <c r="I39" s="8">
        <v>2048</v>
      </c>
      <c r="J39" s="8" t="s">
        <v>16</v>
      </c>
      <c r="K39" s="8">
        <v>1</v>
      </c>
      <c r="L39" s="8">
        <f t="shared" si="0"/>
        <v>51455.43074</v>
      </c>
      <c r="N39" s="26">
        <v>51.45543074</v>
      </c>
    </row>
    <row r="40" spans="7:14">
      <c r="G40" t="s">
        <v>31</v>
      </c>
      <c r="I40" s="8">
        <v>2049</v>
      </c>
      <c r="J40" s="8" t="s">
        <v>16</v>
      </c>
      <c r="K40" s="8">
        <v>1</v>
      </c>
      <c r="L40" s="8">
        <f t="shared" si="0"/>
        <v>50816.86826</v>
      </c>
      <c r="N40" s="26">
        <v>50.81686826</v>
      </c>
    </row>
    <row r="41" spans="7:14">
      <c r="G41" t="s">
        <v>31</v>
      </c>
      <c r="I41" s="8">
        <v>2050</v>
      </c>
      <c r="J41" s="8" t="s">
        <v>16</v>
      </c>
      <c r="K41" s="8">
        <v>1</v>
      </c>
      <c r="L41" s="8">
        <f t="shared" si="0"/>
        <v>50196.73369</v>
      </c>
      <c r="N41" s="26">
        <v>50.19673369</v>
      </c>
    </row>
    <row r="42" spans="7:11">
      <c r="G42" s="51" t="s">
        <v>32</v>
      </c>
      <c r="I42" s="8">
        <v>2020</v>
      </c>
      <c r="J42" s="8" t="s">
        <v>16</v>
      </c>
      <c r="K42" s="8">
        <v>1</v>
      </c>
    </row>
    <row r="43" spans="7:11">
      <c r="G43" s="8" t="str">
        <f t="shared" ref="G43:G72" si="1">G42</f>
        <v>AGRNEECO2N</v>
      </c>
      <c r="I43" s="8">
        <v>2021</v>
      </c>
      <c r="J43" s="8" t="s">
        <v>16</v>
      </c>
      <c r="K43" s="8">
        <v>1</v>
      </c>
    </row>
    <row r="44" spans="7:11">
      <c r="G44" s="8" t="str">
        <f t="shared" si="1"/>
        <v>AGRNEECO2N</v>
      </c>
      <c r="I44" s="8">
        <v>2022</v>
      </c>
      <c r="J44" s="8" t="s">
        <v>16</v>
      </c>
      <c r="K44" s="8">
        <v>1</v>
      </c>
    </row>
    <row r="45" spans="7:11">
      <c r="G45" s="8" t="str">
        <f t="shared" si="1"/>
        <v>AGRNEECO2N</v>
      </c>
      <c r="I45" s="8">
        <v>2023</v>
      </c>
      <c r="J45" s="8" t="s">
        <v>16</v>
      </c>
      <c r="K45" s="8">
        <v>1</v>
      </c>
    </row>
    <row r="46" spans="7:11">
      <c r="G46" s="8" t="str">
        <f t="shared" si="1"/>
        <v>AGRNEECO2N</v>
      </c>
      <c r="I46" s="8">
        <v>2024</v>
      </c>
      <c r="J46" s="8" t="s">
        <v>16</v>
      </c>
      <c r="K46" s="8">
        <v>1</v>
      </c>
    </row>
    <row r="47" spans="7:11">
      <c r="G47" s="8" t="str">
        <f t="shared" si="1"/>
        <v>AGRNEECO2N</v>
      </c>
      <c r="I47" s="8">
        <v>2025</v>
      </c>
      <c r="J47" s="8" t="s">
        <v>16</v>
      </c>
      <c r="K47" s="8">
        <v>1</v>
      </c>
    </row>
    <row r="48" spans="7:11">
      <c r="G48" s="8" t="str">
        <f t="shared" si="1"/>
        <v>AGRNEECO2N</v>
      </c>
      <c r="I48" s="8">
        <v>2026</v>
      </c>
      <c r="J48" s="8" t="s">
        <v>16</v>
      </c>
      <c r="K48" s="8">
        <v>1</v>
      </c>
    </row>
    <row r="49" spans="7:11">
      <c r="G49" s="8" t="str">
        <f t="shared" si="1"/>
        <v>AGRNEECO2N</v>
      </c>
      <c r="I49" s="8">
        <v>2027</v>
      </c>
      <c r="J49" s="8" t="s">
        <v>16</v>
      </c>
      <c r="K49" s="8">
        <v>1</v>
      </c>
    </row>
    <row r="50" spans="7:11">
      <c r="G50" s="8" t="str">
        <f t="shared" si="1"/>
        <v>AGRNEECO2N</v>
      </c>
      <c r="I50" s="8">
        <v>2028</v>
      </c>
      <c r="J50" s="8" t="s">
        <v>16</v>
      </c>
      <c r="K50" s="8">
        <v>1</v>
      </c>
    </row>
    <row r="51" spans="7:11">
      <c r="G51" s="8" t="str">
        <f t="shared" si="1"/>
        <v>AGRNEECO2N</v>
      </c>
      <c r="I51" s="8">
        <v>2029</v>
      </c>
      <c r="J51" s="8" t="s">
        <v>16</v>
      </c>
      <c r="K51" s="8">
        <v>1</v>
      </c>
    </row>
    <row r="52" spans="7:11">
      <c r="G52" s="8" t="str">
        <f t="shared" si="1"/>
        <v>AGRNEECO2N</v>
      </c>
      <c r="I52" s="8">
        <v>2030</v>
      </c>
      <c r="J52" s="8" t="s">
        <v>16</v>
      </c>
      <c r="K52" s="8">
        <v>1</v>
      </c>
    </row>
    <row r="53" spans="7:11">
      <c r="G53" s="8" t="str">
        <f t="shared" si="1"/>
        <v>AGRNEECO2N</v>
      </c>
      <c r="I53" s="8">
        <v>2031</v>
      </c>
      <c r="J53" s="8" t="s">
        <v>16</v>
      </c>
      <c r="K53" s="8">
        <v>1</v>
      </c>
    </row>
    <row r="54" spans="7:11">
      <c r="G54" s="8" t="str">
        <f t="shared" si="1"/>
        <v>AGRNEECO2N</v>
      </c>
      <c r="I54" s="8">
        <v>2032</v>
      </c>
      <c r="J54" s="8" t="s">
        <v>16</v>
      </c>
      <c r="K54" s="8">
        <v>1</v>
      </c>
    </row>
    <row r="55" spans="7:11">
      <c r="G55" s="8" t="str">
        <f t="shared" si="1"/>
        <v>AGRNEECO2N</v>
      </c>
      <c r="I55" s="8">
        <v>2033</v>
      </c>
      <c r="J55" s="8" t="s">
        <v>16</v>
      </c>
      <c r="K55" s="8">
        <v>1</v>
      </c>
    </row>
    <row r="56" spans="7:11">
      <c r="G56" s="8" t="str">
        <f t="shared" si="1"/>
        <v>AGRNEECO2N</v>
      </c>
      <c r="I56" s="8">
        <v>2034</v>
      </c>
      <c r="J56" s="8" t="s">
        <v>16</v>
      </c>
      <c r="K56" s="8">
        <v>1</v>
      </c>
    </row>
    <row r="57" spans="7:11">
      <c r="G57" s="8" t="str">
        <f t="shared" si="1"/>
        <v>AGRNEECO2N</v>
      </c>
      <c r="I57" s="8">
        <v>2035</v>
      </c>
      <c r="J57" s="8" t="s">
        <v>16</v>
      </c>
      <c r="K57" s="8">
        <v>1</v>
      </c>
    </row>
    <row r="58" spans="7:11">
      <c r="G58" s="8" t="str">
        <f t="shared" si="1"/>
        <v>AGRNEECO2N</v>
      </c>
      <c r="I58" s="8">
        <v>2036</v>
      </c>
      <c r="J58" s="8" t="s">
        <v>16</v>
      </c>
      <c r="K58" s="8">
        <v>1</v>
      </c>
    </row>
    <row r="59" spans="7:11">
      <c r="G59" s="8" t="str">
        <f t="shared" si="1"/>
        <v>AGRNEECO2N</v>
      </c>
      <c r="I59" s="8">
        <v>2037</v>
      </c>
      <c r="J59" s="8" t="s">
        <v>16</v>
      </c>
      <c r="K59" s="8">
        <v>1</v>
      </c>
    </row>
    <row r="60" spans="7:11">
      <c r="G60" s="8" t="str">
        <f t="shared" si="1"/>
        <v>AGRNEECO2N</v>
      </c>
      <c r="I60" s="8">
        <v>2038</v>
      </c>
      <c r="J60" s="8" t="s">
        <v>16</v>
      </c>
      <c r="K60" s="8">
        <v>1</v>
      </c>
    </row>
    <row r="61" spans="7:11">
      <c r="G61" s="8" t="str">
        <f t="shared" si="1"/>
        <v>AGRNEECO2N</v>
      </c>
      <c r="I61" s="8">
        <v>2039</v>
      </c>
      <c r="J61" s="8" t="s">
        <v>16</v>
      </c>
      <c r="K61" s="8">
        <v>1</v>
      </c>
    </row>
    <row r="62" spans="7:11">
      <c r="G62" s="8" t="str">
        <f t="shared" si="1"/>
        <v>AGRNEECO2N</v>
      </c>
      <c r="I62" s="8">
        <v>2040</v>
      </c>
      <c r="J62" s="8" t="s">
        <v>16</v>
      </c>
      <c r="K62" s="8">
        <v>1</v>
      </c>
    </row>
    <row r="63" spans="7:11">
      <c r="G63" s="8" t="str">
        <f t="shared" si="1"/>
        <v>AGRNEECO2N</v>
      </c>
      <c r="I63" s="8">
        <v>2041</v>
      </c>
      <c r="J63" s="8" t="s">
        <v>16</v>
      </c>
      <c r="K63" s="8">
        <v>1</v>
      </c>
    </row>
    <row r="64" spans="7:11">
      <c r="G64" s="8" t="str">
        <f t="shared" si="1"/>
        <v>AGRNEECO2N</v>
      </c>
      <c r="I64" s="8">
        <v>2042</v>
      </c>
      <c r="J64" s="8" t="s">
        <v>16</v>
      </c>
      <c r="K64" s="8">
        <v>1</v>
      </c>
    </row>
    <row r="65" spans="7:11">
      <c r="G65" s="8" t="str">
        <f t="shared" si="1"/>
        <v>AGRNEECO2N</v>
      </c>
      <c r="I65" s="8">
        <v>2043</v>
      </c>
      <c r="J65" s="8" t="s">
        <v>16</v>
      </c>
      <c r="K65" s="8">
        <v>1</v>
      </c>
    </row>
    <row r="66" spans="7:11">
      <c r="G66" s="8" t="str">
        <f t="shared" si="1"/>
        <v>AGRNEECO2N</v>
      </c>
      <c r="I66" s="8">
        <v>2044</v>
      </c>
      <c r="J66" s="8" t="s">
        <v>16</v>
      </c>
      <c r="K66" s="8">
        <v>1</v>
      </c>
    </row>
    <row r="67" spans="7:11">
      <c r="G67" s="8" t="str">
        <f t="shared" si="1"/>
        <v>AGRNEECO2N</v>
      </c>
      <c r="I67" s="8">
        <v>2045</v>
      </c>
      <c r="J67" s="8" t="s">
        <v>16</v>
      </c>
      <c r="K67" s="8">
        <v>1</v>
      </c>
    </row>
    <row r="68" spans="7:11">
      <c r="G68" s="8" t="str">
        <f t="shared" si="1"/>
        <v>AGRNEECO2N</v>
      </c>
      <c r="I68" s="8">
        <v>2046</v>
      </c>
      <c r="J68" s="8" t="s">
        <v>16</v>
      </c>
      <c r="K68" s="8">
        <v>1</v>
      </c>
    </row>
    <row r="69" spans="7:11">
      <c r="G69" s="8" t="str">
        <f t="shared" si="1"/>
        <v>AGRNEECO2N</v>
      </c>
      <c r="I69" s="8">
        <v>2047</v>
      </c>
      <c r="J69" s="8" t="s">
        <v>16</v>
      </c>
      <c r="K69" s="8">
        <v>1</v>
      </c>
    </row>
    <row r="70" spans="7:11">
      <c r="G70" s="8" t="str">
        <f t="shared" si="1"/>
        <v>AGRNEECO2N</v>
      </c>
      <c r="I70" s="8">
        <v>2048</v>
      </c>
      <c r="J70" s="8" t="s">
        <v>16</v>
      </c>
      <c r="K70" s="8">
        <v>1</v>
      </c>
    </row>
    <row r="71" spans="7:11">
      <c r="G71" s="8" t="str">
        <f t="shared" si="1"/>
        <v>AGRNEECO2N</v>
      </c>
      <c r="I71" s="8">
        <v>2049</v>
      </c>
      <c r="J71" s="8" t="s">
        <v>16</v>
      </c>
      <c r="K71" s="8">
        <v>1</v>
      </c>
    </row>
    <row r="72" spans="7:11">
      <c r="G72" s="8" t="str">
        <f t="shared" si="1"/>
        <v>AGRNEECO2N</v>
      </c>
      <c r="I72" s="8">
        <v>2050</v>
      </c>
      <c r="J72" s="8" t="s">
        <v>16</v>
      </c>
      <c r="K72" s="8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33</v>
      </c>
      <c r="G11" t="s">
        <v>34</v>
      </c>
      <c r="I11" s="8">
        <v>2020</v>
      </c>
      <c r="J11" s="8" t="s">
        <v>16</v>
      </c>
      <c r="K11" s="8">
        <v>1</v>
      </c>
      <c r="N11" s="10">
        <v>53.68446015</v>
      </c>
    </row>
    <row r="12" spans="7:15">
      <c r="G12" t="s">
        <v>34</v>
      </c>
      <c r="I12" s="8">
        <v>2021</v>
      </c>
      <c r="J12" s="8" t="s">
        <v>16</v>
      </c>
      <c r="K12" s="8">
        <v>1</v>
      </c>
      <c r="L12" s="8">
        <f t="shared" ref="L12:L25" si="0">N12*1000</f>
        <v>51677.81389</v>
      </c>
      <c r="N12" s="26">
        <v>51.67781389</v>
      </c>
      <c r="O12" s="8"/>
    </row>
    <row r="13" spans="7:15">
      <c r="G13" t="s">
        <v>34</v>
      </c>
      <c r="I13" s="8">
        <v>2022</v>
      </c>
      <c r="J13" s="8" t="s">
        <v>16</v>
      </c>
      <c r="K13" s="8">
        <v>1</v>
      </c>
      <c r="L13" s="8">
        <f t="shared" si="0"/>
        <v>55395.0355</v>
      </c>
      <c r="N13" s="26">
        <v>55.3950355</v>
      </c>
      <c r="O13" s="8"/>
    </row>
    <row r="14" spans="7:15">
      <c r="G14" t="s">
        <v>34</v>
      </c>
      <c r="I14" s="8">
        <v>2023</v>
      </c>
      <c r="J14" s="8" t="s">
        <v>16</v>
      </c>
      <c r="K14" s="8">
        <v>1</v>
      </c>
      <c r="L14" s="8">
        <f t="shared" si="0"/>
        <v>53106.14489</v>
      </c>
      <c r="N14" s="26">
        <v>53.10614489</v>
      </c>
      <c r="O14" s="8"/>
    </row>
    <row r="15" spans="7:15">
      <c r="G15" t="s">
        <v>34</v>
      </c>
      <c r="I15" s="8">
        <v>2024</v>
      </c>
      <c r="J15" s="8" t="s">
        <v>16</v>
      </c>
      <c r="K15" s="8">
        <v>1</v>
      </c>
      <c r="L15" s="8">
        <f t="shared" si="0"/>
        <v>44417.49638</v>
      </c>
      <c r="N15" s="26">
        <v>44.41749638</v>
      </c>
      <c r="O15" s="8"/>
    </row>
    <row r="16" spans="7:15">
      <c r="G16" t="s">
        <v>34</v>
      </c>
      <c r="I16" s="8">
        <v>2025</v>
      </c>
      <c r="J16" s="8" t="s">
        <v>16</v>
      </c>
      <c r="K16" s="8">
        <v>1</v>
      </c>
      <c r="L16" s="8">
        <f t="shared" si="0"/>
        <v>35194.2055</v>
      </c>
      <c r="N16" s="26">
        <v>35.1942055</v>
      </c>
      <c r="O16" s="8"/>
    </row>
    <row r="17" spans="7:15">
      <c r="G17" t="s">
        <v>34</v>
      </c>
      <c r="I17" s="8">
        <v>2026</v>
      </c>
      <c r="J17" s="8" t="s">
        <v>16</v>
      </c>
      <c r="K17" s="8">
        <v>1</v>
      </c>
      <c r="L17" s="8">
        <f t="shared" si="0"/>
        <v>36041.49071</v>
      </c>
      <c r="N17" s="26">
        <v>36.04149071</v>
      </c>
      <c r="O17" s="8"/>
    </row>
    <row r="18" spans="7:15">
      <c r="G18" t="s">
        <v>34</v>
      </c>
      <c r="I18" s="8">
        <v>2027</v>
      </c>
      <c r="J18" s="8" t="s">
        <v>16</v>
      </c>
      <c r="K18" s="8">
        <v>1</v>
      </c>
      <c r="L18" s="8">
        <f t="shared" si="0"/>
        <v>37364.65186</v>
      </c>
      <c r="N18" s="26">
        <v>37.36465186</v>
      </c>
      <c r="O18" s="8"/>
    </row>
    <row r="19" spans="7:15">
      <c r="G19" t="s">
        <v>34</v>
      </c>
      <c r="I19" s="8">
        <v>2028</v>
      </c>
      <c r="J19" s="8" t="s">
        <v>16</v>
      </c>
      <c r="K19" s="8">
        <v>1</v>
      </c>
      <c r="L19" s="8">
        <f t="shared" si="0"/>
        <v>37709.359</v>
      </c>
      <c r="N19" s="26">
        <v>37.709359</v>
      </c>
      <c r="O19" s="8"/>
    </row>
    <row r="20" spans="7:15">
      <c r="G20" t="s">
        <v>34</v>
      </c>
      <c r="I20" s="8">
        <v>2029</v>
      </c>
      <c r="J20" s="8" t="s">
        <v>16</v>
      </c>
      <c r="K20" s="8">
        <v>1</v>
      </c>
      <c r="L20" s="8">
        <f t="shared" si="0"/>
        <v>35185.60103</v>
      </c>
      <c r="N20" s="26">
        <v>35.18560103</v>
      </c>
      <c r="O20" s="8"/>
    </row>
    <row r="21" spans="7:15">
      <c r="G21" t="s">
        <v>34</v>
      </c>
      <c r="I21" s="8">
        <v>2030</v>
      </c>
      <c r="J21" s="8" t="s">
        <v>16</v>
      </c>
      <c r="K21" s="8">
        <v>1</v>
      </c>
      <c r="L21" s="8">
        <f t="shared" si="0"/>
        <v>28891.82598</v>
      </c>
      <c r="N21" s="26">
        <v>28.89182598</v>
      </c>
      <c r="O21" s="8"/>
    </row>
    <row r="22" spans="7:15">
      <c r="G22" t="s">
        <v>34</v>
      </c>
      <c r="I22" s="8">
        <v>2031</v>
      </c>
      <c r="J22" s="8" t="s">
        <v>16</v>
      </c>
      <c r="K22" s="8">
        <v>1</v>
      </c>
      <c r="L22" s="8">
        <f t="shared" si="0"/>
        <v>18517.26665</v>
      </c>
      <c r="N22" s="26">
        <v>18.51726665</v>
      </c>
      <c r="O22" s="8"/>
    </row>
    <row r="23" spans="7:15">
      <c r="G23" t="s">
        <v>34</v>
      </c>
      <c r="I23" s="8">
        <v>2032</v>
      </c>
      <c r="J23" s="8" t="s">
        <v>16</v>
      </c>
      <c r="K23" s="8">
        <v>1</v>
      </c>
      <c r="L23" s="8">
        <f t="shared" si="0"/>
        <v>9599.437222</v>
      </c>
      <c r="N23" s="26">
        <v>9.599437222</v>
      </c>
      <c r="O23" s="8"/>
    </row>
    <row r="24" spans="7:15">
      <c r="G24" t="s">
        <v>34</v>
      </c>
      <c r="I24" s="8">
        <v>2033</v>
      </c>
      <c r="J24" s="8" t="s">
        <v>16</v>
      </c>
      <c r="K24" s="8">
        <v>1</v>
      </c>
      <c r="L24" s="8">
        <f t="shared" si="0"/>
        <v>7082.706034</v>
      </c>
      <c r="N24" s="26">
        <v>7.082706034</v>
      </c>
      <c r="O24" s="8"/>
    </row>
    <row r="25" spans="7:15">
      <c r="G25" t="s">
        <v>34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6">
        <v>1.552577644</v>
      </c>
      <c r="O25" s="8"/>
    </row>
    <row r="26" spans="7:15">
      <c r="G26" t="s">
        <v>34</v>
      </c>
      <c r="I26" s="8">
        <v>2035</v>
      </c>
      <c r="J26" s="8" t="s">
        <v>16</v>
      </c>
      <c r="K26" s="8">
        <v>1</v>
      </c>
      <c r="L26" s="55">
        <f>N26</f>
        <v>0</v>
      </c>
      <c r="N26" s="26">
        <v>0</v>
      </c>
      <c r="O26" s="8">
        <v>-5.684425942</v>
      </c>
    </row>
    <row r="27" spans="7:15">
      <c r="G27" t="s">
        <v>34</v>
      </c>
      <c r="I27" s="8">
        <v>2036</v>
      </c>
      <c r="J27" s="8" t="s">
        <v>16</v>
      </c>
      <c r="K27" s="8">
        <v>1</v>
      </c>
      <c r="L27" s="55">
        <f>L26</f>
        <v>0</v>
      </c>
      <c r="N27" s="26">
        <v>0</v>
      </c>
      <c r="O27" s="8">
        <v>-8.146644488</v>
      </c>
    </row>
    <row r="28" spans="7:15">
      <c r="G28" t="s">
        <v>34</v>
      </c>
      <c r="I28" s="8">
        <v>2037</v>
      </c>
      <c r="J28" s="8" t="s">
        <v>16</v>
      </c>
      <c r="K28" s="8">
        <v>1</v>
      </c>
      <c r="L28" s="55">
        <f t="shared" ref="L28:L41" si="1">L27</f>
        <v>0</v>
      </c>
      <c r="N28" s="26">
        <v>0</v>
      </c>
      <c r="O28" s="8">
        <v>-10.5646591</v>
      </c>
    </row>
    <row r="29" spans="7:15">
      <c r="G29" t="s">
        <v>34</v>
      </c>
      <c r="I29" s="8">
        <v>2038</v>
      </c>
      <c r="J29" s="8" t="s">
        <v>16</v>
      </c>
      <c r="K29" s="8">
        <v>1</v>
      </c>
      <c r="L29" s="55">
        <f t="shared" si="1"/>
        <v>0</v>
      </c>
      <c r="N29" s="26">
        <v>0</v>
      </c>
      <c r="O29" s="8">
        <v>-12.89311463</v>
      </c>
    </row>
    <row r="30" spans="7:15">
      <c r="G30" t="s">
        <v>34</v>
      </c>
      <c r="I30" s="8">
        <v>2039</v>
      </c>
      <c r="J30" s="8" t="s">
        <v>16</v>
      </c>
      <c r="K30" s="8">
        <v>1</v>
      </c>
      <c r="L30" s="55">
        <f t="shared" si="1"/>
        <v>0</v>
      </c>
      <c r="N30" s="26">
        <v>0</v>
      </c>
      <c r="O30" s="8">
        <v>-15.02770215</v>
      </c>
    </row>
    <row r="31" spans="7:15">
      <c r="G31" t="s">
        <v>34</v>
      </c>
      <c r="I31" s="8">
        <v>2040</v>
      </c>
      <c r="J31" s="8" t="s">
        <v>16</v>
      </c>
      <c r="K31" s="8">
        <v>1</v>
      </c>
      <c r="L31" s="55">
        <f t="shared" si="1"/>
        <v>0</v>
      </c>
      <c r="N31" s="26">
        <v>0</v>
      </c>
      <c r="O31" s="8">
        <v>-16.8162183</v>
      </c>
    </row>
    <row r="32" spans="7:15">
      <c r="G32" t="s">
        <v>34</v>
      </c>
      <c r="I32" s="8">
        <v>2041</v>
      </c>
      <c r="J32" s="8" t="s">
        <v>16</v>
      </c>
      <c r="K32" s="8">
        <v>1</v>
      </c>
      <c r="L32" s="55">
        <f t="shared" si="1"/>
        <v>0</v>
      </c>
      <c r="N32" s="26">
        <v>0</v>
      </c>
      <c r="O32" s="8">
        <v>-19.07660605</v>
      </c>
    </row>
    <row r="33" spans="7:15">
      <c r="G33" t="s">
        <v>34</v>
      </c>
      <c r="I33" s="8">
        <v>2042</v>
      </c>
      <c r="J33" s="8" t="s">
        <v>16</v>
      </c>
      <c r="K33" s="8">
        <v>1</v>
      </c>
      <c r="L33" s="55">
        <f t="shared" si="1"/>
        <v>0</v>
      </c>
      <c r="N33" s="26">
        <v>0</v>
      </c>
      <c r="O33" s="8">
        <v>-20.90917289</v>
      </c>
    </row>
    <row r="34" spans="7:15">
      <c r="G34" t="s">
        <v>34</v>
      </c>
      <c r="I34" s="8">
        <v>2043</v>
      </c>
      <c r="J34" s="8" t="s">
        <v>16</v>
      </c>
      <c r="K34" s="8">
        <v>1</v>
      </c>
      <c r="L34" s="55">
        <f t="shared" si="1"/>
        <v>0</v>
      </c>
      <c r="N34" s="26">
        <v>0</v>
      </c>
      <c r="O34" s="8">
        <v>-22.88512888</v>
      </c>
    </row>
    <row r="35" spans="7:15">
      <c r="G35" t="s">
        <v>34</v>
      </c>
      <c r="I35" s="8">
        <v>2044</v>
      </c>
      <c r="J35" s="8" t="s">
        <v>16</v>
      </c>
      <c r="K35" s="8">
        <v>1</v>
      </c>
      <c r="L35" s="55">
        <f t="shared" si="1"/>
        <v>0</v>
      </c>
      <c r="N35" s="26">
        <v>0</v>
      </c>
      <c r="O35" s="8">
        <v>-25.0721844</v>
      </c>
    </row>
    <row r="36" spans="7:15">
      <c r="G36" t="s">
        <v>34</v>
      </c>
      <c r="I36" s="8">
        <v>2045</v>
      </c>
      <c r="J36" s="8" t="s">
        <v>16</v>
      </c>
      <c r="K36" s="8">
        <v>1</v>
      </c>
      <c r="L36" s="55">
        <f t="shared" si="1"/>
        <v>0</v>
      </c>
      <c r="N36" s="26">
        <v>0</v>
      </c>
      <c r="O36" s="8">
        <v>-27.17090334</v>
      </c>
    </row>
    <row r="37" spans="7:15">
      <c r="G37" t="s">
        <v>34</v>
      </c>
      <c r="I37" s="8">
        <v>2046</v>
      </c>
      <c r="J37" s="8" t="s">
        <v>16</v>
      </c>
      <c r="K37" s="8">
        <v>1</v>
      </c>
      <c r="L37" s="55">
        <f t="shared" si="1"/>
        <v>0</v>
      </c>
      <c r="N37" s="26">
        <v>0</v>
      </c>
      <c r="O37" s="8">
        <v>-29.06183699</v>
      </c>
    </row>
    <row r="38" spans="7:15">
      <c r="G38" t="s">
        <v>34</v>
      </c>
      <c r="I38" s="8">
        <v>2047</v>
      </c>
      <c r="J38" s="8" t="s">
        <v>16</v>
      </c>
      <c r="K38" s="8">
        <v>1</v>
      </c>
      <c r="L38" s="55">
        <f t="shared" si="1"/>
        <v>0</v>
      </c>
      <c r="N38" s="26">
        <v>0</v>
      </c>
      <c r="O38" s="8">
        <v>-30.81684052</v>
      </c>
    </row>
    <row r="39" spans="7:15">
      <c r="G39" t="s">
        <v>34</v>
      </c>
      <c r="I39" s="8">
        <v>2048</v>
      </c>
      <c r="J39" s="8" t="s">
        <v>16</v>
      </c>
      <c r="K39" s="8">
        <v>1</v>
      </c>
      <c r="L39" s="55">
        <f t="shared" si="1"/>
        <v>0</v>
      </c>
      <c r="N39" s="26">
        <v>0</v>
      </c>
      <c r="O39" s="8">
        <v>-32.47989663</v>
      </c>
    </row>
    <row r="40" spans="7:15">
      <c r="G40" t="s">
        <v>34</v>
      </c>
      <c r="I40" s="8">
        <v>2049</v>
      </c>
      <c r="J40" s="8" t="s">
        <v>16</v>
      </c>
      <c r="K40" s="8">
        <v>1</v>
      </c>
      <c r="L40" s="55">
        <f t="shared" si="1"/>
        <v>0</v>
      </c>
      <c r="N40" s="26">
        <v>0</v>
      </c>
      <c r="O40" s="8">
        <v>-34.07793585</v>
      </c>
    </row>
    <row r="41" spans="7:15">
      <c r="G41" t="s">
        <v>34</v>
      </c>
      <c r="I41" s="8">
        <v>2050</v>
      </c>
      <c r="J41" s="8" t="s">
        <v>16</v>
      </c>
      <c r="K41" s="8">
        <v>1</v>
      </c>
      <c r="L41" s="55">
        <f t="shared" si="1"/>
        <v>0</v>
      </c>
      <c r="N41" s="26">
        <v>0</v>
      </c>
      <c r="O41" s="8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12" sqref="L1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2"/>
    </row>
    <row r="11" spans="2:17">
      <c r="B11" s="8" t="s">
        <v>36</v>
      </c>
      <c r="G11" t="s">
        <v>37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37</v>
      </c>
      <c r="I12" s="8">
        <v>2021</v>
      </c>
      <c r="J12" s="8" t="s">
        <v>16</v>
      </c>
      <c r="K12" s="8">
        <v>1</v>
      </c>
      <c r="L12" s="54">
        <f>Q12*1000*38.5/(38.5+34.9)*1.1</f>
        <v>50294.7241857425</v>
      </c>
      <c r="Q12" s="26">
        <v>87.16960461</v>
      </c>
    </row>
    <row r="13" spans="7:17">
      <c r="G13" t="s">
        <v>37</v>
      </c>
      <c r="I13" s="8">
        <v>2022</v>
      </c>
      <c r="J13" s="8" t="s">
        <v>16</v>
      </c>
      <c r="K13" s="8">
        <v>1</v>
      </c>
      <c r="L13" s="54">
        <f t="shared" ref="L13:L41" si="0">Q13*1000*38.5/(38.5+34.9)*1.1</f>
        <v>47270.6331199387</v>
      </c>
      <c r="Q13" s="26">
        <v>81.92832281</v>
      </c>
    </row>
    <row r="14" spans="7:17">
      <c r="G14" t="s">
        <v>37</v>
      </c>
      <c r="I14" s="8">
        <v>2023</v>
      </c>
      <c r="J14" s="8" t="s">
        <v>16</v>
      </c>
      <c r="K14" s="8">
        <v>1</v>
      </c>
      <c r="L14" s="54">
        <f t="shared" si="0"/>
        <v>46754.1229421458</v>
      </c>
      <c r="Q14" s="26">
        <v>81.03311981</v>
      </c>
    </row>
    <row r="15" spans="7:17">
      <c r="G15" t="s">
        <v>37</v>
      </c>
      <c r="I15" s="8">
        <v>2024</v>
      </c>
      <c r="J15" s="8" t="s">
        <v>16</v>
      </c>
      <c r="K15" s="8">
        <v>1</v>
      </c>
      <c r="L15" s="54">
        <f t="shared" si="0"/>
        <v>45703.588553658</v>
      </c>
      <c r="Q15" s="26">
        <v>79.21235891</v>
      </c>
    </row>
    <row r="16" spans="7:17">
      <c r="G16" t="s">
        <v>37</v>
      </c>
      <c r="I16" s="8">
        <v>2025</v>
      </c>
      <c r="J16" s="8" t="s">
        <v>16</v>
      </c>
      <c r="K16" s="8">
        <v>1</v>
      </c>
      <c r="L16" s="54">
        <f t="shared" si="0"/>
        <v>44400.1434558719</v>
      </c>
      <c r="Q16" s="26">
        <v>76.95325926</v>
      </c>
    </row>
    <row r="17" spans="7:17">
      <c r="G17" t="s">
        <v>37</v>
      </c>
      <c r="I17" s="8">
        <v>2026</v>
      </c>
      <c r="J17" s="8" t="s">
        <v>16</v>
      </c>
      <c r="K17" s="8">
        <v>1</v>
      </c>
      <c r="L17" s="54">
        <f t="shared" si="0"/>
        <v>43222.6619017234</v>
      </c>
      <c r="Q17" s="26">
        <v>74.91247659</v>
      </c>
    </row>
    <row r="18" spans="7:17">
      <c r="G18" t="s">
        <v>37</v>
      </c>
      <c r="I18" s="8">
        <v>2027</v>
      </c>
      <c r="J18" s="8" t="s">
        <v>16</v>
      </c>
      <c r="K18" s="8">
        <v>1</v>
      </c>
      <c r="L18" s="54">
        <f t="shared" si="0"/>
        <v>41978.6845008447</v>
      </c>
      <c r="Q18" s="26">
        <v>72.75644492</v>
      </c>
    </row>
    <row r="19" spans="7:17">
      <c r="G19" t="s">
        <v>37</v>
      </c>
      <c r="I19" s="8">
        <v>2028</v>
      </c>
      <c r="J19" s="8" t="s">
        <v>16</v>
      </c>
      <c r="K19" s="8">
        <v>1</v>
      </c>
      <c r="L19" s="54">
        <f t="shared" si="0"/>
        <v>40753.5103730313</v>
      </c>
      <c r="Q19" s="26">
        <v>70.63300263</v>
      </c>
    </row>
    <row r="20" spans="7:17">
      <c r="G20" t="s">
        <v>37</v>
      </c>
      <c r="I20" s="8">
        <v>2029</v>
      </c>
      <c r="J20" s="8" t="s">
        <v>16</v>
      </c>
      <c r="K20" s="8">
        <v>1</v>
      </c>
      <c r="L20" s="54">
        <f t="shared" si="0"/>
        <v>39483.6863632697</v>
      </c>
      <c r="Q20" s="26">
        <v>68.43217424</v>
      </c>
    </row>
    <row r="21" spans="7:17">
      <c r="G21" t="s">
        <v>37</v>
      </c>
      <c r="I21" s="8">
        <v>2030</v>
      </c>
      <c r="J21" s="8" t="s">
        <v>16</v>
      </c>
      <c r="K21" s="8">
        <v>1</v>
      </c>
      <c r="L21" s="54">
        <f t="shared" si="0"/>
        <v>38148.7302402452</v>
      </c>
      <c r="Q21" s="26">
        <v>66.11846044</v>
      </c>
    </row>
    <row r="22" spans="7:17">
      <c r="G22" t="s">
        <v>37</v>
      </c>
      <c r="I22" s="8">
        <v>2031</v>
      </c>
      <c r="J22" s="8" t="s">
        <v>16</v>
      </c>
      <c r="K22" s="8">
        <v>1</v>
      </c>
      <c r="L22" s="54">
        <f t="shared" si="0"/>
        <v>36853.3038495504</v>
      </c>
      <c r="Q22" s="26">
        <v>63.87325862</v>
      </c>
    </row>
    <row r="23" spans="7:17">
      <c r="G23" t="s">
        <v>37</v>
      </c>
      <c r="I23" s="8">
        <v>2032</v>
      </c>
      <c r="J23" s="8" t="s">
        <v>16</v>
      </c>
      <c r="K23" s="8">
        <v>1</v>
      </c>
      <c r="L23" s="54">
        <f t="shared" si="0"/>
        <v>35332.5297393188</v>
      </c>
      <c r="Q23" s="26">
        <v>61.23748956</v>
      </c>
    </row>
    <row r="24" spans="7:17">
      <c r="G24" t="s">
        <v>37</v>
      </c>
      <c r="I24" s="8">
        <v>2033</v>
      </c>
      <c r="J24" s="8" t="s">
        <v>16</v>
      </c>
      <c r="K24" s="8">
        <v>1</v>
      </c>
      <c r="L24" s="54">
        <f t="shared" si="0"/>
        <v>33848.2134401226</v>
      </c>
      <c r="Q24" s="26">
        <v>58.6649083</v>
      </c>
    </row>
    <row r="25" spans="7:17">
      <c r="G25" t="s">
        <v>37</v>
      </c>
      <c r="I25" s="8">
        <v>2034</v>
      </c>
      <c r="J25" s="8" t="s">
        <v>16</v>
      </c>
      <c r="K25" s="8">
        <v>1</v>
      </c>
      <c r="L25" s="54">
        <f t="shared" si="0"/>
        <v>32286.2868367234</v>
      </c>
      <c r="Q25" s="26">
        <v>55.95781473</v>
      </c>
    </row>
    <row r="26" spans="7:18">
      <c r="G26" t="s">
        <v>37</v>
      </c>
      <c r="I26" s="8">
        <v>2035</v>
      </c>
      <c r="J26" s="8" t="s">
        <v>16</v>
      </c>
      <c r="K26" s="8">
        <v>1</v>
      </c>
      <c r="L26" s="54">
        <f t="shared" si="0"/>
        <v>30583.2457867847</v>
      </c>
      <c r="Q26" s="26">
        <v>53.006145</v>
      </c>
      <c r="R26">
        <v>-6.180210064</v>
      </c>
    </row>
    <row r="27" spans="7:18">
      <c r="G27" t="s">
        <v>37</v>
      </c>
      <c r="I27" s="8">
        <v>2036</v>
      </c>
      <c r="J27" s="8" t="s">
        <v>16</v>
      </c>
      <c r="K27" s="8">
        <v>1</v>
      </c>
      <c r="L27" s="54">
        <f t="shared" si="0"/>
        <v>28968.8950646253</v>
      </c>
      <c r="Q27" s="26">
        <v>50.20819121</v>
      </c>
      <c r="R27">
        <v>-8.377055855</v>
      </c>
    </row>
    <row r="28" spans="7:18">
      <c r="G28" t="s">
        <v>37</v>
      </c>
      <c r="I28" s="8">
        <v>2037</v>
      </c>
      <c r="J28" s="8" t="s">
        <v>16</v>
      </c>
      <c r="K28" s="8">
        <v>1</v>
      </c>
      <c r="L28" s="54">
        <f t="shared" si="0"/>
        <v>27666.628173842</v>
      </c>
      <c r="Q28" s="26">
        <v>47.9511336</v>
      </c>
      <c r="R28">
        <v>-10.61957522</v>
      </c>
    </row>
    <row r="29" spans="7:18">
      <c r="G29" t="s">
        <v>37</v>
      </c>
      <c r="I29" s="8">
        <v>2038</v>
      </c>
      <c r="J29" s="8" t="s">
        <v>16</v>
      </c>
      <c r="K29" s="8">
        <v>1</v>
      </c>
      <c r="L29" s="54">
        <f t="shared" si="0"/>
        <v>26332.7044618869</v>
      </c>
      <c r="Q29" s="26">
        <v>45.63920915</v>
      </c>
      <c r="R29">
        <v>-12.81215095</v>
      </c>
    </row>
    <row r="30" spans="7:18">
      <c r="G30" t="s">
        <v>37</v>
      </c>
      <c r="I30" s="8">
        <v>2039</v>
      </c>
      <c r="J30" s="8" t="s">
        <v>16</v>
      </c>
      <c r="K30" s="8">
        <v>1</v>
      </c>
      <c r="L30" s="54">
        <f t="shared" si="0"/>
        <v>25054.5801233038</v>
      </c>
      <c r="Q30" s="26">
        <v>43.42399483</v>
      </c>
      <c r="R30">
        <v>-14.87106076</v>
      </c>
    </row>
    <row r="31" spans="7:18">
      <c r="G31" t="s">
        <v>37</v>
      </c>
      <c r="I31" s="8">
        <v>2040</v>
      </c>
      <c r="J31" s="8" t="s">
        <v>16</v>
      </c>
      <c r="K31" s="8">
        <v>1</v>
      </c>
      <c r="L31" s="54">
        <f t="shared" si="0"/>
        <v>23821.1495629632</v>
      </c>
      <c r="Q31" s="26">
        <v>41.28624269</v>
      </c>
      <c r="R31">
        <v>-16.4795872</v>
      </c>
    </row>
    <row r="32" spans="7:18">
      <c r="G32" t="s">
        <v>37</v>
      </c>
      <c r="I32" s="8">
        <v>2041</v>
      </c>
      <c r="J32" s="8" t="s">
        <v>16</v>
      </c>
      <c r="K32" s="8">
        <v>1</v>
      </c>
      <c r="L32" s="54">
        <f t="shared" si="0"/>
        <v>22587.2771721117</v>
      </c>
      <c r="Q32" s="26">
        <v>39.14772478</v>
      </c>
      <c r="R32">
        <v>-18.44727958</v>
      </c>
    </row>
    <row r="33" spans="7:18">
      <c r="G33" t="s">
        <v>37</v>
      </c>
      <c r="I33" s="8">
        <v>2042</v>
      </c>
      <c r="J33" s="8" t="s">
        <v>16</v>
      </c>
      <c r="K33" s="8">
        <v>1</v>
      </c>
      <c r="L33" s="54">
        <f t="shared" si="0"/>
        <v>21416.1616076499</v>
      </c>
      <c r="Q33" s="26">
        <v>37.11797549</v>
      </c>
      <c r="R33">
        <v>-20.20071619</v>
      </c>
    </row>
    <row r="34" spans="7:18">
      <c r="G34" t="s">
        <v>37</v>
      </c>
      <c r="I34" s="8">
        <v>2043</v>
      </c>
      <c r="J34" s="8" t="s">
        <v>16</v>
      </c>
      <c r="K34" s="8">
        <v>1</v>
      </c>
      <c r="L34" s="54">
        <f t="shared" si="0"/>
        <v>20279.7426885082</v>
      </c>
      <c r="Q34" s="26">
        <v>35.14836159</v>
      </c>
      <c r="R34">
        <v>-22.15722077</v>
      </c>
    </row>
    <row r="35" spans="7:18">
      <c r="G35" t="s">
        <v>37</v>
      </c>
      <c r="I35" s="8">
        <v>2044</v>
      </c>
      <c r="J35" s="8" t="s">
        <v>16</v>
      </c>
      <c r="K35" s="8">
        <v>1</v>
      </c>
      <c r="L35" s="54">
        <f t="shared" si="0"/>
        <v>19235.1705568869</v>
      </c>
      <c r="Q35" s="26">
        <v>33.33793433</v>
      </c>
      <c r="R35">
        <v>-24.34974926</v>
      </c>
    </row>
    <row r="36" spans="7:18">
      <c r="G36" t="s">
        <v>37</v>
      </c>
      <c r="I36" s="8">
        <v>2045</v>
      </c>
      <c r="J36" s="8" t="s">
        <v>16</v>
      </c>
      <c r="K36" s="8">
        <v>1</v>
      </c>
      <c r="L36" s="54">
        <f t="shared" si="0"/>
        <v>18263.7494014033</v>
      </c>
      <c r="Q36" s="26">
        <v>31.65429058</v>
      </c>
      <c r="R36">
        <v>-26.46567382</v>
      </c>
    </row>
    <row r="37" spans="7:18">
      <c r="G37" t="s">
        <v>37</v>
      </c>
      <c r="I37" s="8">
        <v>2046</v>
      </c>
      <c r="J37" s="8" t="s">
        <v>16</v>
      </c>
      <c r="K37" s="8">
        <v>1</v>
      </c>
      <c r="L37" s="54">
        <f t="shared" si="0"/>
        <v>17423.9019009809</v>
      </c>
      <c r="Q37" s="26">
        <v>30.19868712</v>
      </c>
      <c r="R37">
        <v>-28.28177019</v>
      </c>
    </row>
    <row r="38" spans="7:18">
      <c r="G38" t="s">
        <v>37</v>
      </c>
      <c r="I38" s="8">
        <v>2047</v>
      </c>
      <c r="J38" s="8" t="s">
        <v>16</v>
      </c>
      <c r="K38" s="8">
        <v>1</v>
      </c>
      <c r="L38" s="54">
        <f t="shared" si="0"/>
        <v>16471.8257581471</v>
      </c>
      <c r="Q38" s="26">
        <v>28.54857168</v>
      </c>
      <c r="R38">
        <v>-30.10375906</v>
      </c>
    </row>
    <row r="39" spans="7:18">
      <c r="G39" t="s">
        <v>37</v>
      </c>
      <c r="I39" s="8">
        <v>2048</v>
      </c>
      <c r="J39" s="8" t="s">
        <v>16</v>
      </c>
      <c r="K39" s="8">
        <v>1</v>
      </c>
      <c r="L39" s="54">
        <f t="shared" si="0"/>
        <v>15682.1397786921</v>
      </c>
      <c r="Q39" s="26">
        <v>27.17990696</v>
      </c>
      <c r="R39">
        <v>-31.88349658</v>
      </c>
    </row>
    <row r="40" spans="7:18">
      <c r="G40" t="s">
        <v>37</v>
      </c>
      <c r="I40" s="8">
        <v>2049</v>
      </c>
      <c r="J40" s="8" t="s">
        <v>16</v>
      </c>
      <c r="K40" s="8">
        <v>1</v>
      </c>
      <c r="L40" s="54">
        <f t="shared" si="0"/>
        <v>14980.1320774114</v>
      </c>
      <c r="Q40" s="26">
        <v>25.96320412</v>
      </c>
      <c r="R40">
        <v>-33.64222028</v>
      </c>
    </row>
    <row r="41" spans="7:18">
      <c r="G41" t="s">
        <v>37</v>
      </c>
      <c r="I41" s="8">
        <v>2050</v>
      </c>
      <c r="J41" s="8" t="s">
        <v>16</v>
      </c>
      <c r="K41" s="8">
        <v>1</v>
      </c>
      <c r="L41" s="54">
        <f t="shared" si="0"/>
        <v>14356.1082892643</v>
      </c>
      <c r="Q41" s="26">
        <v>24.88166112</v>
      </c>
      <c r="R41">
        <v>-35.44024209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9" workbookViewId="0">
      <selection activeCell="O20" sqref="O20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7" max="17" width="12.8181818181818"/>
    <col min="18" max="18" width="14"/>
  </cols>
  <sheetData>
    <row r="1" spans="1:1">
      <c r="A1" s="8" t="s">
        <v>38</v>
      </c>
    </row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2"/>
    </row>
    <row r="11" spans="2:17">
      <c r="B11" s="8" t="s">
        <v>39</v>
      </c>
      <c r="G11" t="s">
        <v>40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40</v>
      </c>
      <c r="I12" s="8">
        <v>2021</v>
      </c>
      <c r="J12" s="8" t="s">
        <v>16</v>
      </c>
      <c r="K12" s="8">
        <v>1</v>
      </c>
      <c r="L12" s="54">
        <f>Q12*1000*34.9/(38.5+34.9)*1.1</f>
        <v>45591.8408852575</v>
      </c>
      <c r="Q12" s="26">
        <v>87.16960461</v>
      </c>
    </row>
    <row r="13" spans="7:17">
      <c r="G13" t="s">
        <v>40</v>
      </c>
      <c r="I13" s="8">
        <v>2022</v>
      </c>
      <c r="J13" s="8" t="s">
        <v>16</v>
      </c>
      <c r="K13" s="8">
        <v>1</v>
      </c>
      <c r="L13" s="54">
        <f t="shared" ref="L13:L41" si="0">Q13*1000*34.9/(38.5+34.9)*1.1</f>
        <v>42850.5219710613</v>
      </c>
      <c r="Q13" s="26">
        <v>81.92832281</v>
      </c>
    </row>
    <row r="14" spans="7:17">
      <c r="G14" t="s">
        <v>40</v>
      </c>
      <c r="I14" s="8">
        <v>2023</v>
      </c>
      <c r="J14" s="8" t="s">
        <v>16</v>
      </c>
      <c r="K14" s="8">
        <v>1</v>
      </c>
      <c r="L14" s="54">
        <f t="shared" si="0"/>
        <v>42382.3088488542</v>
      </c>
      <c r="Q14" s="26">
        <v>81.03311981</v>
      </c>
    </row>
    <row r="15" spans="7:17">
      <c r="G15" t="s">
        <v>40</v>
      </c>
      <c r="I15" s="8">
        <v>2024</v>
      </c>
      <c r="J15" s="8" t="s">
        <v>16</v>
      </c>
      <c r="K15" s="8">
        <v>1</v>
      </c>
      <c r="L15" s="54">
        <f t="shared" si="0"/>
        <v>41430.006247342</v>
      </c>
      <c r="Q15" s="26">
        <v>79.21235891</v>
      </c>
    </row>
    <row r="16" spans="7:17">
      <c r="G16" t="s">
        <v>40</v>
      </c>
      <c r="I16" s="8">
        <v>2025</v>
      </c>
      <c r="J16" s="8" t="s">
        <v>16</v>
      </c>
      <c r="K16" s="8">
        <v>1</v>
      </c>
      <c r="L16" s="54">
        <f t="shared" si="0"/>
        <v>40248.4417301281</v>
      </c>
      <c r="Q16" s="26">
        <v>76.95325926</v>
      </c>
    </row>
    <row r="17" spans="7:17">
      <c r="G17" t="s">
        <v>40</v>
      </c>
      <c r="I17" s="8">
        <v>2026</v>
      </c>
      <c r="J17" s="8" t="s">
        <v>16</v>
      </c>
      <c r="K17" s="8">
        <v>1</v>
      </c>
      <c r="L17" s="54">
        <f t="shared" si="0"/>
        <v>39181.0623472766</v>
      </c>
      <c r="Q17" s="26">
        <v>74.91247659</v>
      </c>
    </row>
    <row r="18" spans="7:17">
      <c r="G18" t="s">
        <v>40</v>
      </c>
      <c r="I18" s="8">
        <v>2027</v>
      </c>
      <c r="J18" s="8" t="s">
        <v>16</v>
      </c>
      <c r="K18" s="8">
        <v>1</v>
      </c>
      <c r="L18" s="54">
        <f t="shared" si="0"/>
        <v>38053.4049111553</v>
      </c>
      <c r="Q18" s="26">
        <v>72.75644492</v>
      </c>
    </row>
    <row r="19" spans="7:17">
      <c r="G19" t="s">
        <v>40</v>
      </c>
      <c r="I19" s="8">
        <v>2028</v>
      </c>
      <c r="J19" s="8" t="s">
        <v>16</v>
      </c>
      <c r="K19" s="8">
        <v>1</v>
      </c>
      <c r="L19" s="54">
        <f t="shared" si="0"/>
        <v>36942.7925199687</v>
      </c>
      <c r="Q19" s="26">
        <v>70.63300263</v>
      </c>
    </row>
    <row r="20" spans="7:17">
      <c r="G20" t="s">
        <v>40</v>
      </c>
      <c r="I20" s="8">
        <v>2029</v>
      </c>
      <c r="J20" s="8" t="s">
        <v>16</v>
      </c>
      <c r="K20" s="8">
        <v>1</v>
      </c>
      <c r="L20" s="54">
        <f t="shared" si="0"/>
        <v>35791.7053007302</v>
      </c>
      <c r="Q20" s="26">
        <v>68.43217424</v>
      </c>
    </row>
    <row r="21" spans="7:17">
      <c r="G21" t="s">
        <v>40</v>
      </c>
      <c r="I21" s="8">
        <v>2030</v>
      </c>
      <c r="J21" s="8" t="s">
        <v>16</v>
      </c>
      <c r="K21" s="8">
        <v>1</v>
      </c>
      <c r="L21" s="54">
        <f t="shared" si="0"/>
        <v>34581.5762437548</v>
      </c>
      <c r="Q21" s="26">
        <v>66.11846044</v>
      </c>
    </row>
    <row r="22" spans="7:17">
      <c r="G22" t="s">
        <v>40</v>
      </c>
      <c r="I22" s="8">
        <v>2031</v>
      </c>
      <c r="J22" s="8" t="s">
        <v>16</v>
      </c>
      <c r="K22" s="8">
        <v>1</v>
      </c>
      <c r="L22" s="54">
        <f t="shared" si="0"/>
        <v>33407.2806324496</v>
      </c>
      <c r="Q22" s="26">
        <v>63.87325862</v>
      </c>
    </row>
    <row r="23" spans="7:17">
      <c r="G23" t="s">
        <v>40</v>
      </c>
      <c r="I23" s="8">
        <v>2032</v>
      </c>
      <c r="J23" s="8" t="s">
        <v>16</v>
      </c>
      <c r="K23" s="8">
        <v>1</v>
      </c>
      <c r="L23" s="54">
        <f t="shared" si="0"/>
        <v>32028.7087766812</v>
      </c>
      <c r="Q23" s="26">
        <v>61.23748956</v>
      </c>
    </row>
    <row r="24" spans="7:17">
      <c r="G24" t="s">
        <v>40</v>
      </c>
      <c r="I24" s="8">
        <v>2033</v>
      </c>
      <c r="J24" s="8" t="s">
        <v>16</v>
      </c>
      <c r="K24" s="8">
        <v>1</v>
      </c>
      <c r="L24" s="54">
        <f t="shared" si="0"/>
        <v>30683.1856898774</v>
      </c>
      <c r="Q24" s="26">
        <v>58.6649083</v>
      </c>
    </row>
    <row r="25" spans="7:17">
      <c r="G25" t="s">
        <v>40</v>
      </c>
      <c r="I25" s="8">
        <v>2034</v>
      </c>
      <c r="J25" s="8" t="s">
        <v>16</v>
      </c>
      <c r="K25" s="8">
        <v>1</v>
      </c>
      <c r="L25" s="54">
        <f t="shared" si="0"/>
        <v>29267.3093662766</v>
      </c>
      <c r="Q25" s="26">
        <v>55.95781473</v>
      </c>
    </row>
    <row r="26" spans="7:18">
      <c r="G26" t="s">
        <v>40</v>
      </c>
      <c r="I26" s="8">
        <v>2035</v>
      </c>
      <c r="J26" s="8" t="s">
        <v>16</v>
      </c>
      <c r="K26" s="8">
        <v>1</v>
      </c>
      <c r="L26" s="54">
        <f t="shared" si="0"/>
        <v>27723.5137132153</v>
      </c>
      <c r="Q26" s="26">
        <v>53.006145</v>
      </c>
      <c r="R26">
        <v>-6.180210064</v>
      </c>
    </row>
    <row r="27" spans="7:18">
      <c r="G27" t="s">
        <v>40</v>
      </c>
      <c r="I27" s="8">
        <v>2036</v>
      </c>
      <c r="J27" s="8" t="s">
        <v>16</v>
      </c>
      <c r="K27" s="8">
        <v>1</v>
      </c>
      <c r="L27" s="54">
        <f t="shared" si="0"/>
        <v>26260.1152663747</v>
      </c>
      <c r="Q27" s="26">
        <v>50.20819121</v>
      </c>
      <c r="R27">
        <v>-8.377055855</v>
      </c>
    </row>
    <row r="28" spans="7:18">
      <c r="G28" t="s">
        <v>40</v>
      </c>
      <c r="I28" s="8">
        <v>2037</v>
      </c>
      <c r="J28" s="8" t="s">
        <v>16</v>
      </c>
      <c r="K28" s="8">
        <v>1</v>
      </c>
      <c r="L28" s="54">
        <f t="shared" si="0"/>
        <v>25079.618786158</v>
      </c>
      <c r="Q28" s="26">
        <v>47.9511336</v>
      </c>
      <c r="R28">
        <v>-10.61957522</v>
      </c>
    </row>
    <row r="29" spans="7:18">
      <c r="G29" t="s">
        <v>40</v>
      </c>
      <c r="I29" s="8">
        <v>2038</v>
      </c>
      <c r="J29" s="8" t="s">
        <v>16</v>
      </c>
      <c r="K29" s="8">
        <v>1</v>
      </c>
      <c r="L29" s="54">
        <f t="shared" si="0"/>
        <v>23870.4256031131</v>
      </c>
      <c r="Q29" s="26">
        <v>45.63920915</v>
      </c>
      <c r="R29">
        <v>-12.81215095</v>
      </c>
    </row>
    <row r="30" spans="7:18">
      <c r="G30" t="s">
        <v>40</v>
      </c>
      <c r="I30" s="8">
        <v>2039</v>
      </c>
      <c r="J30" s="8" t="s">
        <v>16</v>
      </c>
      <c r="K30" s="8">
        <v>1</v>
      </c>
      <c r="L30" s="54">
        <f t="shared" si="0"/>
        <v>22711.8141896962</v>
      </c>
      <c r="Q30" s="26">
        <v>43.42399483</v>
      </c>
      <c r="R30">
        <v>-14.87106076</v>
      </c>
    </row>
    <row r="31" spans="7:18">
      <c r="G31" t="s">
        <v>40</v>
      </c>
      <c r="I31" s="8">
        <v>2040</v>
      </c>
      <c r="J31" s="8" t="s">
        <v>16</v>
      </c>
      <c r="K31" s="8">
        <v>1</v>
      </c>
      <c r="L31" s="54">
        <f t="shared" si="0"/>
        <v>21593.7173960368</v>
      </c>
      <c r="Q31" s="26">
        <v>41.28624269</v>
      </c>
      <c r="R31">
        <v>-16.4795872</v>
      </c>
    </row>
    <row r="32" spans="7:18">
      <c r="G32" t="s">
        <v>40</v>
      </c>
      <c r="I32" s="8">
        <v>2041</v>
      </c>
      <c r="J32" s="8" t="s">
        <v>16</v>
      </c>
      <c r="K32" s="8">
        <v>1</v>
      </c>
      <c r="L32" s="54">
        <f t="shared" si="0"/>
        <v>20475.2200858883</v>
      </c>
      <c r="Q32" s="26">
        <v>39.14772478</v>
      </c>
      <c r="R32">
        <v>-18.44727958</v>
      </c>
    </row>
    <row r="33" spans="7:18">
      <c r="G33" t="s">
        <v>40</v>
      </c>
      <c r="I33" s="8">
        <v>2042</v>
      </c>
      <c r="J33" s="8" t="s">
        <v>16</v>
      </c>
      <c r="K33" s="8">
        <v>1</v>
      </c>
      <c r="L33" s="54">
        <f t="shared" si="0"/>
        <v>19413.6114313501</v>
      </c>
      <c r="Q33" s="26">
        <v>37.11797549</v>
      </c>
      <c r="R33">
        <v>-20.20071619</v>
      </c>
    </row>
    <row r="34" spans="7:18">
      <c r="G34" t="s">
        <v>40</v>
      </c>
      <c r="I34" s="8">
        <v>2043</v>
      </c>
      <c r="J34" s="8" t="s">
        <v>16</v>
      </c>
      <c r="K34" s="8">
        <v>1</v>
      </c>
      <c r="L34" s="54">
        <f t="shared" si="0"/>
        <v>18383.4550604918</v>
      </c>
      <c r="Q34" s="26">
        <v>35.14836159</v>
      </c>
      <c r="R34">
        <v>-22.15722077</v>
      </c>
    </row>
    <row r="35" spans="7:18">
      <c r="G35" t="s">
        <v>40</v>
      </c>
      <c r="I35" s="8">
        <v>2044</v>
      </c>
      <c r="J35" s="8" t="s">
        <v>16</v>
      </c>
      <c r="K35" s="8">
        <v>1</v>
      </c>
      <c r="L35" s="54">
        <f t="shared" si="0"/>
        <v>17436.5572061131</v>
      </c>
      <c r="Q35" s="26">
        <v>33.33793433</v>
      </c>
      <c r="R35">
        <v>-24.34974926</v>
      </c>
    </row>
    <row r="36" spans="7:18">
      <c r="G36" t="s">
        <v>40</v>
      </c>
      <c r="I36" s="8">
        <v>2045</v>
      </c>
      <c r="J36" s="8" t="s">
        <v>16</v>
      </c>
      <c r="K36" s="8">
        <v>1</v>
      </c>
      <c r="L36" s="54">
        <f t="shared" si="0"/>
        <v>16555.9702365967</v>
      </c>
      <c r="Q36" s="26">
        <v>31.65429058</v>
      </c>
      <c r="R36">
        <v>-26.46567382</v>
      </c>
    </row>
    <row r="37" spans="7:18">
      <c r="G37" t="s">
        <v>40</v>
      </c>
      <c r="I37" s="8">
        <v>2046</v>
      </c>
      <c r="J37" s="8" t="s">
        <v>16</v>
      </c>
      <c r="K37" s="8">
        <v>1</v>
      </c>
      <c r="L37" s="54">
        <f t="shared" si="0"/>
        <v>15794.6539310191</v>
      </c>
      <c r="Q37" s="26">
        <v>30.19868712</v>
      </c>
      <c r="R37">
        <v>-28.28177019</v>
      </c>
    </row>
    <row r="38" spans="7:18">
      <c r="G38" t="s">
        <v>40</v>
      </c>
      <c r="I38" s="8">
        <v>2047</v>
      </c>
      <c r="J38" s="8" t="s">
        <v>16</v>
      </c>
      <c r="K38" s="8">
        <v>1</v>
      </c>
      <c r="L38" s="54">
        <f t="shared" si="0"/>
        <v>14931.6030898529</v>
      </c>
      <c r="Q38" s="26">
        <v>28.54857168</v>
      </c>
      <c r="R38">
        <v>-30.10375906</v>
      </c>
    </row>
    <row r="39" spans="7:18">
      <c r="G39" t="s">
        <v>40</v>
      </c>
      <c r="I39" s="8">
        <v>2048</v>
      </c>
      <c r="J39" s="8" t="s">
        <v>16</v>
      </c>
      <c r="K39" s="8">
        <v>1</v>
      </c>
      <c r="L39" s="54">
        <f t="shared" si="0"/>
        <v>14215.7578773079</v>
      </c>
      <c r="Q39" s="26">
        <v>27.17990696</v>
      </c>
      <c r="R39">
        <v>-31.88349658</v>
      </c>
    </row>
    <row r="40" spans="7:18">
      <c r="G40" t="s">
        <v>40</v>
      </c>
      <c r="I40" s="8">
        <v>2049</v>
      </c>
      <c r="J40" s="8" t="s">
        <v>16</v>
      </c>
      <c r="K40" s="8">
        <v>1</v>
      </c>
      <c r="L40" s="54">
        <f t="shared" si="0"/>
        <v>13579.3924545886</v>
      </c>
      <c r="Q40" s="26">
        <v>25.96320412</v>
      </c>
      <c r="R40">
        <v>-33.64222028</v>
      </c>
    </row>
    <row r="41" spans="7:18">
      <c r="G41" t="s">
        <v>40</v>
      </c>
      <c r="I41" s="8">
        <v>2050</v>
      </c>
      <c r="J41" s="8" t="s">
        <v>16</v>
      </c>
      <c r="K41" s="8">
        <v>1</v>
      </c>
      <c r="L41" s="54">
        <f t="shared" si="0"/>
        <v>13013.7189427357</v>
      </c>
      <c r="Q41" s="26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P24" sqref="P24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</row>
    <row r="11" spans="2:19">
      <c r="B11" s="8" t="s">
        <v>43</v>
      </c>
      <c r="D11" s="1" t="s">
        <v>44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1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1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5684.425942</v>
      </c>
      <c r="N26" s="8"/>
      <c r="O26" s="8"/>
      <c r="P26" s="10"/>
      <c r="R26" s="8"/>
      <c r="S26" s="10"/>
    </row>
    <row r="27" spans="4:19">
      <c r="D27" s="1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8146.644488</v>
      </c>
      <c r="N27" s="8"/>
      <c r="O27" s="8"/>
      <c r="P27" s="10"/>
      <c r="R27" s="8"/>
      <c r="S27" s="10"/>
    </row>
    <row r="28" spans="4:19">
      <c r="D28" s="1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</v>
      </c>
      <c r="N28" s="8"/>
      <c r="O28" s="8"/>
      <c r="P28" s="10"/>
      <c r="R28" s="8"/>
      <c r="S28" s="10"/>
    </row>
    <row r="29" spans="4:19">
      <c r="D29" s="1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1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15027.70215</v>
      </c>
      <c r="N30" s="8"/>
      <c r="O30" s="8"/>
      <c r="P30" s="10"/>
      <c r="R30" s="8"/>
      <c r="S30" s="10"/>
    </row>
    <row r="31" spans="4:19">
      <c r="D31" s="1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1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19076.60605</v>
      </c>
      <c r="N32" s="8"/>
      <c r="O32" s="8"/>
      <c r="P32" s="10"/>
      <c r="R32" s="8"/>
      <c r="S32" s="10"/>
    </row>
    <row r="33" spans="4:19">
      <c r="D33" s="1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</v>
      </c>
      <c r="N33" s="8"/>
      <c r="O33" s="8"/>
      <c r="P33" s="10"/>
      <c r="R33" s="8"/>
      <c r="S33" s="10"/>
    </row>
    <row r="34" spans="4:19">
      <c r="D34" s="1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1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25072.1844</v>
      </c>
      <c r="N35" s="8"/>
      <c r="O35" s="8"/>
      <c r="P35" s="10"/>
      <c r="R35" s="8"/>
      <c r="S35" s="10"/>
    </row>
    <row r="36" spans="4:19">
      <c r="D36" s="1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</v>
      </c>
      <c r="N36" s="8"/>
      <c r="O36" s="8"/>
      <c r="P36" s="10"/>
      <c r="R36" s="8"/>
      <c r="S36" s="10"/>
    </row>
    <row r="37" spans="4:19">
      <c r="D37" s="1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1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</v>
      </c>
      <c r="N38" s="8"/>
      <c r="O38" s="8"/>
      <c r="P38" s="10"/>
      <c r="R38" s="8"/>
      <c r="S38" s="10"/>
    </row>
    <row r="39" spans="4:19">
      <c r="D39" s="1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32479.89663</v>
      </c>
      <c r="N39" s="8"/>
      <c r="O39" s="8"/>
      <c r="P39" s="10"/>
      <c r="R39" s="8"/>
      <c r="S39" s="10"/>
    </row>
    <row r="40" spans="4:19">
      <c r="D40" s="1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</v>
      </c>
      <c r="N40" s="8"/>
      <c r="O40" s="8"/>
      <c r="P40" s="10"/>
      <c r="R40" s="8"/>
      <c r="S40" s="10"/>
    </row>
    <row r="41" spans="4:19">
      <c r="D41" s="1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36015.28864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SNKCO2_DAC (2)</vt:lpstr>
      <vt:lpstr>AllStorageOrUse_TECH</vt:lpstr>
      <vt:lpstr>IMPOIL_BND</vt:lpstr>
      <vt:lpstr>IMPGAS_BND</vt:lpstr>
      <vt:lpstr>Bound_on_ele</vt:lpstr>
      <vt:lpstr>Bound_on_ele (2)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2025-03-04T21:36:40Z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