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/>
  </bookViews>
  <sheets>
    <sheet name="ELC_BulkEES_4h" sheetId="25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<sst xmlns="http://schemas.openxmlformats.org/spreadsheetml/2006/main" count="307" uniqueCount="126">
  <si>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</si>
  <si>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</si>
  <si>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</si>
  <si>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*We change all the Cap2Act to 1 after rechecking the definition for CAP2ACT</t>
  </si>
  <si>
    <t>*Use the characteristic for PS with 4-hour capacity to stand for that of seasonal regulation capacity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</si>
  <si>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</si>
  <si>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</si>
  <si>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</si>
  <si>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</si>
  <si>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</si>
  <si>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</si>
  <si>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</si>
  <si>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</si>
  <si>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</si>
  <si>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</si>
  <si>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</si>
  <si>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</si>
  <si>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</si>
  <si>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</si>
  <si>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</si>
  <si>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</si>
  <si>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</si>
  <si>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</si>
  <si>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VAROM~2020</t>
  </si>
  <si>
    <t>Cap2Act</t>
  </si>
  <si>
    <t>FLO_COST</t>
  </si>
  <si>
    <t>FLO_DELIV</t>
  </si>
  <si>
    <t>EFF</t>
  </si>
  <si>
    <t>ACTBND</t>
  </si>
  <si>
    <t>NCAP_AFC</t>
  </si>
  <si>
    <r>
      <rPr>
        <sz val="10"/>
        <rFont val="Arial"/>
        <charset val="134"/>
      </rPr>
      <t>PRC_RESID</t>
    </r>
    <r>
      <rPr>
        <sz val="10"/>
        <rFont val="Arial"/>
        <charset val="134"/>
      </rPr>
      <t xml:space="preserve"> </t>
    </r>
  </si>
  <si>
    <t>NCAP_BND~UP~2035</t>
  </si>
  <si>
    <t>NCAP_BND~UP~0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</si>
  <si>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</si>
  <si>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</si>
  <si>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</si>
  <si>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</si>
  <si>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</si>
  <si>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</si>
  <si>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</si>
  <si>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</si>
  <si>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</si>
  <si>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</si>
  <si>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</si>
  <si>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ELC</t>
  </si>
  <si>
    <t>*</t>
  </si>
  <si>
    <t>DUMSTOR</t>
  </si>
  <si>
    <t>*Because it's shown that all co2 is from DUMDCAES, which is unnormal</t>
  </si>
  <si>
    <t>ELCGAS</t>
  </si>
  <si>
    <t>DUMDCAESS_NEW</t>
  </si>
  <si>
    <t>~FI_Process</t>
  </si>
  <si>
    <t>DCAES</t>
  </si>
  <si>
    <t>Sets</t>
  </si>
  <si>
    <t>TechDesc</t>
  </si>
  <si>
    <t>Tact</t>
  </si>
  <si>
    <t>Tcap</t>
  </si>
  <si>
    <t>Tslvl</t>
  </si>
  <si>
    <t>PrimaryCG</t>
  </si>
  <si>
    <t>Vintage</t>
  </si>
  <si>
    <t>CAES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</si>
  <si>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</si>
  <si>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</si>
  <si>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</si>
  <si>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</si>
  <si>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</si>
  <si>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</si>
  <si>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</si>
  <si>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</si>
  <si>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HPS</t>
  </si>
  <si>
    <t>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</si>
  <si>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</si>
  <si>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</si>
  <si>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</si>
  <si>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</si>
  <si>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</si>
  <si>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</si>
  <si>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ESTCAESS102_4h</t>
  </si>
  <si>
    <t>Adiabatic CAES ELC Storage: DayNite</t>
  </si>
  <si>
    <t>lead-acid</t>
  </si>
  <si>
    <t>ESTHYDPS101_4h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</si>
  <si>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</si>
  <si>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t>li-ion</t>
  </si>
  <si>
    <t>ESTBATS101_4h</t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</si>
  <si>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</si>
  <si>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ESTBATS102_4h</t>
  </si>
  <si>
    <t>Battery (Li-ion) Bulk ELC Storage: DayNite: 4hour duration</t>
  </si>
  <si>
    <t>ESTBATS103_4h</t>
  </si>
  <si>
    <t>Battery (NaS) Bulk ELC Storage: DayNite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</si>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</sst>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</numFmts>
  <fonts count="121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2"/>
      <color rgb="FFFF0000"/>
      <name val="Arial"/>
      <charset val="134"/>
    </font>
    <font>
      <b/>
      <sz val="14"/>
      <color rgb="FFFF0000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/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49" fontId="33" fillId="0" borderId="14" applyNumberFormat="0" applyFont="0" applyFill="0" applyBorder="0" applyProtection="0">
      <alignment horizontal="left" vertical="center" indent="2"/>
    </xf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50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4" fillId="52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6" fillId="44" borderId="0" applyBorder="0" applyAlignment="0"/>
    <xf numFmtId="0" fontId="33" fillId="44" borderId="0" applyBorder="0">
      <alignment horizontal="right" vertical="center"/>
    </xf>
    <xf numFmtId="0" fontId="33" fillId="4" borderId="0" applyBorder="0">
      <alignment horizontal="right" vertical="center"/>
    </xf>
    <xf numFmtId="0" fontId="33" fillId="4" borderId="0" applyBorder="0">
      <alignment horizontal="right" vertical="center"/>
    </xf>
    <xf numFmtId="0" fontId="37" fillId="4" borderId="14">
      <alignment horizontal="right" vertical="center"/>
    </xf>
    <xf numFmtId="0" fontId="38" fillId="4" borderId="14">
      <alignment horizontal="right" vertical="center"/>
    </xf>
    <xf numFmtId="0" fontId="37" fillId="45" borderId="14">
      <alignment horizontal="right" vertical="center"/>
    </xf>
    <xf numFmtId="0" fontId="37" fillId="45" borderId="14">
      <alignment horizontal="right" vertical="center"/>
    </xf>
    <xf numFmtId="0" fontId="37" fillId="45" borderId="15">
      <alignment horizontal="right" vertical="center"/>
    </xf>
    <xf numFmtId="0" fontId="37" fillId="45" borderId="16">
      <alignment horizontal="right" vertical="center"/>
    </xf>
    <xf numFmtId="0" fontId="37" fillId="45" borderId="17">
      <alignment horizontal="right" vertical="center"/>
    </xf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9" fillId="62" borderId="18" applyNumberFormat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6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1" fillId="62" borderId="19" applyNumberFormat="0" applyAlignment="0" applyProtection="0"/>
    <xf numFmtId="0" fontId="42" fillId="45" borderId="19" applyNumberFormat="0" applyAlignment="0" applyProtection="0"/>
    <xf numFmtId="4" fontId="36" fillId="0" borderId="20" applyFill="0" applyBorder="0" applyProtection="0">
      <alignment horizontal="right" vertical="center"/>
    </xf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8" fillId="0" borderId="0" applyNumberFormat="0" applyFill="0" applyBorder="0" applyAlignment="0" applyProtection="0"/>
    <xf numFmtId="49" fontId="0" fillId="44" borderId="25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9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3" fillId="45" borderId="26">
      <alignment horizontal="left" vertical="center" wrapText="1" indent="2"/>
    </xf>
    <xf numFmtId="0" fontId="33" fillId="0" borderId="26">
      <alignment horizontal="left" vertical="center" wrapText="1" indent="2"/>
    </xf>
    <xf numFmtId="0" fontId="33" fillId="4" borderId="16">
      <alignment horizontal="left" vertical="center"/>
    </xf>
    <xf numFmtId="0" fontId="37" fillId="0" borderId="27">
      <alignment horizontal="left" vertical="top" wrapText="1"/>
    </xf>
    <xf numFmtId="3" fontId="51" fillId="0" borderId="25">
      <alignment horizontal="right" vertical="top"/>
    </xf>
    <xf numFmtId="0" fontId="52" fillId="45" borderId="19" applyNumberFormat="0" applyAlignment="0" applyProtection="0"/>
    <xf numFmtId="0" fontId="53" fillId="64" borderId="21" applyNumberFormat="0" applyAlignment="0" applyProtection="0"/>
    <xf numFmtId="0" fontId="54" fillId="0" borderId="5"/>
    <xf numFmtId="0" fontId="2" fillId="54" borderId="14">
      <alignment horizontal="centerContinuous" vertical="top" wrapText="1"/>
    </xf>
    <xf numFmtId="0" fontId="55" fillId="0" borderId="0">
      <alignment vertical="top" wrapText="1"/>
    </xf>
    <xf numFmtId="0" fontId="56" fillId="0" borderId="28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2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2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73" fillId="11" borderId="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73" fillId="11" borderId="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4" fontId="33" fillId="0" borderId="0" applyBorder="0">
      <alignment horizontal="right" vertical="center"/>
    </xf>
    <xf numFmtId="0" fontId="33" fillId="0" borderId="14">
      <alignment horizontal="right" vertical="center"/>
    </xf>
    <xf numFmtId="1" fontId="74" fillId="4" borderId="0" applyBorder="0">
      <alignment horizontal="right" vertical="center"/>
    </xf>
    <xf numFmtId="0" fontId="31" fillId="48" borderId="33" applyNumberFormat="0" applyFont="0" applyAlignment="0" applyProtection="0"/>
    <xf numFmtId="0" fontId="34" fillId="57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75" fillId="4" borderId="0" applyNumberFormat="0" applyBorder="0" applyAlignment="0" applyProtection="0"/>
    <xf numFmtId="0" fontId="76" fillId="62" borderId="18" applyNumberFormat="0" applyAlignment="0" applyProtection="0"/>
    <xf numFmtId="0" fontId="69" fillId="0" borderId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9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2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3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85" fillId="0" borderId="0">
      <alignment vertical="center"/>
    </xf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5" fillId="0" borderId="0">
      <alignment vertical="center"/>
    </xf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86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87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88" fillId="0" borderId="0"/>
    <xf numFmtId="191" fontId="85" fillId="0" borderId="0">
      <alignment vertical="center"/>
    </xf>
    <xf numFmtId="0" fontId="32" fillId="0" borderId="0"/>
    <xf numFmtId="0" fontId="88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89" fillId="0" borderId="0"/>
    <xf numFmtId="0" fontId="89" fillId="0" borderId="0"/>
    <xf numFmtId="0" fontId="0" fillId="0" borderId="0"/>
    <xf numFmtId="0" fontId="8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90" fillId="0" borderId="0"/>
    <xf numFmtId="0" fontId="89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0"/>
    <xf numFmtId="0" fontId="32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87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1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87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4" fontId="33" fillId="0" borderId="1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14" applyNumberFormat="0" applyFill="0" applyAlignment="0" applyProtection="0"/>
    <xf numFmtId="0" fontId="0" fillId="64" borderId="0" applyNumberFormat="0" applyFont="0" applyBorder="0" applyAlignment="0" applyProtection="0"/>
    <xf numFmtId="0" fontId="0" fillId="0" borderId="0"/>
    <xf numFmtId="0" fontId="0" fillId="0" borderId="0"/>
    <xf numFmtId="0" fontId="92" fillId="0" borderId="0"/>
    <xf numFmtId="0" fontId="58" fillId="0" borderId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9" fillId="10" borderId="6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192" fontId="93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4" fillId="0" borderId="28" applyNumberFormat="0" applyFill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194" fontId="33" fillId="65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95" fillId="0" borderId="0" applyFont="0" applyFill="0" applyBorder="0" applyAlignment="0" applyProtection="0"/>
    <xf numFmtId="195" fontId="95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96" fillId="42" borderId="0" applyNumberFormat="0" applyBorder="0" applyAlignment="0" applyProtection="0"/>
    <xf numFmtId="0" fontId="40" fillId="4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3" borderId="0" applyNumberFormat="0" applyBorder="0" applyAlignment="0" applyProtection="0"/>
    <xf numFmtId="0" fontId="33" fillId="64" borderId="14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58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2" borderId="19" applyNumberFormat="0" applyAlignment="0" applyProtection="0"/>
    <xf numFmtId="197" fontId="107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08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09" fillId="69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0" borderId="36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1" borderId="14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2" borderId="37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73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55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4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63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95" fillId="0" borderId="0" applyFont="0" applyFill="0" applyBorder="0" applyAlignment="0" applyProtection="0"/>
    <xf numFmtId="0" fontId="77" fillId="0" borderId="3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64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11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58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230910</xdr:colOff>
      <xdr:row>0</xdr:row>
      <xdr:rowOff>34636</xdr:rowOff>
    </xdr:from>
    <xdr:to>
      <xdr:col>35</xdr:col>
      <xdr:colOff>487450</xdr:colOff>
      <xdr:row>38</xdr:row>
      <xdr:rowOff>92421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612205" y="3429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796924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tabSelected="1" zoomScale="70" zoomScaleNormal="70" workbookViewId="0">
      <selection activeCell="A19" sqref="A19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2</v>
      </c>
      <c r="S1" s="1" t="s">
        <v>3</v>
      </c>
    </row>
    <row r="2" ht="15.5" spans="1:16">
      <c r="A2" s="10"/>
      <c r="G2" s="7" t="s">
        <v>4</v>
      </c>
      <c r="P2" s="1" t="s">
        <v>5</v>
      </c>
    </row>
    <row r="3" ht="13" spans="5:27">
      <c r="E3" s="11" t="s">
        <v>6</v>
      </c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70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23</v>
      </c>
      <c r="R4" s="14" t="s">
        <v>24</v>
      </c>
      <c r="S4" s="14" t="s">
        <v>25</v>
      </c>
      <c r="T4" s="14" t="s">
        <v>26</v>
      </c>
      <c r="U4" s="116" t="s">
        <v>27</v>
      </c>
      <c r="V4" s="116" t="s">
        <v>28</v>
      </c>
      <c r="W4" s="116" t="s">
        <v>29</v>
      </c>
      <c r="Y4" s="136" t="s">
        <v>30</v>
      </c>
      <c r="Z4" s="137" t="s">
        <v>31</v>
      </c>
      <c r="AA4" s="137" t="s">
        <v>32</v>
      </c>
    </row>
    <row r="5" ht="38.25" spans="1:27">
      <c r="A5" s="15" t="s">
        <v>33</v>
      </c>
      <c r="B5" s="15" t="s">
        <v>34</v>
      </c>
      <c r="C5" s="15" t="s">
        <v>35</v>
      </c>
      <c r="D5" s="15" t="s">
        <v>36</v>
      </c>
      <c r="E5" s="15" t="s">
        <v>37</v>
      </c>
      <c r="F5" s="16"/>
      <c r="G5" s="16" t="s">
        <v>38</v>
      </c>
      <c r="H5" s="16" t="s">
        <v>39</v>
      </c>
      <c r="I5" s="16"/>
      <c r="J5" s="71"/>
      <c r="K5" s="16"/>
      <c r="L5" s="16"/>
      <c r="M5" s="16" t="s">
        <v>40</v>
      </c>
      <c r="N5" s="16" t="s">
        <v>40</v>
      </c>
      <c r="O5" s="16" t="s">
        <v>40</v>
      </c>
      <c r="P5" s="16" t="s">
        <v>40</v>
      </c>
      <c r="Q5" s="16" t="s">
        <v>41</v>
      </c>
      <c r="R5" s="16"/>
      <c r="S5" s="16" t="s">
        <v>42</v>
      </c>
      <c r="T5" s="16" t="s">
        <v>43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44</v>
      </c>
      <c r="C6" s="17"/>
      <c r="D6" s="17" t="s">
        <v>44</v>
      </c>
      <c r="E6" s="17"/>
      <c r="F6" s="18">
        <v>2020</v>
      </c>
      <c r="G6" s="19">
        <v>60</v>
      </c>
      <c r="H6" s="20">
        <v>0.52</v>
      </c>
      <c r="I6" s="20">
        <f>H6</f>
        <v>0.52</v>
      </c>
      <c r="J6" s="72">
        <v>5</v>
      </c>
      <c r="K6" s="72"/>
      <c r="L6" s="72"/>
      <c r="M6" s="73">
        <f>1181*1.35*45/(45+763)</f>
        <v>88.794245049505</v>
      </c>
      <c r="N6" s="73">
        <f t="shared" ref="N6:N8" si="0">M6*0.4</f>
        <v>35.517698019802</v>
      </c>
      <c r="O6" s="73">
        <f t="shared" ref="O6:O8" si="1"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>
        <v>0</v>
      </c>
      <c r="Z6" s="19">
        <v>0</v>
      </c>
      <c r="AA6" s="19">
        <v>5</v>
      </c>
      <c r="AC6" s="7">
        <f t="shared" ref="AC6:AG6" si="2">M6*1.45</f>
        <v>128.751655321782</v>
      </c>
      <c r="AE6" s="7">
        <f t="shared" si="2"/>
        <v>32.1879138304455</v>
      </c>
      <c r="AF6" s="7">
        <f t="shared" si="2"/>
        <v>0.0968832</v>
      </c>
      <c r="AG6" s="7">
        <f t="shared" si="2"/>
        <v>0</v>
      </c>
    </row>
    <row r="7" spans="1:33">
      <c r="A7" s="17"/>
      <c r="B7" s="17"/>
      <c r="C7" s="17" t="str">
        <f t="shared" ref="C7:C11" si="3">"AUX_"&amp;A6</f>
        <v>AUX_ESTCAESS101_4h</v>
      </c>
      <c r="D7" s="17"/>
      <c r="E7" s="21" t="str">
        <f t="shared" ref="E7:E11" si="4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28" si="5">Q7*1.45</f>
        <v>0</v>
      </c>
    </row>
    <row r="8" spans="1:33">
      <c r="A8" s="22" t="str">
        <f>B48</f>
        <v>ESTCAESS102_4h</v>
      </c>
      <c r="B8" s="22" t="s">
        <v>44</v>
      </c>
      <c r="C8" s="22"/>
      <c r="D8" s="22" t="s">
        <v>44</v>
      </c>
      <c r="E8" s="22"/>
      <c r="F8" s="18">
        <v>2020</v>
      </c>
      <c r="G8" s="23">
        <v>60</v>
      </c>
      <c r="H8" s="24">
        <v>0.52</v>
      </c>
      <c r="I8" s="24">
        <f>H8</f>
        <v>0.52</v>
      </c>
      <c r="J8" s="75">
        <v>5</v>
      </c>
      <c r="K8" s="76"/>
      <c r="L8" s="76"/>
      <c r="M8" s="77">
        <f>M6*66/45</f>
        <v>130.231559405941</v>
      </c>
      <c r="N8" s="73">
        <f t="shared" si="0"/>
        <v>52.0926237623762</v>
      </c>
      <c r="O8" s="73">
        <f t="shared" si="1"/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>
        <v>0</v>
      </c>
      <c r="Z8" s="23"/>
      <c r="AA8" s="23"/>
      <c r="AC8" s="7">
        <f t="shared" ref="AC8:AG8" si="6">M8*1.45</f>
        <v>188.835761138614</v>
      </c>
      <c r="AE8" s="7">
        <f t="shared" si="6"/>
        <v>47.2089402846535</v>
      </c>
      <c r="AF8" s="7">
        <f t="shared" si="6"/>
        <v>0.0968832</v>
      </c>
      <c r="AG8" s="7">
        <f t="shared" si="6"/>
        <v>0</v>
      </c>
    </row>
    <row r="9" spans="1:33">
      <c r="A9" s="22"/>
      <c r="B9" s="22"/>
      <c r="C9" s="22" t="str">
        <f t="shared" si="3"/>
        <v>AUX_ESTCAESS102_4h</v>
      </c>
      <c r="D9" s="22"/>
      <c r="E9" s="21" t="str">
        <f t="shared" si="4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5"/>
        <v>0</v>
      </c>
    </row>
    <row r="10" spans="1:33">
      <c r="A10" s="17" t="str">
        <f>B49</f>
        <v>ESTHYDPS101_4h</v>
      </c>
      <c r="B10" s="17" t="s">
        <v>44</v>
      </c>
      <c r="C10" s="17"/>
      <c r="D10" s="17" t="str">
        <f>B10</f>
        <v>ELC</v>
      </c>
      <c r="E10" s="17"/>
      <c r="F10" s="18">
        <v>2020</v>
      </c>
      <c r="G10" s="19">
        <f>G8</f>
        <v>60</v>
      </c>
      <c r="H10" s="20">
        <v>0.8</v>
      </c>
      <c r="I10" s="20">
        <f>H10</f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>
        <v>0</v>
      </c>
      <c r="Z10" s="19">
        <v>0</v>
      </c>
      <c r="AA10" s="19">
        <v>5</v>
      </c>
      <c r="AC10" s="7">
        <f t="shared" ref="AC10:AC14" si="7">M10*1.45</f>
        <v>453.605123339658</v>
      </c>
      <c r="AE10" s="7">
        <f t="shared" ref="AE10:AE14" si="8">O10*1.45</f>
        <v>453.605123339658</v>
      </c>
      <c r="AG10" s="7">
        <f t="shared" si="5"/>
        <v>0</v>
      </c>
    </row>
    <row r="11" spans="1:33">
      <c r="A11" s="17"/>
      <c r="B11" s="17"/>
      <c r="C11" s="17" t="str">
        <f t="shared" si="3"/>
        <v>AUX_ESTHYDPS101_4h</v>
      </c>
      <c r="D11" s="17"/>
      <c r="E11" s="21" t="str">
        <f t="shared" si="4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5"/>
        <v>0</v>
      </c>
    </row>
    <row r="12" spans="1:33">
      <c r="A12" s="22" t="str">
        <f>B50</f>
        <v>ESTBATS101_4h</v>
      </c>
      <c r="B12" s="22" t="s">
        <v>44</v>
      </c>
      <c r="C12" s="22"/>
      <c r="D12" s="22" t="s">
        <v>44</v>
      </c>
      <c r="E12" s="22"/>
      <c r="F12" s="18">
        <v>2020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>
        <v>0</v>
      </c>
      <c r="Z12" s="23">
        <v>0</v>
      </c>
      <c r="AA12" s="23">
        <v>5</v>
      </c>
      <c r="AC12" s="7">
        <f t="shared" si="7"/>
        <v>1499.55296081277</v>
      </c>
      <c r="AE12" s="7">
        <f t="shared" si="8"/>
        <v>374.888240203193</v>
      </c>
      <c r="AG12" s="7">
        <f t="shared" si="5"/>
        <v>0</v>
      </c>
    </row>
    <row r="13" spans="1:33">
      <c r="A13" s="22"/>
      <c r="B13" s="22"/>
      <c r="C13" s="22" t="str">
        <f t="shared" ref="C13:C17" si="9">"AUX_"&amp;A12</f>
        <v>AUX_ESTBATS101_4h</v>
      </c>
      <c r="D13" s="22"/>
      <c r="E13" s="21" t="str">
        <f t="shared" ref="E13:E17" si="10"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5"/>
        <v>0</v>
      </c>
    </row>
    <row r="14" s="1" customFormat="1" spans="1:33">
      <c r="A14" s="27" t="str">
        <f>B51</f>
        <v>ESTBATS102_4h</v>
      </c>
      <c r="B14" s="27" t="s">
        <v>44</v>
      </c>
      <c r="C14" s="27"/>
      <c r="D14" s="27" t="s">
        <v>44</v>
      </c>
      <c r="E14" s="27"/>
      <c r="F14" s="25">
        <v>2020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6" si="11">M14*0.4</f>
        <v>706.814579439252</v>
      </c>
      <c r="O14" s="80">
        <f t="shared" ref="O14:O16" si="12">M14*0.25</f>
        <v>441.759112149532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>
        <v>0</v>
      </c>
      <c r="Z14" s="25">
        <v>0</v>
      </c>
      <c r="AA14" s="25">
        <v>5</v>
      </c>
      <c r="AC14" s="1">
        <f t="shared" si="7"/>
        <v>2562.20285046729</v>
      </c>
      <c r="AD14" s="1">
        <f>N14*1.45</f>
        <v>1024.88114018692</v>
      </c>
      <c r="AE14" s="1">
        <f t="shared" si="8"/>
        <v>640.550712616822</v>
      </c>
      <c r="AG14" s="1">
        <f t="shared" si="5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5"/>
        <v>0</v>
      </c>
    </row>
    <row r="16" spans="1:33">
      <c r="A16" s="22" t="s">
        <v>45</v>
      </c>
      <c r="B16" s="22" t="s">
        <v>44</v>
      </c>
      <c r="C16" s="22"/>
      <c r="D16" s="22" t="s">
        <v>44</v>
      </c>
      <c r="E16" s="22"/>
      <c r="F16" s="18">
        <v>2020</v>
      </c>
      <c r="G16" s="23" t="e">
        <f>#REF!</f>
        <v>#REF!</v>
      </c>
      <c r="H16" s="24" t="e">
        <f>#REF!</f>
        <v>#REF!</v>
      </c>
      <c r="I16" s="24" t="e">
        <f>H16</f>
        <v>#REF!</v>
      </c>
      <c r="J16" s="75">
        <v>5</v>
      </c>
      <c r="K16" s="76"/>
      <c r="L16" s="76"/>
      <c r="M16" s="80">
        <f>1000*1.35*445/(445+435)*M12/(1214*1.35*(254)/(254+435))</f>
        <v>1168.52488018572</v>
      </c>
      <c r="N16" s="73">
        <f t="shared" si="11"/>
        <v>467.409952074286</v>
      </c>
      <c r="O16" s="73">
        <f t="shared" si="12"/>
        <v>292.131220046429</v>
      </c>
      <c r="P16" s="78"/>
      <c r="Q16" s="118"/>
      <c r="R16" s="119">
        <v>31.54</v>
      </c>
      <c r="S16" s="23"/>
      <c r="T16" s="23"/>
      <c r="U16" s="23"/>
      <c r="V16" s="23"/>
      <c r="W16" s="23"/>
      <c r="Y16" s="129">
        <v>0</v>
      </c>
      <c r="Z16" s="23"/>
      <c r="AA16" s="23"/>
      <c r="AC16" s="7">
        <f>M16*1.45</f>
        <v>1694.36107626929</v>
      </c>
      <c r="AE16" s="7">
        <f>O16*1.45</f>
        <v>423.590269067322</v>
      </c>
      <c r="AG16" s="7">
        <f t="shared" si="5"/>
        <v>0</v>
      </c>
    </row>
    <row r="17" spans="1:33">
      <c r="A17" s="22" t="s">
        <v>45</v>
      </c>
      <c r="B17" s="22"/>
      <c r="C17" s="22" t="str">
        <f t="shared" si="9"/>
        <v>AUX_*</v>
      </c>
      <c r="D17" s="22"/>
      <c r="E17" s="21" t="str">
        <f t="shared" si="10"/>
        <v>AUX_VARSOUT</v>
      </c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  <c r="AG17" s="7">
        <f t="shared" si="5"/>
        <v>0</v>
      </c>
    </row>
    <row r="18" s="2" customFormat="1" spans="1:33">
      <c r="A18" s="29" t="str">
        <f t="shared" ref="A18:A23" si="13">B57</f>
        <v>P_ESTCAESS101_4h</v>
      </c>
      <c r="B18" s="29" t="s">
        <v>46</v>
      </c>
      <c r="C18" s="29"/>
      <c r="D18" s="29" t="str">
        <f t="shared" ref="D18:D23" si="14">B75</f>
        <v>AUX_ESTCAESS101_4h</v>
      </c>
      <c r="E18" s="29"/>
      <c r="F18" s="30">
        <f>F6</f>
        <v>2020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ref="N18:N24" si="15">M18*0.4</f>
        <v>602.2223019802</v>
      </c>
      <c r="O18" s="77">
        <f t="shared" ref="O18:O24" si="16">M18*0.25</f>
        <v>376.388938737625</v>
      </c>
      <c r="P18" s="84">
        <f>16.11*1.35-0.01</f>
        <v>21.7385</v>
      </c>
      <c r="Q18" s="124"/>
      <c r="R18" s="125">
        <v>31.54</v>
      </c>
      <c r="S18" s="124"/>
      <c r="T18" s="124"/>
      <c r="U18" s="126">
        <v>1</v>
      </c>
      <c r="V18" s="126"/>
      <c r="W18" s="126"/>
      <c r="Y18" s="126">
        <v>0</v>
      </c>
      <c r="Z18" s="125">
        <v>0</v>
      </c>
      <c r="AA18" s="125">
        <v>5</v>
      </c>
      <c r="AC18" s="2">
        <f t="shared" ref="AC18:AF18" si="17">M18*1.45</f>
        <v>2183.05584467822</v>
      </c>
      <c r="AE18" s="2">
        <f t="shared" si="17"/>
        <v>545.763961169556</v>
      </c>
      <c r="AF18" s="2">
        <f t="shared" si="17"/>
        <v>31.520825</v>
      </c>
      <c r="AG18" s="2">
        <f t="shared" si="5"/>
        <v>0</v>
      </c>
    </row>
    <row r="19" s="2" customFormat="1" spans="1:33">
      <c r="A19" s="32" t="str">
        <f t="shared" si="13"/>
        <v>P_ESTCAESS102_4h</v>
      </c>
      <c r="B19" s="32" t="s">
        <v>46</v>
      </c>
      <c r="C19" s="32"/>
      <c r="D19" s="32" t="str">
        <f t="shared" si="14"/>
        <v>AUX_ESTCAESS102_4h</v>
      </c>
      <c r="E19" s="32"/>
      <c r="F19" s="33">
        <f>F8</f>
        <v>2020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15"/>
        <v>652.73636138614</v>
      </c>
      <c r="O19" s="77">
        <f t="shared" si="16"/>
        <v>407.960225866338</v>
      </c>
      <c r="P19" s="87">
        <f>16.11*1.35-0.01</f>
        <v>21.7385</v>
      </c>
      <c r="Q19" s="104"/>
      <c r="R19" s="110">
        <v>31.54</v>
      </c>
      <c r="S19" s="104"/>
      <c r="T19" s="104"/>
      <c r="U19" s="126">
        <v>1</v>
      </c>
      <c r="V19" s="126"/>
      <c r="W19" s="126"/>
      <c r="Y19" s="126">
        <v>0</v>
      </c>
      <c r="Z19" s="110"/>
      <c r="AA19" s="110"/>
      <c r="AC19" s="2">
        <f t="shared" ref="AC19:AF19" si="18">M19*1.45</f>
        <v>2366.16931002475</v>
      </c>
      <c r="AE19" s="2">
        <f t="shared" si="18"/>
        <v>591.542327506189</v>
      </c>
      <c r="AF19" s="2">
        <f t="shared" si="18"/>
        <v>31.520825</v>
      </c>
      <c r="AG19" s="2">
        <f t="shared" si="5"/>
        <v>0</v>
      </c>
    </row>
    <row r="20" s="2" customFormat="1" spans="1:33">
      <c r="A20" s="32" t="str">
        <f t="shared" si="13"/>
        <v>P_ESTHYDPS101_4h</v>
      </c>
      <c r="B20" s="32" t="s">
        <v>46</v>
      </c>
      <c r="C20" s="32"/>
      <c r="D20" s="32" t="str">
        <f t="shared" si="14"/>
        <v>AUX_ESTHYDPS101_4h</v>
      </c>
      <c r="E20" s="32"/>
      <c r="F20" s="33">
        <v>2020</v>
      </c>
      <c r="G20" s="33">
        <f>G10</f>
        <v>60</v>
      </c>
      <c r="H20" s="31">
        <v>0.75</v>
      </c>
      <c r="I20" s="31">
        <v>0.75</v>
      </c>
      <c r="J20" s="82">
        <v>5</v>
      </c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>
        <v>1</v>
      </c>
      <c r="V20" s="126"/>
      <c r="W20" s="126"/>
      <c r="Y20" s="126">
        <v>0</v>
      </c>
      <c r="Z20" s="110">
        <v>0</v>
      </c>
      <c r="AA20" s="110">
        <v>5</v>
      </c>
      <c r="AC20" s="2">
        <f t="shared" ref="AC20:AF20" si="19">M20*1.45</f>
        <v>2913.29487666034</v>
      </c>
      <c r="AE20" s="2">
        <f t="shared" si="19"/>
        <v>2913.29487666034</v>
      </c>
      <c r="AF20" s="2">
        <f t="shared" si="19"/>
        <v>55.00575</v>
      </c>
      <c r="AG20" s="2">
        <f t="shared" si="5"/>
        <v>0</v>
      </c>
    </row>
    <row r="21" s="1" customFormat="1" spans="1:33">
      <c r="A21" s="34" t="str">
        <f t="shared" si="13"/>
        <v>P_ESTBATS101_4h</v>
      </c>
      <c r="B21" s="34" t="s">
        <v>46</v>
      </c>
      <c r="C21" s="34"/>
      <c r="D21" s="34" t="str">
        <f t="shared" si="14"/>
        <v>AUX_ESTBATS101_4h</v>
      </c>
      <c r="E21" s="34"/>
      <c r="F21" s="35">
        <f>F12</f>
        <v>2020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si="15"/>
        <v>708.45021770682</v>
      </c>
      <c r="O21" s="80">
        <f t="shared" si="16"/>
        <v>442.781386066762</v>
      </c>
      <c r="P21" s="90">
        <f>7.13*1.35</f>
        <v>9.6255</v>
      </c>
      <c r="Q21" s="127"/>
      <c r="R21" s="128">
        <v>31.54</v>
      </c>
      <c r="S21" s="127"/>
      <c r="T21" s="127"/>
      <c r="U21" s="129">
        <v>1</v>
      </c>
      <c r="V21" s="129"/>
      <c r="W21" s="129"/>
      <c r="Y21" s="126">
        <v>0</v>
      </c>
      <c r="Z21" s="128">
        <v>0</v>
      </c>
      <c r="AA21" s="128">
        <v>5</v>
      </c>
      <c r="AC21" s="1">
        <f t="shared" ref="AC21:AF21" si="20">M21*1.45</f>
        <v>2568.13203918723</v>
      </c>
      <c r="AE21" s="1">
        <f t="shared" si="20"/>
        <v>642.033009796806</v>
      </c>
      <c r="AF21" s="1">
        <f t="shared" si="20"/>
        <v>13.956975</v>
      </c>
      <c r="AG21" s="1">
        <f t="shared" si="5"/>
        <v>0</v>
      </c>
    </row>
    <row r="22" s="1" customFormat="1" spans="1:33">
      <c r="A22" s="34" t="str">
        <f t="shared" si="13"/>
        <v>P_ESTBATS102_4h</v>
      </c>
      <c r="B22" s="34" t="s">
        <v>46</v>
      </c>
      <c r="C22" s="34"/>
      <c r="D22" s="34" t="str">
        <f t="shared" si="14"/>
        <v>AUX_ESTBATS102_4h</v>
      </c>
      <c r="E22" s="34"/>
      <c r="F22" s="35">
        <f>F14</f>
        <v>2020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5"/>
        <v>321.615420560748</v>
      </c>
      <c r="O22" s="80">
        <f t="shared" si="16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>
        <v>1</v>
      </c>
      <c r="V22" s="129"/>
      <c r="W22" s="129"/>
      <c r="Y22" s="126">
        <v>0</v>
      </c>
      <c r="Z22" s="128">
        <v>0</v>
      </c>
      <c r="AA22" s="128">
        <v>5</v>
      </c>
      <c r="AC22" s="1">
        <f t="shared" ref="AC22:AF22" si="21">M22*1.45</f>
        <v>1165.85589953271</v>
      </c>
      <c r="AE22" s="1">
        <f t="shared" si="21"/>
        <v>291.463974883178</v>
      </c>
      <c r="AF22" s="1">
        <f t="shared" si="21"/>
        <v>10.4236875</v>
      </c>
      <c r="AG22" s="1">
        <f t="shared" si="5"/>
        <v>0</v>
      </c>
    </row>
    <row r="23" s="2" customFormat="1" spans="1:33">
      <c r="A23" s="37" t="s">
        <v>45</v>
      </c>
      <c r="B23" s="37" t="s">
        <v>46</v>
      </c>
      <c r="C23" s="37"/>
      <c r="D23" s="37" t="str">
        <f t="shared" si="14"/>
        <v>AUX_ESTBATS103_4h</v>
      </c>
      <c r="E23" s="37"/>
      <c r="F23" s="38">
        <f>F16</f>
        <v>2020</v>
      </c>
      <c r="G23" s="38" t="e">
        <f>G16</f>
        <v>#REF!</v>
      </c>
      <c r="H23" s="31"/>
      <c r="I23" s="31"/>
      <c r="J23" s="85"/>
      <c r="K23" s="37"/>
      <c r="L23" s="37"/>
      <c r="M23" s="92">
        <f>1000*1.35*435/(445+435)*M12/(1214*1.35*(254)/(254+435))</f>
        <v>1142.26589411413</v>
      </c>
      <c r="N23" s="77">
        <f t="shared" si="15"/>
        <v>456.906357645651</v>
      </c>
      <c r="O23" s="77">
        <f t="shared" si="16"/>
        <v>285.566473528532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>
        <v>1</v>
      </c>
      <c r="V23" s="126"/>
      <c r="W23" s="126"/>
      <c r="Y23" s="126">
        <v>0</v>
      </c>
      <c r="Z23" s="131"/>
      <c r="AA23" s="131"/>
      <c r="AC23" s="2">
        <f t="shared" ref="AC23:AF23" si="22">M23*1.45</f>
        <v>1656.28554646548</v>
      </c>
      <c r="AE23" s="2">
        <f t="shared" si="22"/>
        <v>414.071386616371</v>
      </c>
      <c r="AF23" s="2">
        <f t="shared" si="22"/>
        <v>15.1625755287009</v>
      </c>
      <c r="AG23" s="2">
        <f t="shared" si="5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44</v>
      </c>
      <c r="E24" s="22"/>
      <c r="F24" s="23">
        <v>2020</v>
      </c>
      <c r="G24" s="23">
        <f>G6</f>
        <v>60</v>
      </c>
      <c r="H24" s="39">
        <f>H6-0.05</f>
        <v>0.47</v>
      </c>
      <c r="I24" s="39">
        <f t="shared" ref="I24:I28" si="23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5"/>
        <v>35.517698019802</v>
      </c>
      <c r="O24" s="73">
        <f t="shared" si="16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>
        <v>0</v>
      </c>
      <c r="Z24" s="23"/>
      <c r="AA24" s="23"/>
      <c r="AC24" s="7">
        <f t="shared" ref="AC24:AF24" si="24">M24*1.45</f>
        <v>128.751655321782</v>
      </c>
      <c r="AE24" s="7">
        <f t="shared" si="24"/>
        <v>32.1879138304456</v>
      </c>
      <c r="AF24" s="7">
        <f t="shared" si="24"/>
        <v>0.0968832</v>
      </c>
      <c r="AG24" s="7">
        <f t="shared" si="5"/>
        <v>0</v>
      </c>
    </row>
    <row r="25" spans="1:33">
      <c r="A25" s="22"/>
      <c r="B25" s="22"/>
      <c r="C25" s="22" t="str">
        <f t="shared" ref="C25:C29" si="25">"AUX_"&amp;A24</f>
        <v>AUX_ESTCAESS201</v>
      </c>
      <c r="D25" s="22"/>
      <c r="E25" s="21" t="str">
        <f t="shared" ref="E25:E29" si="26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si="5"/>
        <v>0</v>
      </c>
    </row>
    <row r="26" spans="1:33">
      <c r="A26" s="17" t="str">
        <f>B54</f>
        <v>ESTHYDPS201</v>
      </c>
      <c r="B26" s="17" t="s">
        <v>44</v>
      </c>
      <c r="C26" s="17"/>
      <c r="D26" s="17" t="str">
        <f>B26</f>
        <v>ELC</v>
      </c>
      <c r="E26" s="17"/>
      <c r="F26" s="19">
        <v>2020</v>
      </c>
      <c r="G26" s="19">
        <f t="shared" ref="G26:G30" si="27">G10</f>
        <v>60</v>
      </c>
      <c r="H26" s="20">
        <f t="shared" ref="H26:H30" si="28">H10-0.05</f>
        <v>0.75</v>
      </c>
      <c r="I26" s="20">
        <f t="shared" si="23"/>
        <v>0.75</v>
      </c>
      <c r="J26" s="72">
        <v>5</v>
      </c>
      <c r="K26" s="19"/>
      <c r="L26" s="19"/>
      <c r="M26" s="73">
        <f t="shared" ref="M26:M30" si="29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>
        <v>0</v>
      </c>
      <c r="Z26" s="19"/>
      <c r="AA26" s="19"/>
      <c r="AC26" s="7">
        <f t="shared" ref="AC26:AC30" si="30">M26*1.45</f>
        <v>453.605123339658</v>
      </c>
      <c r="AE26" s="7">
        <f t="shared" ref="AE26:AE30" si="31">O26*1.45</f>
        <v>453.605123339658</v>
      </c>
      <c r="AG26" s="7">
        <f t="shared" si="5"/>
        <v>0</v>
      </c>
    </row>
    <row r="27" spans="1:33">
      <c r="A27" s="17"/>
      <c r="B27" s="17"/>
      <c r="C27" s="17" t="str">
        <f t="shared" si="25"/>
        <v>AUX_ESTHYDPS201</v>
      </c>
      <c r="D27" s="17"/>
      <c r="E27" s="21" t="str">
        <f t="shared" si="26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5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2020</v>
      </c>
      <c r="G28" s="23">
        <f t="shared" si="27"/>
        <v>12</v>
      </c>
      <c r="H28" s="40">
        <f t="shared" si="28"/>
        <v>0.66</v>
      </c>
      <c r="I28" s="20">
        <f t="shared" si="23"/>
        <v>0.66</v>
      </c>
      <c r="J28" s="95">
        <v>5</v>
      </c>
      <c r="K28" s="23"/>
      <c r="L28" s="23"/>
      <c r="M28" s="77">
        <f t="shared" si="29"/>
        <v>1034.17445573295</v>
      </c>
      <c r="N28" s="73">
        <f t="shared" ref="N28:N30" si="32">M28*0.4</f>
        <v>413.669782293179</v>
      </c>
      <c r="O28" s="73">
        <f t="shared" ref="O28:O30" si="33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>
        <v>0</v>
      </c>
      <c r="Z28" s="23"/>
      <c r="AA28" s="23"/>
      <c r="AC28" s="7">
        <f t="shared" si="30"/>
        <v>1499.55296081277</v>
      </c>
      <c r="AE28" s="7">
        <f t="shared" si="31"/>
        <v>374.888240203193</v>
      </c>
      <c r="AG28" s="7">
        <f t="shared" si="5"/>
        <v>0</v>
      </c>
    </row>
    <row r="29" spans="1:27">
      <c r="A29" s="22"/>
      <c r="B29" s="22"/>
      <c r="C29" s="22" t="str">
        <f t="shared" si="25"/>
        <v>AUX_ESTBATS201</v>
      </c>
      <c r="D29" s="22"/>
      <c r="E29" s="21" t="str">
        <f t="shared" si="26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44</v>
      </c>
      <c r="C30" s="17"/>
      <c r="D30" s="17" t="s">
        <v>44</v>
      </c>
      <c r="E30" s="17"/>
      <c r="F30" s="19">
        <v>2020</v>
      </c>
      <c r="G30" s="19">
        <f t="shared" si="27"/>
        <v>15</v>
      </c>
      <c r="H30" s="20">
        <f t="shared" si="28"/>
        <v>0.78</v>
      </c>
      <c r="I30" s="20">
        <f>H30</f>
        <v>0.78</v>
      </c>
      <c r="J30" s="72">
        <v>5</v>
      </c>
      <c r="K30" s="19"/>
      <c r="L30" s="19"/>
      <c r="M30" s="73">
        <f t="shared" si="29"/>
        <v>1767.03644859813</v>
      </c>
      <c r="N30" s="73">
        <f t="shared" si="32"/>
        <v>706.814579439252</v>
      </c>
      <c r="O30" s="73">
        <f t="shared" si="33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>
        <v>0</v>
      </c>
      <c r="Z30" s="19"/>
      <c r="AA30" s="19"/>
      <c r="AC30" s="7">
        <f t="shared" si="30"/>
        <v>2562.20285046729</v>
      </c>
      <c r="AE30" s="7">
        <f t="shared" si="31"/>
        <v>640.550712616822</v>
      </c>
      <c r="AG30" s="7">
        <f>Q30*1.45</f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4">B63</f>
        <v>P_ESTCAESS201</v>
      </c>
      <c r="B32" s="27" t="s">
        <v>46</v>
      </c>
      <c r="C32" s="27"/>
      <c r="D32" s="27" t="str">
        <f t="shared" ref="D32:D35" si="35">B81</f>
        <v>AUX_ESTCAESS201</v>
      </c>
      <c r="E32" s="27"/>
      <c r="F32" s="35">
        <f>F24</f>
        <v>2020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ref="N32:N35" si="36">M32*0.4</f>
        <v>602.222301980198</v>
      </c>
      <c r="O32" s="73">
        <f t="shared" ref="O32:O35" si="37">M32*0.25</f>
        <v>376.388938737624</v>
      </c>
      <c r="P32" s="81">
        <f>P18</f>
        <v>21.7385</v>
      </c>
      <c r="R32" s="25">
        <v>31.54</v>
      </c>
      <c r="U32" s="1">
        <v>1</v>
      </c>
      <c r="Y32" s="126">
        <v>0</v>
      </c>
      <c r="Z32" s="25"/>
      <c r="AA32" s="25"/>
      <c r="AC32" s="1">
        <f t="shared" ref="AC32:AG32" si="38">M32*1.45</f>
        <v>2183.05584467822</v>
      </c>
      <c r="AE32" s="1">
        <f t="shared" si="38"/>
        <v>545.763961169554</v>
      </c>
      <c r="AF32" s="1">
        <f t="shared" si="38"/>
        <v>31.520825</v>
      </c>
      <c r="AG32" s="1">
        <f t="shared" si="38"/>
        <v>0</v>
      </c>
    </row>
    <row r="33" s="1" customFormat="1" spans="1:33">
      <c r="A33" s="27" t="str">
        <f t="shared" si="34"/>
        <v>P_ESTHYDPS201</v>
      </c>
      <c r="B33" s="27" t="s">
        <v>46</v>
      </c>
      <c r="C33" s="27"/>
      <c r="D33" s="27" t="str">
        <f t="shared" si="35"/>
        <v>AUX_ESTHYDPS201</v>
      </c>
      <c r="E33" s="27"/>
      <c r="F33" s="35">
        <f>F26</f>
        <v>2020</v>
      </c>
      <c r="G33" s="35">
        <f>G20</f>
        <v>60</v>
      </c>
      <c r="H33" s="41">
        <v>0.75</v>
      </c>
      <c r="I33" s="20">
        <v>0.75</v>
      </c>
      <c r="J33" s="96">
        <v>5</v>
      </c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9">P20</f>
        <v>37.935</v>
      </c>
      <c r="R33" s="25">
        <v>31.54</v>
      </c>
      <c r="U33" s="1">
        <v>1</v>
      </c>
      <c r="Y33" s="126">
        <v>0</v>
      </c>
      <c r="Z33" s="25"/>
      <c r="AA33" s="25"/>
      <c r="AC33" s="1">
        <f t="shared" ref="AC33:AG33" si="40">M33*1.45</f>
        <v>2913.29487666034</v>
      </c>
      <c r="AE33" s="1">
        <f t="shared" si="40"/>
        <v>2913.29487666034</v>
      </c>
      <c r="AF33" s="1">
        <f t="shared" si="40"/>
        <v>55.00575</v>
      </c>
      <c r="AG33" s="1">
        <f t="shared" si="40"/>
        <v>0</v>
      </c>
    </row>
    <row r="34" s="1" customFormat="1" spans="1:33">
      <c r="A34" s="27" t="str">
        <f t="shared" si="34"/>
        <v>P_ESTBATS201</v>
      </c>
      <c r="B34" s="27" t="s">
        <v>46</v>
      </c>
      <c r="C34" s="27"/>
      <c r="D34" s="27" t="str">
        <f t="shared" si="35"/>
        <v>AUX_ESTBATS201</v>
      </c>
      <c r="E34" s="27"/>
      <c r="F34" s="35">
        <f>F28</f>
        <v>2020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 t="shared" si="36"/>
        <v>708.450217706822</v>
      </c>
      <c r="O34" s="73">
        <f t="shared" si="37"/>
        <v>442.781386066763</v>
      </c>
      <c r="P34" s="81">
        <f t="shared" si="39"/>
        <v>9.6255</v>
      </c>
      <c r="R34" s="25">
        <v>31.54</v>
      </c>
      <c r="U34" s="1">
        <v>1</v>
      </c>
      <c r="Y34" s="126">
        <v>0</v>
      </c>
      <c r="Z34" s="25"/>
      <c r="AA34" s="25"/>
      <c r="AC34" s="1">
        <f t="shared" ref="AC34:AG34" si="41">M34*1.45</f>
        <v>2568.13203918723</v>
      </c>
      <c r="AE34" s="1">
        <f t="shared" si="41"/>
        <v>642.033009796807</v>
      </c>
      <c r="AF34" s="1">
        <f t="shared" si="41"/>
        <v>13.956975</v>
      </c>
      <c r="AG34" s="1">
        <f t="shared" si="41"/>
        <v>0</v>
      </c>
    </row>
    <row r="35" s="1" customFormat="1" spans="1:33">
      <c r="A35" s="42" t="str">
        <f t="shared" si="34"/>
        <v>P_ESTBATS202</v>
      </c>
      <c r="B35" s="42" t="s">
        <v>46</v>
      </c>
      <c r="C35" s="42"/>
      <c r="D35" s="42" t="str">
        <f t="shared" si="35"/>
        <v>AUX_ESTBATS202</v>
      </c>
      <c r="E35" s="42"/>
      <c r="F35" s="43">
        <f>F30</f>
        <v>2020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 t="shared" si="36"/>
        <v>174</v>
      </c>
      <c r="O35" s="73">
        <f t="shared" si="37"/>
        <v>108.75</v>
      </c>
      <c r="P35" s="97">
        <f t="shared" si="39"/>
        <v>7.18875</v>
      </c>
      <c r="Q35" s="132"/>
      <c r="R35" s="133">
        <v>31.54</v>
      </c>
      <c r="S35" s="132"/>
      <c r="T35" s="132"/>
      <c r="U35" s="1">
        <v>1</v>
      </c>
      <c r="Y35" s="126">
        <v>0</v>
      </c>
      <c r="Z35" s="133"/>
      <c r="AA35" s="133"/>
      <c r="AC35" s="1">
        <f t="shared" ref="AC35:AG35" si="42">M35*1.45</f>
        <v>630.75</v>
      </c>
      <c r="AE35" s="1">
        <f t="shared" si="42"/>
        <v>157.6875</v>
      </c>
      <c r="AF35" s="1">
        <f t="shared" si="42"/>
        <v>10.4236875</v>
      </c>
      <c r="AG35" s="1">
        <f t="shared" si="42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46</v>
      </c>
      <c r="E36" s="45"/>
      <c r="F36" s="46">
        <v>2020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44</v>
      </c>
      <c r="C37" s="17"/>
      <c r="D37" s="17"/>
      <c r="E37" s="17"/>
      <c r="F37" s="48">
        <v>2020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47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48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49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 t="s">
        <v>50</v>
      </c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 t="s">
        <v>51</v>
      </c>
      <c r="AA44" s="138">
        <f>M6+M12</f>
        <v>1122.96870078246</v>
      </c>
      <c r="AB44" s="138">
        <f>N6+N12</f>
        <v>449.187480312981</v>
      </c>
      <c r="AC44" s="138">
        <f>O6+O12</f>
        <v>280.742175195613</v>
      </c>
      <c r="AD44" s="139"/>
      <c r="AE44" s="139">
        <f>AVERAGE(AA44:AA49)</f>
        <v>1496.43943267681</v>
      </c>
      <c r="AF44" s="139">
        <f>AVERAGE(AB44:AB49)</f>
        <v>636.115507416075</v>
      </c>
      <c r="AG44" s="139">
        <f>AVERAGE(AC44:AC49)</f>
        <v>421.034526100891</v>
      </c>
    </row>
    <row r="45" ht="13" spans="1:33">
      <c r="A45" s="54" t="s">
        <v>52</v>
      </c>
      <c r="B45" s="54" t="s">
        <v>7</v>
      </c>
      <c r="C45" s="54" t="s">
        <v>53</v>
      </c>
      <c r="D45" s="54" t="s">
        <v>54</v>
      </c>
      <c r="E45" s="54" t="s">
        <v>55</v>
      </c>
      <c r="F45" s="54" t="s">
        <v>56</v>
      </c>
      <c r="G45" s="54" t="s">
        <v>57</v>
      </c>
      <c r="H45" s="54" t="s">
        <v>58</v>
      </c>
      <c r="I45" s="106"/>
      <c r="J45" s="107"/>
      <c r="P45" s="23"/>
      <c r="Q45" s="51"/>
      <c r="Z45" s="69" t="s">
        <v>59</v>
      </c>
      <c r="AA45" s="138">
        <f>M8+M19</f>
        <v>1762.07246287129</v>
      </c>
      <c r="AB45" s="138">
        <f>N8+N19</f>
        <v>704.828985148516</v>
      </c>
      <c r="AC45" s="138">
        <f>O8+O19</f>
        <v>440.518115717823</v>
      </c>
      <c r="AD45" s="139"/>
      <c r="AE45" s="139"/>
      <c r="AF45" s="139"/>
      <c r="AG45" s="139"/>
    </row>
    <row r="46" ht="25.75" spans="1:33">
      <c r="A46" s="55" t="s">
        <v>60</v>
      </c>
      <c r="B46" s="55" t="s">
        <v>61</v>
      </c>
      <c r="C46" s="55" t="s">
        <v>62</v>
      </c>
      <c r="D46" s="55" t="s">
        <v>63</v>
      </c>
      <c r="E46" s="55" t="s">
        <v>64</v>
      </c>
      <c r="F46" s="55" t="s">
        <v>65</v>
      </c>
      <c r="G46" s="55" t="s">
        <v>66</v>
      </c>
      <c r="H46" s="55" t="s">
        <v>67</v>
      </c>
      <c r="I46" s="108"/>
      <c r="J46" s="109"/>
      <c r="M46" s="104"/>
      <c r="N46" s="104"/>
      <c r="O46" s="110"/>
      <c r="P46" s="51"/>
      <c r="Z46" s="69" t="s">
        <v>68</v>
      </c>
      <c r="AA46" s="138">
        <f>M10+M16</f>
        <v>1481.35599973031</v>
      </c>
      <c r="AB46" s="138">
        <f>N10+N16</f>
        <v>780.241071618878</v>
      </c>
      <c r="AC46" s="138">
        <f>O10+O16</f>
        <v>604.962339591021</v>
      </c>
      <c r="AD46" s="139"/>
      <c r="AE46" s="139"/>
      <c r="AF46" s="139"/>
      <c r="AG46" s="139"/>
    </row>
    <row r="47" ht="15.5" spans="1:33">
      <c r="A47" s="56" t="s">
        <v>69</v>
      </c>
      <c r="B47" s="57" t="s">
        <v>70</v>
      </c>
      <c r="C47" s="56" t="s">
        <v>71</v>
      </c>
      <c r="D47" s="58" t="s">
        <v>72</v>
      </c>
      <c r="E47" s="59" t="s">
        <v>73</v>
      </c>
      <c r="F47" s="58" t="s">
        <v>74</v>
      </c>
      <c r="G47" s="58" t="s">
        <v>75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69</v>
      </c>
      <c r="B48" s="57" t="s">
        <v>76</v>
      </c>
      <c r="C48" s="56" t="s">
        <v>77</v>
      </c>
      <c r="D48" s="58" t="s">
        <v>72</v>
      </c>
      <c r="E48" s="59" t="s">
        <v>73</v>
      </c>
      <c r="F48" s="58" t="s">
        <v>74</v>
      </c>
      <c r="G48" s="58" t="s">
        <v>75</v>
      </c>
      <c r="H48" s="57"/>
      <c r="I48" s="57"/>
      <c r="J48" s="113"/>
      <c r="K48" s="22"/>
      <c r="M48" s="104"/>
      <c r="Z48" s="69" t="s">
        <v>78</v>
      </c>
      <c r="AA48" s="140">
        <v>1638.9</v>
      </c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69</v>
      </c>
      <c r="B49" s="57" t="s">
        <v>79</v>
      </c>
      <c r="C49" s="57" t="s">
        <v>80</v>
      </c>
      <c r="D49" s="58" t="s">
        <v>72</v>
      </c>
      <c r="E49" s="59" t="s">
        <v>73</v>
      </c>
      <c r="F49" s="58" t="s">
        <v>74</v>
      </c>
      <c r="G49" s="58" t="s">
        <v>75</v>
      </c>
      <c r="H49" s="57"/>
      <c r="I49" s="57"/>
      <c r="J49" s="113"/>
      <c r="K49" s="22"/>
      <c r="M49" s="104"/>
      <c r="N49" s="114"/>
      <c r="O49" s="110"/>
      <c r="P49" s="51"/>
      <c r="Z49" s="141" t="s">
        <v>81</v>
      </c>
      <c r="AA49" s="140">
        <v>1476.9</v>
      </c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69</v>
      </c>
      <c r="B50" s="61" t="s">
        <v>82</v>
      </c>
      <c r="C50" s="61" t="s">
        <v>83</v>
      </c>
      <c r="D50" s="62" t="s">
        <v>72</v>
      </c>
      <c r="E50" s="59" t="s">
        <v>73</v>
      </c>
      <c r="F50" s="62" t="s">
        <v>74</v>
      </c>
      <c r="G50" s="58" t="s">
        <v>75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69</v>
      </c>
      <c r="B51" s="61" t="s">
        <v>84</v>
      </c>
      <c r="C51" s="61" t="s">
        <v>85</v>
      </c>
      <c r="D51" s="62" t="s">
        <v>72</v>
      </c>
      <c r="E51" s="59" t="s">
        <v>73</v>
      </c>
      <c r="F51" s="62" t="s">
        <v>74</v>
      </c>
      <c r="G51" s="58" t="s">
        <v>75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69</v>
      </c>
      <c r="B52" s="63" t="s">
        <v>86</v>
      </c>
      <c r="C52" s="63" t="s">
        <v>87</v>
      </c>
      <c r="D52" s="64" t="s">
        <v>72</v>
      </c>
      <c r="E52" s="59" t="s">
        <v>73</v>
      </c>
      <c r="F52" s="64" t="s">
        <v>74</v>
      </c>
      <c r="G52" s="58" t="s">
        <v>75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69</v>
      </c>
      <c r="B53" s="57" t="s">
        <v>88</v>
      </c>
      <c r="C53" s="56" t="s">
        <v>89</v>
      </c>
      <c r="D53" s="58" t="s">
        <v>72</v>
      </c>
      <c r="E53" s="59" t="s">
        <v>73</v>
      </c>
      <c r="F53" s="58" t="s">
        <v>90</v>
      </c>
      <c r="G53" s="58" t="s">
        <v>75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69</v>
      </c>
      <c r="B54" s="57" t="s">
        <v>91</v>
      </c>
      <c r="C54" s="57" t="s">
        <v>92</v>
      </c>
      <c r="D54" s="58" t="s">
        <v>72</v>
      </c>
      <c r="E54" s="59" t="s">
        <v>73</v>
      </c>
      <c r="F54" s="58" t="s">
        <v>90</v>
      </c>
      <c r="G54" s="58" t="s">
        <v>75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69</v>
      </c>
      <c r="B55" s="61" t="s">
        <v>93</v>
      </c>
      <c r="C55" s="61" t="s">
        <v>94</v>
      </c>
      <c r="D55" s="62" t="s">
        <v>72</v>
      </c>
      <c r="E55" s="59" t="s">
        <v>73</v>
      </c>
      <c r="F55" s="58" t="s">
        <v>90</v>
      </c>
      <c r="G55" s="58" t="s">
        <v>75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69</v>
      </c>
      <c r="B56" s="63" t="s">
        <v>95</v>
      </c>
      <c r="C56" s="63" t="s">
        <v>96</v>
      </c>
      <c r="D56" s="64" t="s">
        <v>72</v>
      </c>
      <c r="E56" s="59" t="s">
        <v>73</v>
      </c>
      <c r="F56" s="58" t="s">
        <v>90</v>
      </c>
      <c r="G56" s="58" t="s">
        <v>75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97</v>
      </c>
      <c r="B57" s="57" t="str">
        <f t="shared" ref="B57:B66" si="43">"P_"&amp;B47</f>
        <v>P_ESTCAESS101_4h</v>
      </c>
      <c r="C57" s="56" t="str">
        <f t="shared" ref="C57:C66" si="44">C47&amp;" (accompanying tech to represent power)"</f>
        <v>Diabatic CAES ELC Storage: DayNite---Compressed Air Energy Storage (accompanying tech to represent power)</v>
      </c>
      <c r="D57" s="58" t="s">
        <v>72</v>
      </c>
      <c r="E57" s="57" t="s">
        <v>73</v>
      </c>
      <c r="F57" s="58" t="s">
        <v>74</v>
      </c>
      <c r="G57" s="58" t="s">
        <v>75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97</v>
      </c>
      <c r="B58" s="57" t="str">
        <f t="shared" si="43"/>
        <v>P_ESTCAESS102_4h</v>
      </c>
      <c r="C58" s="56" t="str">
        <f t="shared" si="44"/>
        <v>Adiabatic CAES ELC Storage: DayNite (accompanying tech to represent power)</v>
      </c>
      <c r="D58" s="58" t="s">
        <v>72</v>
      </c>
      <c r="E58" s="57" t="s">
        <v>73</v>
      </c>
      <c r="F58" s="58" t="s">
        <v>74</v>
      </c>
      <c r="G58" s="58" t="s">
        <v>75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97</v>
      </c>
      <c r="B59" s="61" t="str">
        <f t="shared" si="43"/>
        <v>P_ESTHYDPS101_4h</v>
      </c>
      <c r="C59" s="66" t="str">
        <f t="shared" si="44"/>
        <v>Pumped Hydro ELC Storage: DayNite (accompanying tech to represent power)</v>
      </c>
      <c r="D59" s="62" t="s">
        <v>72</v>
      </c>
      <c r="E59" s="61" t="s">
        <v>73</v>
      </c>
      <c r="F59" s="62" t="s">
        <v>74</v>
      </c>
      <c r="G59" s="58" t="s">
        <v>75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97</v>
      </c>
      <c r="B60" s="67" t="str">
        <f t="shared" si="43"/>
        <v>P_ESTBATS101_4h</v>
      </c>
      <c r="C60" s="67" t="str">
        <f t="shared" si="44"/>
        <v>Battery (Lead-acid) Bulk ELC Storage: DayNite (accompanying tech to represent power)</v>
      </c>
      <c r="D60" s="62" t="s">
        <v>72</v>
      </c>
      <c r="E60" s="61" t="s">
        <v>73</v>
      </c>
      <c r="F60" s="62" t="s">
        <v>74</v>
      </c>
      <c r="G60" s="58" t="s">
        <v>75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97</v>
      </c>
      <c r="B61" s="67" t="str">
        <f t="shared" si="43"/>
        <v>P_ESTBATS102_4h</v>
      </c>
      <c r="C61" s="67" t="str">
        <f t="shared" si="44"/>
        <v>Battery (Li-ion) Bulk ELC Storage: DayNite: 4hour duration (accompanying tech to represent power)</v>
      </c>
      <c r="D61" s="62" t="s">
        <v>72</v>
      </c>
      <c r="E61" s="61" t="s">
        <v>73</v>
      </c>
      <c r="F61" s="62" t="s">
        <v>74</v>
      </c>
      <c r="G61" s="58" t="s">
        <v>75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97</v>
      </c>
      <c r="B62" s="67" t="str">
        <f t="shared" si="43"/>
        <v>P_ESTBATS103_4h</v>
      </c>
      <c r="C62" s="67" t="str">
        <f t="shared" si="44"/>
        <v>Battery (NaS) Bulk ELC Storage: DayNite (accompanying tech to represent power)</v>
      </c>
      <c r="D62" s="62" t="s">
        <v>72</v>
      </c>
      <c r="E62" s="61" t="s">
        <v>73</v>
      </c>
      <c r="F62" s="62" t="s">
        <v>74</v>
      </c>
      <c r="G62" s="58" t="s">
        <v>75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97</v>
      </c>
      <c r="B63" s="57" t="str">
        <f t="shared" si="43"/>
        <v>P_ESTCAESS201</v>
      </c>
      <c r="C63" s="56" t="str">
        <f t="shared" si="44"/>
        <v>Diabatic CAES ELC Storage: DayNite/Seasonal (accompanying tech to represent power)</v>
      </c>
      <c r="D63" s="58" t="s">
        <v>72</v>
      </c>
      <c r="E63" s="57" t="s">
        <v>73</v>
      </c>
      <c r="F63" s="58" t="s">
        <v>90</v>
      </c>
      <c r="G63" s="58" t="s">
        <v>75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97</v>
      </c>
      <c r="B64" s="61" t="str">
        <f t="shared" si="43"/>
        <v>P_ESTHYDPS201</v>
      </c>
      <c r="C64" s="66" t="str">
        <f t="shared" si="44"/>
        <v>Pumped Hydro ELC Storage: DayNite/Seasonal (accompanying tech to represent power)</v>
      </c>
      <c r="D64" s="62" t="s">
        <v>72</v>
      </c>
      <c r="E64" s="61" t="s">
        <v>73</v>
      </c>
      <c r="F64" s="58" t="s">
        <v>90</v>
      </c>
      <c r="G64" s="58" t="s">
        <v>75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97</v>
      </c>
      <c r="B65" s="67" t="str">
        <f t="shared" si="43"/>
        <v>P_ESTBATS201</v>
      </c>
      <c r="C65" s="67" t="str">
        <f t="shared" si="44"/>
        <v>Battery (Lead-acid) Bulk ELC Storage: DayNite/Seasonal (accompanying tech to represent power)</v>
      </c>
      <c r="D65" s="62" t="s">
        <v>72</v>
      </c>
      <c r="E65" s="61" t="s">
        <v>73</v>
      </c>
      <c r="F65" s="58" t="s">
        <v>90</v>
      </c>
      <c r="G65" s="58" t="s">
        <v>75</v>
      </c>
      <c r="H65" s="61"/>
      <c r="I65" s="61"/>
      <c r="J65" s="85"/>
      <c r="AB65" s="115"/>
      <c r="AE65" s="115"/>
    </row>
    <row r="66" ht="14.5" spans="1:31">
      <c r="A66" s="56" t="s">
        <v>97</v>
      </c>
      <c r="B66" s="142" t="str">
        <f t="shared" si="43"/>
        <v>P_ESTBATS202</v>
      </c>
      <c r="C66" s="142" t="str">
        <f t="shared" si="44"/>
        <v>Battery (Li-ion) Bulk ELC Storage: DayNite/Seasonal (accompanying tech to represent power)</v>
      </c>
      <c r="D66" s="64" t="s">
        <v>72</v>
      </c>
      <c r="E66" s="63" t="s">
        <v>73</v>
      </c>
      <c r="F66" s="58" t="s">
        <v>90</v>
      </c>
      <c r="G66" s="58" t="s">
        <v>75</v>
      </c>
      <c r="H66" s="63"/>
      <c r="I66" s="61"/>
      <c r="J66" s="85"/>
      <c r="AB66" s="115"/>
      <c r="AE66" s="115"/>
    </row>
    <row r="67" ht="14.5" spans="1:28">
      <c r="A67" s="143" t="s">
        <v>97</v>
      </c>
      <c r="B67" s="143" t="s">
        <v>98</v>
      </c>
      <c r="C67" s="143" t="s">
        <v>99</v>
      </c>
      <c r="D67" s="144" t="s">
        <v>72</v>
      </c>
      <c r="E67" s="143" t="s">
        <v>100</v>
      </c>
      <c r="F67" s="144" t="s">
        <v>74</v>
      </c>
      <c r="G67" s="58" t="s">
        <v>75</v>
      </c>
      <c r="H67" s="145"/>
      <c r="I67" s="150"/>
      <c r="J67" s="153"/>
      <c r="AB67" s="115"/>
    </row>
    <row r="68" ht="14.5" spans="1:28">
      <c r="A68" s="61" t="s">
        <v>101</v>
      </c>
      <c r="B68" s="53" t="s">
        <v>102</v>
      </c>
      <c r="C68" s="53" t="s">
        <v>103</v>
      </c>
      <c r="D68" s="62" t="s">
        <v>72</v>
      </c>
      <c r="E68" s="53"/>
      <c r="F68" s="62" t="s">
        <v>74</v>
      </c>
      <c r="G68" s="58" t="s">
        <v>75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 t="s">
        <v>104</v>
      </c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105</v>
      </c>
      <c r="B73" s="147" t="s">
        <v>106</v>
      </c>
      <c r="C73" s="147" t="s">
        <v>107</v>
      </c>
      <c r="D73" s="148" t="s">
        <v>108</v>
      </c>
      <c r="E73" s="148" t="s">
        <v>109</v>
      </c>
      <c r="F73" s="148" t="s">
        <v>110</v>
      </c>
      <c r="G73" s="148" t="s">
        <v>111</v>
      </c>
      <c r="H73" s="148" t="s">
        <v>112</v>
      </c>
      <c r="I73" s="155"/>
      <c r="J73" s="156"/>
      <c r="K73" s="22"/>
      <c r="AB73" s="115"/>
    </row>
    <row r="74" ht="25.75" spans="1:28">
      <c r="A74" s="149" t="s">
        <v>113</v>
      </c>
      <c r="B74" s="149" t="s">
        <v>114</v>
      </c>
      <c r="C74" s="149" t="s">
        <v>115</v>
      </c>
      <c r="D74" s="149" t="s">
        <v>108</v>
      </c>
      <c r="E74" s="149" t="s">
        <v>116</v>
      </c>
      <c r="F74" s="149" t="s">
        <v>117</v>
      </c>
      <c r="G74" s="149" t="s">
        <v>118</v>
      </c>
      <c r="H74" s="149" t="s">
        <v>119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120</v>
      </c>
      <c r="B75" s="57" t="str">
        <f t="shared" ref="B75:B84" si="45">"AUX_"&amp;B47</f>
        <v>AUX_ESTCAESS101_4h</v>
      </c>
      <c r="C75" s="57" t="str">
        <f t="shared" ref="C75:C84" si="46">"Auxiliary input for "&amp;C47</f>
        <v>Auxiliary input for Diabatic CAES ELC Storage: DayNite---Compressed Air Energy Storage</v>
      </c>
      <c r="D75" s="57" t="s">
        <v>72</v>
      </c>
      <c r="E75" s="61" t="s">
        <v>121</v>
      </c>
      <c r="F75" s="57" t="s">
        <v>74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120</v>
      </c>
      <c r="B76" s="57" t="str">
        <f t="shared" si="45"/>
        <v>AUX_ESTCAESS102_4h</v>
      </c>
      <c r="C76" s="57" t="str">
        <f t="shared" si="46"/>
        <v>Auxiliary input for Adiabatic CAES ELC Storage: DayNite</v>
      </c>
      <c r="D76" s="57" t="s">
        <v>72</v>
      </c>
      <c r="E76" s="61" t="s">
        <v>121</v>
      </c>
      <c r="F76" s="57" t="s">
        <v>74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120</v>
      </c>
      <c r="B77" s="57" t="str">
        <f t="shared" si="45"/>
        <v>AUX_ESTHYDPS101_4h</v>
      </c>
      <c r="C77" s="57" t="str">
        <f t="shared" si="46"/>
        <v>Auxiliary input for Pumped Hydro ELC Storage: DayNite</v>
      </c>
      <c r="D77" s="57" t="s">
        <v>72</v>
      </c>
      <c r="E77" s="61" t="s">
        <v>121</v>
      </c>
      <c r="F77" s="57" t="s">
        <v>74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120</v>
      </c>
      <c r="B78" s="57" t="str">
        <f t="shared" si="45"/>
        <v>AUX_ESTBATS101_4h</v>
      </c>
      <c r="C78" s="57" t="str">
        <f t="shared" si="46"/>
        <v>Auxiliary input for Battery (Lead-acid) Bulk ELC Storage: DayNite</v>
      </c>
      <c r="D78" s="57" t="s">
        <v>72</v>
      </c>
      <c r="E78" s="61" t="s">
        <v>121</v>
      </c>
      <c r="F78" s="57" t="s">
        <v>74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120</v>
      </c>
      <c r="B79" s="57" t="str">
        <f t="shared" si="45"/>
        <v>AUX_ESTBATS102_4h</v>
      </c>
      <c r="C79" s="57" t="str">
        <f t="shared" si="46"/>
        <v>Auxiliary input for Battery (Li-ion) Bulk ELC Storage: DayNite: 4hour duration</v>
      </c>
      <c r="D79" s="57" t="s">
        <v>72</v>
      </c>
      <c r="E79" s="61" t="s">
        <v>121</v>
      </c>
      <c r="F79" s="57" t="s">
        <v>74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120</v>
      </c>
      <c r="B80" s="57" t="str">
        <f t="shared" si="45"/>
        <v>AUX_ESTBATS103_4h</v>
      </c>
      <c r="C80" s="57" t="str">
        <f t="shared" si="46"/>
        <v>Auxiliary input for Battery (NaS) Bulk ELC Storage: DayNite</v>
      </c>
      <c r="D80" s="57" t="s">
        <v>72</v>
      </c>
      <c r="E80" s="61" t="s">
        <v>121</v>
      </c>
      <c r="F80" s="57" t="s">
        <v>74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120</v>
      </c>
      <c r="B81" s="57" t="str">
        <f t="shared" si="45"/>
        <v>AUX_ESTCAESS201</v>
      </c>
      <c r="C81" s="57" t="str">
        <f t="shared" si="46"/>
        <v>Auxiliary input for Diabatic CAES ELC Storage: DayNite/Seasonal</v>
      </c>
      <c r="D81" s="57" t="s">
        <v>72</v>
      </c>
      <c r="E81" s="61" t="s">
        <v>121</v>
      </c>
      <c r="F81" s="57" t="s">
        <v>74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120</v>
      </c>
      <c r="B82" s="57" t="str">
        <f t="shared" si="45"/>
        <v>AUX_ESTHYDPS201</v>
      </c>
      <c r="C82" s="57" t="str">
        <f t="shared" si="46"/>
        <v>Auxiliary input for Pumped Hydro ELC Storage: DayNite/Seasonal</v>
      </c>
      <c r="D82" s="57" t="s">
        <v>72</v>
      </c>
      <c r="E82" s="61" t="s">
        <v>121</v>
      </c>
      <c r="F82" s="57" t="s">
        <v>74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120</v>
      </c>
      <c r="B83" s="57" t="str">
        <f t="shared" si="45"/>
        <v>AUX_ESTBATS201</v>
      </c>
      <c r="C83" s="57" t="str">
        <f t="shared" si="46"/>
        <v>Auxiliary input for Battery (Lead-acid) Bulk ELC Storage: DayNite/Seasonal</v>
      </c>
      <c r="D83" s="57" t="s">
        <v>72</v>
      </c>
      <c r="E83" s="61" t="s">
        <v>121</v>
      </c>
      <c r="F83" s="57" t="s">
        <v>74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120</v>
      </c>
      <c r="B84" s="61" t="str">
        <f t="shared" si="45"/>
        <v>AUX_ESTBATS202</v>
      </c>
      <c r="C84" s="61" t="str">
        <f t="shared" si="46"/>
        <v>Auxiliary input for Battery (Li-ion) Bulk ELC Storage: DayNite/Seasonal</v>
      </c>
      <c r="D84" s="61" t="s">
        <v>72</v>
      </c>
      <c r="E84" s="61" t="s">
        <v>121</v>
      </c>
      <c r="F84" s="61" t="s">
        <v>74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120</v>
      </c>
      <c r="B85" s="61" t="s">
        <v>122</v>
      </c>
      <c r="C85" s="61" t="s">
        <v>123</v>
      </c>
      <c r="D85" s="61" t="s">
        <v>72</v>
      </c>
      <c r="E85" s="61" t="s">
        <v>121</v>
      </c>
      <c r="F85" s="61" t="s">
        <v>74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75</v>
      </c>
      <c r="B86" s="151" t="s">
        <v>124</v>
      </c>
      <c r="C86" s="151" t="s">
        <v>125</v>
      </c>
      <c r="D86" s="151" t="s">
        <v>72</v>
      </c>
      <c r="E86" s="152"/>
      <c r="F86" s="151" t="s">
        <v>74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75</v>
      </c>
      <c r="B87" s="44" t="s">
        <v>46</v>
      </c>
      <c r="D87" s="151" t="s">
        <v>72</v>
      </c>
      <c r="F87" s="151" t="s">
        <v>74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ELC_BulkEES_4h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李潇</cp:lastModifiedBy>
  <dcterms:created xsi:type="dcterms:W3CDTF">2005-06-03T09:41:00Z</dcterms:created>
  <dcterms:modified xsi:type="dcterms:W3CDTF">2024-10-01T01:12:40Z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1033-12.2.0.18283</vt:lpwstr>
  </property>
</Properties>
</file>