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activeTab="1"/>
  </bookViews>
  <sheets>
    <sheet name="SUP_HFCandPEM" sheetId="30" r:id="rId1"/>
    <sheet name="SUP_HP" sheetId="21" r:id="rId2"/>
    <sheet name="SUP_HS" sheetId="34" r:id="rId3"/>
    <sheet name="ReferEMI-NOUSE" sheetId="32" r:id="rId4"/>
    <sheet name="!SUP_HD" sheetId="25" r:id="rId5"/>
    <sheet name="INPUT-Data(EUTIMES-HP)" sheetId="23" r:id="rId6"/>
    <sheet name="INPUT-Data(EUTIMES-HD)" sheetId="26" r:id="rId7"/>
  </sheets>
  <externalReferences>
    <externalReference r:id="rId8"/>
  </externalReferences>
  <definedNames>
    <definedName name="FID_1">[1]AGR_Fuels!$A$2</definedName>
    <definedName name="OLE_LINK1" localSheetId="6">'INPUT-Data(EUTIMES-HD)'!$Y$3</definedName>
    <definedName name="OLE_LINK1" localSheetId="5">'INPUT-Data(EUTIMES-HP)'!$C$3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0"/>
          </rPr>
          <t>xli9:</t>
        </r>
        <r>
          <rPr>
            <sz val="9"/>
            <rFont val="Times New Roman"/>
            <charset val="0"/>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Gary Goldstein</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127"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27"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27"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27"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27"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3.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6.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<sst xmlns="http://schemas.openxmlformats.org/spreadsheetml/2006/main" count="1544" uniqueCount="514">
  <si>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</si>
  <si>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</si>
  <si>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</si>
  <si>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</si>
  <si>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</si>
  <si>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</si>
  <si>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</si>
  <si>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</si>
  <si>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</si>
  <si>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</si>
  <si>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</si>
  <si>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</si>
  <si>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</si>
  <si>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</si>
  <si>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</si>
  <si>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</si>
  <si>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</si>
  <si>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</si>
  <si>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</si>
  <si>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</si>
  <si>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</si>
  <si>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</si>
  <si>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</si>
  <si>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</si>
  <si>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</si>
  <si>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</si>
  <si>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</si>
  <si>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</si>
  <si>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</si>
  <si>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</si>
  <si>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</si>
  <si>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</si>
  <si>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</si>
  <si>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</si>
  <si>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</si>
  <si>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</si>
  <si>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</si>
  <si>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ELC</t>
  </si>
  <si>
    <t>VAROM~2020</t>
  </si>
  <si>
    <t>VAROM~2030</t>
  </si>
  <si>
    <t>VAROM~2050</t>
  </si>
  <si>
    <t>Output</t>
  </si>
  <si>
    <t>CAD/GJ</t>
  </si>
  <si>
    <t>SELCH2PEM01</t>
  </si>
  <si>
    <t>SYNH2CT</t>
  </si>
  <si>
    <t>HYDROGENCO2N</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</si>
  <si>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</si>
  <si>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</si>
  <si>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</si>
  <si>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</si>
  <si>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</si>
  <si>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</si>
  <si>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</si>
  <si>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</si>
  <si>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</si>
  <si>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</si>
  <si>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</si>
  <si>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</si>
  <si>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</si>
  <si>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</si>
  <si>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</si>
  <si>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</si>
  <si>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</si>
  <si>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</si>
  <si>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</si>
  <si>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</si>
  <si>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</si>
  <si>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YES</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</si>
  <si>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</si>
  <si>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</si>
  <si>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</si>
  <si>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</si>
  <si>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</si>
  <si>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</si>
  <si>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</si>
  <si>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</si>
  <si>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</si>
  <si>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</si>
  <si>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</si>
  <si>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</si>
  <si>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</si>
  <si>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</si>
  <si>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</si>
  <si>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</si>
  <si>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</si>
  <si>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Centralized hydrogen (Tank storage)</t>
  </si>
  <si>
    <t>FX</t>
  </si>
  <si>
    <t>DayNite</t>
  </si>
  <si>
    <t>Lifetime</t>
  </si>
  <si>
    <t>Default assumptions of CER, although it is a bit unreasonable</t>
  </si>
  <si>
    <t>Energy consumption and output share, Hydrogen associated co2 emissions all associated to the production processes, and the combustion factors from</t>
  </si>
  <si>
    <t xml:space="preserve">*Hydrogen delivery and electricity delivery/transmission costs have not been considered </t>
  </si>
  <si>
    <t>*The format is infeasible?</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</si>
  <si>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</si>
  <si>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</si>
  <si>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</si>
  <si>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</si>
  <si>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</si>
  <si>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</si>
  <si>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</si>
  <si>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</si>
  <si>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</si>
  <si>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</si>
  <si>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</si>
  <si>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</si>
  <si>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</si>
  <si>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</si>
  <si>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</si>
  <si>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</si>
  <si>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</si>
  <si>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</si>
  <si>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</si>
  <si>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</si>
  <si>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</si>
  <si>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</si>
  <si>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</si>
  <si>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</si>
  <si>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</si>
  <si>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</si>
  <si>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</si>
  <si>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</si>
  <si>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</si>
  <si>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</si>
  <si>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</si>
  <si>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</si>
  <si>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</si>
  <si>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</si>
  <si>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</si>
  <si>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</si>
  <si>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</si>
  <si>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Comm-IN-A</t>
  </si>
  <si>
    <t>START</t>
  </si>
  <si>
    <t>S_EFF</t>
  </si>
  <si>
    <t>FIXOM</t>
  </si>
  <si>
    <t>FLO_COST</t>
  </si>
  <si>
    <t>FLO_DELIV</t>
  </si>
  <si>
    <t>EFF</t>
  </si>
  <si>
    <t>Input Commodity (Aux)</t>
  </si>
  <si>
    <t>%</t>
  </si>
  <si>
    <t>MCAD/PJ</t>
  </si>
  <si>
    <t>Charging Cost</t>
  </si>
  <si>
    <t>Discharging Cost</t>
  </si>
  <si>
    <t>AUX_STH2SUG</t>
  </si>
  <si>
    <t>AUX_STH2SGT</t>
  </si>
  <si>
    <t>P_STH2SUG</t>
  </si>
  <si>
    <t>DUMSTOR</t>
  </si>
  <si>
    <t>P_STH2SLH2</t>
  </si>
  <si>
    <t>AUX_STH2SLH2</t>
  </si>
  <si>
    <t>P_STH2SGT</t>
  </si>
  <si>
    <t>P_STH2SNH3</t>
  </si>
  <si>
    <t>AUX_STH2SNH3</t>
  </si>
  <si>
    <t>STS</t>
  </si>
  <si>
    <t>STH2SUG</t>
  </si>
  <si>
    <t>CGH2 PT: Centralised Hydrogen Underground Storage: DayNite/Seasonal</t>
  </si>
  <si>
    <t>Daynite</t>
  </si>
  <si>
    <t>STH2SLH2</t>
  </si>
  <si>
    <t>STH2SGT</t>
  </si>
  <si>
    <t>CGH2 Cavern: Centralised Hydrogen Gas Tank Storage: DayNite/Seasonal</t>
  </si>
  <si>
    <t>STH2SNH3</t>
  </si>
  <si>
    <t>Dummy tech STH2SUG</t>
  </si>
  <si>
    <t>Dummy tech STH2SGT</t>
  </si>
  <si>
    <t>Aux input STH2SUG</t>
  </si>
  <si>
    <t>Aux input STH2SGT</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</si>
  <si>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</si>
  <si>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</si>
  <si>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</si>
  <si>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</si>
  <si>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</si>
  <si>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</si>
  <si>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</si>
  <si>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</si>
  <si>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</si>
  <si>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</si>
  <si>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</si>
  <si>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</si>
  <si>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</si>
  <si>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FIXOM~2021</t>
  </si>
  <si>
    <t>FIXOM~2025</t>
  </si>
  <si>
    <t>VAROM~2021</t>
  </si>
  <si>
    <t>VAROM~2025</t>
  </si>
  <si>
    <t>€/GJ/a</t>
  </si>
  <si>
    <t>€/GJ</t>
  </si>
  <si>
    <t>TRALH2C01</t>
  </si>
  <si>
    <t>CT: includes LSTORB but no USTOR costs</t>
  </si>
  <si>
    <t>TRAGSL</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</si>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</sst>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36">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sz val="11"/>
      <color rgb="FFFF0000"/>
      <name val="Calibri"/>
      <charset val="134"/>
      <scheme val="minor"/>
    </font>
    <font>
      <sz val="11"/>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sz val="10"/>
      <name val="Calibri"/>
      <charset val="134"/>
      <scheme val="minor"/>
    </font>
    <font>
      <sz val="10"/>
      <name val="Arial"/>
      <charset val="134"/>
    </font>
    <font>
      <u/>
      <sz val="11"/>
      <color rgb="FF0000FF"/>
      <name val="Calibri"/>
      <charset val="134"/>
      <scheme val="minor"/>
    </font>
    <font>
      <b/>
      <sz val="12"/>
      <color indexed="53"/>
      <name val="Arial"/>
      <charset val="134"/>
    </font>
    <font>
      <b/>
      <sz val="10"/>
      <name val="Arial"/>
      <charset val="134"/>
    </font>
    <font>
      <i/>
      <sz val="10"/>
      <name val="Arial"/>
      <charset val="134"/>
    </font>
    <font>
      <sz val="10"/>
      <color rgb="FFFF0000"/>
      <name val="Arial"/>
      <charset val="134"/>
    </font>
    <font>
      <b/>
      <sz val="10"/>
      <color rgb="FFFF0000"/>
      <name val="Arial"/>
      <charset val="134"/>
    </font>
    <font>
      <sz val="18"/>
      <color rgb="FFFF0000"/>
      <name val="Arial"/>
      <charset val="134"/>
    </font>
    <font>
      <u/>
      <sz val="11"/>
      <color rgb="FF0000FF"/>
      <name val="Calibri"/>
      <charset val="134"/>
      <scheme val="minor"/>
    </font>
    <font>
      <u/>
      <sz val="11"/>
      <color rgb="FF800080"/>
      <name val="Calibri"/>
      <charset val="134"/>
      <scheme val="minor"/>
    </font>
    <font>
      <sz val="18"/>
      <color rgb="FFFF0000"/>
      <name val="Arial"/>
      <charset val="134"/>
    </font>
    <font>
      <sz val="10"/>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imes New Roman"/>
      <charset val="0"/>
    </font>
    <font>
      <sz val="9"/>
      <name val="Tahoma"/>
      <charset val="134"/>
    </font>
    <font>
      <b/>
      <sz val="9"/>
      <name val="Tahoma"/>
      <charset val="134"/>
    </font>
    <font>
      <sz val="9"/>
      <name val="Times New Roman"/>
      <charset val="134"/>
    </font>
    <font>
      <b/>
      <sz val="9"/>
      <name val="Times New Roman"/>
      <charset val="134"/>
    </font>
    <font>
      <sz val="9"/>
      <name val="Times New Roman"/>
      <charset val="0"/>
    </font>
    <font>
      <sz val="8"/>
      <name val="Tahoma"/>
      <charset val="134"/>
    </font>
    <font>
      <b/>
      <sz val="8"/>
      <name val="Tahoma"/>
      <charset val="134"/>
    </font>
  </fonts>
  <fills count="85">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920651875362"/>
        <bgColor indexed="64"/>
      </patternFill>
    </fill>
    <fill>
      <patternFill patternType="solid">
        <fgColor theme="0" tint="-0.249977111117893"/>
        <bgColor indexed="64"/>
      </patternFill>
    </fill>
    <fill>
      <patternFill patternType="solid">
        <fgColor theme="0"/>
        <bgColor indexed="64"/>
      </patternFill>
    </fill>
    <fill>
      <patternFill patternType="solid">
        <fgColor theme="5" tint="0.799920651875362"/>
        <bgColor indexed="64"/>
      </patternFill>
    </fill>
    <fill>
      <patternFill patternType="solid">
        <fgColor theme="6" tint="0.799920651875362"/>
        <bgColor indexed="64"/>
      </patternFill>
    </fill>
    <fill>
      <patternFill patternType="solid">
        <fgColor theme="8" tint="0.799920651875362"/>
        <bgColor indexed="64"/>
      </patternFill>
    </fill>
    <fill>
      <patternFill patternType="solid">
        <fgColor theme="9"/>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5"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 fillId="18" borderId="29" applyNumberFormat="0" applyFon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30" applyNumberFormat="0" applyFill="0" applyAlignment="0" applyProtection="0">
      <alignment vertical="center"/>
    </xf>
    <xf numFmtId="0" fontId="48" fillId="0" borderId="30" applyNumberFormat="0" applyFill="0" applyAlignment="0" applyProtection="0">
      <alignment vertical="center"/>
    </xf>
    <xf numFmtId="0" fontId="49" fillId="0" borderId="31" applyNumberFormat="0" applyFill="0" applyAlignment="0" applyProtection="0">
      <alignment vertical="center"/>
    </xf>
    <xf numFmtId="0" fontId="49" fillId="0" borderId="0" applyNumberFormat="0" applyFill="0" applyBorder="0" applyAlignment="0" applyProtection="0">
      <alignment vertical="center"/>
    </xf>
    <xf numFmtId="0" fontId="50" fillId="19" borderId="32" applyNumberFormat="0" applyAlignment="0" applyProtection="0">
      <alignment vertical="center"/>
    </xf>
    <xf numFmtId="0" fontId="51" fillId="20" borderId="33" applyNumberFormat="0" applyAlignment="0" applyProtection="0">
      <alignment vertical="center"/>
    </xf>
    <xf numFmtId="0" fontId="52" fillId="20" borderId="32" applyNumberFormat="0" applyAlignment="0" applyProtection="0">
      <alignment vertical="center"/>
    </xf>
    <xf numFmtId="0" fontId="53" fillId="21" borderId="34" applyNumberFormat="0" applyAlignment="0" applyProtection="0">
      <alignment vertical="center"/>
    </xf>
    <xf numFmtId="0" fontId="54" fillId="0" borderId="35" applyNumberFormat="0" applyFill="0" applyAlignment="0" applyProtection="0">
      <alignment vertical="center"/>
    </xf>
    <xf numFmtId="0" fontId="55" fillId="0" borderId="36" applyNumberFormat="0" applyFill="0" applyAlignment="0" applyProtection="0">
      <alignment vertical="center"/>
    </xf>
    <xf numFmtId="0" fontId="56" fillId="22" borderId="0" applyNumberFormat="0" applyBorder="0" applyAlignment="0" applyProtection="0">
      <alignment vertical="center"/>
    </xf>
    <xf numFmtId="0" fontId="57" fillId="23" borderId="0" applyNumberFormat="0" applyBorder="0" applyAlignment="0" applyProtection="0">
      <alignment vertical="center"/>
    </xf>
    <xf numFmtId="0" fontId="58" fillId="24" borderId="0" applyNumberFormat="0" applyBorder="0" applyAlignment="0" applyProtection="0">
      <alignment vertical="center"/>
    </xf>
    <xf numFmtId="0" fontId="7" fillId="2" borderId="0" applyNumberFormat="0" applyBorder="0" applyAlignment="0" applyProtection="0">
      <alignment vertical="center"/>
    </xf>
    <xf numFmtId="0" fontId="59" fillId="25" borderId="0" applyNumberFormat="0" applyBorder="0" applyAlignment="0" applyProtection="0">
      <alignment vertical="center"/>
    </xf>
    <xf numFmtId="0" fontId="59" fillId="26" borderId="0" applyNumberFormat="0" applyBorder="0" applyAlignment="0" applyProtection="0">
      <alignment vertical="center"/>
    </xf>
    <xf numFmtId="0" fontId="60" fillId="27" borderId="0" applyNumberFormat="0" applyBorder="0" applyAlignment="0" applyProtection="0">
      <alignment vertical="center"/>
    </xf>
    <xf numFmtId="0" fontId="60" fillId="28" borderId="0" applyNumberFormat="0" applyBorder="0" applyAlignment="0" applyProtection="0">
      <alignment vertical="center"/>
    </xf>
    <xf numFmtId="0" fontId="59" fillId="29" borderId="0" applyNumberFormat="0" applyBorder="0" applyAlignment="0" applyProtection="0">
      <alignment vertical="center"/>
    </xf>
    <xf numFmtId="0" fontId="59" fillId="30" borderId="0" applyNumberFormat="0" applyBorder="0" applyAlignment="0" applyProtection="0">
      <alignment vertical="center"/>
    </xf>
    <xf numFmtId="0" fontId="60" fillId="31" borderId="0" applyNumberFormat="0" applyBorder="0" applyAlignment="0" applyProtection="0">
      <alignment vertical="center"/>
    </xf>
    <xf numFmtId="0" fontId="60" fillId="32" borderId="0" applyNumberFormat="0" applyBorder="0" applyAlignment="0" applyProtection="0">
      <alignment vertical="center"/>
    </xf>
    <xf numFmtId="0" fontId="59" fillId="33" borderId="0" applyNumberFormat="0" applyBorder="0" applyAlignment="0" applyProtection="0">
      <alignment vertical="center"/>
    </xf>
    <xf numFmtId="0" fontId="59" fillId="34" borderId="0" applyNumberFormat="0" applyBorder="0" applyAlignment="0" applyProtection="0">
      <alignment vertical="center"/>
    </xf>
    <xf numFmtId="0" fontId="60" fillId="35" borderId="0" applyNumberFormat="0" applyBorder="0" applyAlignment="0" applyProtection="0">
      <alignment vertical="center"/>
    </xf>
    <xf numFmtId="0" fontId="60" fillId="36" borderId="0" applyNumberFormat="0" applyBorder="0" applyAlignment="0" applyProtection="0">
      <alignment vertical="center"/>
    </xf>
    <xf numFmtId="0" fontId="59" fillId="37" borderId="0" applyNumberFormat="0" applyBorder="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40" borderId="0" applyNumberFormat="0" applyBorder="0" applyAlignment="0" applyProtection="0">
      <alignment vertical="center"/>
    </xf>
    <xf numFmtId="0" fontId="59" fillId="41" borderId="0" applyNumberFormat="0" applyBorder="0" applyAlignment="0" applyProtection="0">
      <alignment vertical="center"/>
    </xf>
    <xf numFmtId="0" fontId="59" fillId="42" borderId="0" applyNumberFormat="0" applyBorder="0" applyAlignment="0" applyProtection="0">
      <alignment vertical="center"/>
    </xf>
    <xf numFmtId="0" fontId="60" fillId="43" borderId="0" applyNumberFormat="0" applyBorder="0" applyAlignment="0" applyProtection="0">
      <alignment vertical="center"/>
    </xf>
    <xf numFmtId="0" fontId="60" fillId="44" borderId="0" applyNumberFormat="0" applyBorder="0" applyAlignment="0" applyProtection="0">
      <alignment vertical="center"/>
    </xf>
    <xf numFmtId="0" fontId="59" fillId="45" borderId="0" applyNumberFormat="0" applyBorder="0" applyAlignment="0" applyProtection="0">
      <alignment vertical="center"/>
    </xf>
    <xf numFmtId="0" fontId="59" fillId="46" borderId="0" applyNumberFormat="0" applyBorder="0" applyAlignment="0" applyProtection="0">
      <alignment vertical="center"/>
    </xf>
    <xf numFmtId="0" fontId="60" fillId="47" borderId="0" applyNumberFormat="0" applyBorder="0" applyAlignment="0" applyProtection="0">
      <alignment vertical="center"/>
    </xf>
    <xf numFmtId="0" fontId="61" fillId="0" borderId="0" applyNumberFormat="0" applyFill="0" applyBorder="0" applyAlignment="0" applyProtection="0">
      <alignment vertical="center"/>
    </xf>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9"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48"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1"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7"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52"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 fillId="7" borderId="0" applyNumberFormat="0" applyBorder="0" applyAlignment="0" applyProtection="0"/>
    <xf numFmtId="0" fontId="20" fillId="7" borderId="0" applyNumberFormat="0" applyBorder="0" applyAlignment="0" applyProtection="0"/>
    <xf numFmtId="0" fontId="20" fillId="52"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52"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52"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52"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4"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4"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2"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0" fillId="54" borderId="0" applyNumberFormat="0" applyBorder="0" applyAlignment="0" applyProtection="0"/>
    <xf numFmtId="0" fontId="20" fillId="52"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2"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2"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2"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54" borderId="0" applyNumberFormat="0" applyBorder="0" applyAlignment="0" applyProtection="0"/>
    <xf numFmtId="0" fontId="20" fillId="48" borderId="0" applyNumberFormat="0" applyBorder="0" applyAlignment="0" applyProtection="0"/>
    <xf numFmtId="0" fontId="20" fillId="50" borderId="0" applyNumberFormat="0" applyBorder="0" applyAlignment="0" applyProtection="0"/>
    <xf numFmtId="0" fontId="20" fillId="7" borderId="0" applyNumberFormat="0" applyBorder="0" applyAlignment="0" applyProtection="0"/>
    <xf numFmtId="0" fontId="20" fillId="53" borderId="0" applyNumberFormat="0" applyBorder="0" applyAlignment="0" applyProtection="0"/>
    <xf numFmtId="0" fontId="20" fillId="55" borderId="0" applyNumberFormat="0" applyBorder="0" applyAlignment="0" applyProtection="0"/>
    <xf numFmtId="0" fontId="20" fillId="54" borderId="0" applyNumberFormat="0" applyBorder="0" applyAlignment="0" applyProtection="0"/>
    <xf numFmtId="49" fontId="62" fillId="0" borderId="11" applyNumberFormat="0" applyFont="0" applyFill="0" applyBorder="0" applyProtection="0">
      <alignment horizontal="left" vertical="center" indent="2"/>
    </xf>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1"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5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6"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3"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0" borderId="0" applyNumberFormat="0" applyBorder="0" applyAlignment="0" applyProtection="0"/>
    <xf numFmtId="0" fontId="20" fillId="50"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0"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0"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0"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0"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0"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53"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5"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49"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7"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2" borderId="0" applyNumberFormat="0" applyBorder="0" applyAlignment="0" applyProtection="0"/>
    <xf numFmtId="0" fontId="20" fillId="52"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2"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2"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2"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2"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2"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57" borderId="0" applyNumberFormat="0" applyBorder="0" applyAlignment="0" applyProtection="0"/>
    <xf numFmtId="0" fontId="20" fillId="49" borderId="0" applyNumberFormat="0" applyBorder="0" applyAlignment="0" applyProtection="0"/>
    <xf numFmtId="0" fontId="20" fillId="51" borderId="0" applyNumberFormat="0" applyBorder="0" applyAlignment="0" applyProtection="0"/>
    <xf numFmtId="0" fontId="20" fillId="56" borderId="0" applyNumberFormat="0" applyBorder="0" applyAlignment="0" applyProtection="0"/>
    <xf numFmtId="0" fontId="20" fillId="53" borderId="0" applyNumberFormat="0" applyBorder="0" applyAlignment="0" applyProtection="0"/>
    <xf numFmtId="0" fontId="20" fillId="49" borderId="0" applyNumberFormat="0" applyBorder="0" applyAlignment="0" applyProtection="0"/>
    <xf numFmtId="0" fontId="20" fillId="57" borderId="0" applyNumberFormat="0" applyBorder="0" applyAlignment="0" applyProtection="0"/>
    <xf numFmtId="0" fontId="0" fillId="0" borderId="0" applyNumberFormat="0" applyFont="0" applyFill="0" applyBorder="0" applyProtection="0">
      <alignment horizontal="left" vertical="center" indent="5"/>
    </xf>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5" borderId="0" applyNumberFormat="0" applyBorder="0" applyAlignment="0" applyProtection="0"/>
    <xf numFmtId="0" fontId="63" fillId="58"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8"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9" borderId="0" applyNumberFormat="0" applyBorder="0" applyAlignment="0" applyProtection="0"/>
    <xf numFmtId="0" fontId="63" fillId="51"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7" borderId="0" applyNumberFormat="0" applyBorder="0" applyAlignment="0" applyProtection="0"/>
    <xf numFmtId="0" fontId="63" fillId="56"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56"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50" borderId="0" applyNumberFormat="0" applyBorder="0" applyAlignment="0" applyProtection="0"/>
    <xf numFmtId="0" fontId="63" fillId="6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55" borderId="0" applyNumberFormat="0" applyBorder="0" applyAlignment="0" applyProtection="0"/>
    <xf numFmtId="0" fontId="63" fillId="61"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55" borderId="0" applyNumberFormat="0" applyBorder="0" applyAlignment="0" applyProtection="0"/>
    <xf numFmtId="0" fontId="63" fillId="55"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51" borderId="0" applyNumberFormat="0" applyBorder="0" applyAlignment="0" applyProtection="0"/>
    <xf numFmtId="0" fontId="63" fillId="62"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51" borderId="0" applyNumberFormat="0" applyBorder="0" applyAlignment="0" applyProtection="0"/>
    <xf numFmtId="0" fontId="63" fillId="51"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62" borderId="0" applyNumberFormat="0" applyBorder="0" applyAlignment="0" applyProtection="0"/>
    <xf numFmtId="0" fontId="63" fillId="58" borderId="0" applyNumberFormat="0" applyBorder="0" applyAlignment="0" applyProtection="0"/>
    <xf numFmtId="0" fontId="63" fillId="51" borderId="0" applyNumberFormat="0" applyBorder="0" applyAlignment="0" applyProtection="0"/>
    <xf numFmtId="0" fontId="63" fillId="56" borderId="0" applyNumberFormat="0" applyBorder="0" applyAlignment="0" applyProtection="0"/>
    <xf numFmtId="0" fontId="63" fillId="60" borderId="0" applyNumberFormat="0" applyBorder="0" applyAlignment="0" applyProtection="0"/>
    <xf numFmtId="0" fontId="63" fillId="61" borderId="0" applyNumberFormat="0" applyBorder="0" applyAlignment="0" applyProtection="0"/>
    <xf numFmtId="0" fontId="63" fillId="62" borderId="0" applyNumberFormat="0" applyBorder="0" applyAlignment="0" applyProtection="0"/>
    <xf numFmtId="0" fontId="63" fillId="60"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4" borderId="0" applyNumberFormat="0" applyBorder="0" applyAlignment="0" applyProtection="0"/>
    <xf numFmtId="0" fontId="63" fillId="63" borderId="0" applyNumberFormat="0" applyBorder="0" applyAlignment="0" applyProtection="0"/>
    <xf numFmtId="0" fontId="63" fillId="64" borderId="0" applyNumberFormat="0" applyBorder="0" applyAlignment="0" applyProtection="0"/>
    <xf numFmtId="0" fontId="63" fillId="64" borderId="0" applyNumberFormat="0" applyBorder="0" applyAlignment="0" applyProtection="0"/>
    <xf numFmtId="0" fontId="63" fillId="64" borderId="0" applyNumberFormat="0" applyBorder="0" applyAlignment="0" applyProtection="0"/>
    <xf numFmtId="0" fontId="63" fillId="64" borderId="0" applyNumberFormat="0" applyBorder="0" applyAlignment="0" applyProtection="0"/>
    <xf numFmtId="0" fontId="63" fillId="64" borderId="0" applyNumberFormat="0" applyBorder="0" applyAlignment="0" applyProtection="0"/>
    <xf numFmtId="0" fontId="63" fillId="64" borderId="0" applyNumberFormat="0" applyBorder="0" applyAlignment="0" applyProtection="0"/>
    <xf numFmtId="0" fontId="63" fillId="64" borderId="0" applyNumberFormat="0" applyBorder="0" applyAlignment="0" applyProtection="0"/>
    <xf numFmtId="0" fontId="63" fillId="64"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4" borderId="0" applyNumberFormat="0" applyBorder="0" applyAlignment="0" applyProtection="0"/>
    <xf numFmtId="0" fontId="63" fillId="64"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3"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59" borderId="0" applyNumberFormat="0" applyBorder="0" applyAlignment="0" applyProtection="0"/>
    <xf numFmtId="0" fontId="63" fillId="65"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57" borderId="0" applyNumberFormat="0" applyBorder="0" applyAlignment="0" applyProtection="0"/>
    <xf numFmtId="0" fontId="63" fillId="66"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57" borderId="0" applyNumberFormat="0" applyBorder="0" applyAlignment="0" applyProtection="0"/>
    <xf numFmtId="0" fontId="63" fillId="57"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6"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7" borderId="0" applyNumberFormat="0" applyBorder="0" applyAlignment="0" applyProtection="0"/>
    <xf numFmtId="0" fontId="63" fillId="60" borderId="0" applyNumberFormat="0" applyBorder="0" applyAlignment="0" applyProtection="0"/>
    <xf numFmtId="0" fontId="63" fillId="67" borderId="0" applyNumberFormat="0" applyBorder="0" applyAlignment="0" applyProtection="0"/>
    <xf numFmtId="0" fontId="63" fillId="67" borderId="0" applyNumberFormat="0" applyBorder="0" applyAlignment="0" applyProtection="0"/>
    <xf numFmtId="0" fontId="63" fillId="67" borderId="0" applyNumberFormat="0" applyBorder="0" applyAlignment="0" applyProtection="0"/>
    <xf numFmtId="0" fontId="63" fillId="67" borderId="0" applyNumberFormat="0" applyBorder="0" applyAlignment="0" applyProtection="0"/>
    <xf numFmtId="0" fontId="63" fillId="67" borderId="0" applyNumberFormat="0" applyBorder="0" applyAlignment="0" applyProtection="0"/>
    <xf numFmtId="0" fontId="63" fillId="67" borderId="0" applyNumberFormat="0" applyBorder="0" applyAlignment="0" applyProtection="0"/>
    <xf numFmtId="0" fontId="63" fillId="67" borderId="0" applyNumberFormat="0" applyBorder="0" applyAlignment="0" applyProtection="0"/>
    <xf numFmtId="0" fontId="63" fillId="67"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7" borderId="0" applyNumberFormat="0" applyBorder="0" applyAlignment="0" applyProtection="0"/>
    <xf numFmtId="0" fontId="63" fillId="67"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0"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61"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65" borderId="0" applyNumberFormat="0" applyBorder="0" applyAlignment="0" applyProtection="0"/>
    <xf numFmtId="0" fontId="63" fillId="59"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65" borderId="0" applyNumberFormat="0" applyBorder="0" applyAlignment="0" applyProtection="0"/>
    <xf numFmtId="0" fontId="63" fillId="65"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3" fillId="59" borderId="0" applyNumberFormat="0" applyBorder="0" applyAlignment="0" applyProtection="0"/>
    <xf numFmtId="0" fontId="64" fillId="55" borderId="0" applyBorder="0" applyAlignment="0"/>
    <xf numFmtId="0" fontId="62" fillId="55" borderId="0" applyBorder="0">
      <alignment horizontal="right" vertical="center"/>
    </xf>
    <xf numFmtId="0" fontId="62" fillId="7" borderId="0" applyBorder="0">
      <alignment horizontal="right" vertical="center"/>
    </xf>
    <xf numFmtId="0" fontId="62" fillId="7" borderId="0" applyBorder="0">
      <alignment horizontal="right" vertical="center"/>
    </xf>
    <xf numFmtId="0" fontId="65" fillId="7" borderId="11">
      <alignment horizontal="right" vertical="center"/>
    </xf>
    <xf numFmtId="0" fontId="66" fillId="7" borderId="11">
      <alignment horizontal="right" vertical="center"/>
    </xf>
    <xf numFmtId="0" fontId="65" fillId="54" borderId="11">
      <alignment horizontal="right" vertical="center"/>
    </xf>
    <xf numFmtId="0" fontId="65" fillId="54" borderId="11">
      <alignment horizontal="right" vertical="center"/>
    </xf>
    <xf numFmtId="0" fontId="65" fillId="54" borderId="37">
      <alignment horizontal="right" vertical="center"/>
    </xf>
    <xf numFmtId="0" fontId="65" fillId="54" borderId="38">
      <alignment horizontal="right" vertical="center"/>
    </xf>
    <xf numFmtId="0" fontId="65" fillId="54" borderId="39">
      <alignment horizontal="right" vertical="center"/>
    </xf>
    <xf numFmtId="0" fontId="63" fillId="63" borderId="0" applyNumberFormat="0" applyBorder="0" applyAlignment="0" applyProtection="0"/>
    <xf numFmtId="0" fontId="63" fillId="65" borderId="0" applyNumberFormat="0" applyBorder="0" applyAlignment="0" applyProtection="0"/>
    <xf numFmtId="0" fontId="63" fillId="66" borderId="0" applyNumberFormat="0" applyBorder="0" applyAlignment="0" applyProtection="0"/>
    <xf numFmtId="0" fontId="63" fillId="60" borderId="0" applyNumberFormat="0" applyBorder="0" applyAlignment="0" applyProtection="0"/>
    <xf numFmtId="0" fontId="63" fillId="61" borderId="0" applyNumberFormat="0" applyBorder="0" applyAlignment="0" applyProtection="0"/>
    <xf numFmtId="0" fontId="63" fillId="59" borderId="0" applyNumberFormat="0" applyBorder="0" applyAlignment="0" applyProtection="0"/>
    <xf numFmtId="0" fontId="67" fillId="68" borderId="40" applyNumberFormat="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3" borderId="0" applyNumberFormat="0" applyBorder="0" applyAlignment="0" applyProtection="0"/>
    <xf numFmtId="0" fontId="68" fillId="50" borderId="0" applyNumberFormat="0" applyBorder="0" applyAlignment="0" applyProtection="0"/>
    <xf numFmtId="0" fontId="68" fillId="53" borderId="0" applyNumberFormat="0" applyBorder="0" applyAlignment="0" applyProtection="0"/>
    <xf numFmtId="0" fontId="68" fillId="53" borderId="0" applyNumberFormat="0" applyBorder="0" applyAlignment="0" applyProtection="0"/>
    <xf numFmtId="0" fontId="68" fillId="53" borderId="0" applyNumberFormat="0" applyBorder="0" applyAlignment="0" applyProtection="0"/>
    <xf numFmtId="0" fontId="68" fillId="53" borderId="0" applyNumberFormat="0" applyBorder="0" applyAlignment="0" applyProtection="0"/>
    <xf numFmtId="0" fontId="68" fillId="53" borderId="0" applyNumberFormat="0" applyBorder="0" applyAlignment="0" applyProtection="0"/>
    <xf numFmtId="0" fontId="68" fillId="53" borderId="0" applyNumberFormat="0" applyBorder="0" applyAlignment="0" applyProtection="0"/>
    <xf numFmtId="0" fontId="68" fillId="53" borderId="0" applyNumberFormat="0" applyBorder="0" applyAlignment="0" applyProtection="0"/>
    <xf numFmtId="0" fontId="68" fillId="53"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3" borderId="0" applyNumberFormat="0" applyBorder="0" applyAlignment="0" applyProtection="0"/>
    <xf numFmtId="0" fontId="68" fillId="53"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9" fillId="69"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68" fillId="50" borderId="0" applyNumberFormat="0" applyBorder="0" applyAlignment="0" applyProtection="0"/>
    <xf numFmtId="0" fontId="70" fillId="68" borderId="41" applyNumberFormat="0" applyAlignment="0" applyProtection="0"/>
    <xf numFmtId="4" fontId="64" fillId="0" borderId="42" applyFill="0" applyBorder="0" applyProtection="0">
      <alignment horizontal="right" vertical="center"/>
    </xf>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1" fillId="70" borderId="41" applyNumberFormat="0" applyAlignment="0" applyProtection="0"/>
    <xf numFmtId="0" fontId="70" fillId="68" borderId="41" applyNumberFormat="0" applyAlignment="0" applyProtection="0"/>
    <xf numFmtId="0" fontId="71" fillId="70" borderId="41" applyNumberFormat="0" applyAlignment="0" applyProtection="0"/>
    <xf numFmtId="0" fontId="71" fillId="70" borderId="41" applyNumberFormat="0" applyAlignment="0" applyProtection="0"/>
    <xf numFmtId="0" fontId="71" fillId="70" borderId="41" applyNumberFormat="0" applyAlignment="0" applyProtection="0"/>
    <xf numFmtId="0" fontId="71" fillId="70" borderId="41" applyNumberFormat="0" applyAlignment="0" applyProtection="0"/>
    <xf numFmtId="0" fontId="71" fillId="70" borderId="41" applyNumberFormat="0" applyAlignment="0" applyProtection="0"/>
    <xf numFmtId="0" fontId="71" fillId="70" borderId="41" applyNumberFormat="0" applyAlignment="0" applyProtection="0"/>
    <xf numFmtId="0" fontId="71" fillId="70" borderId="41" applyNumberFormat="0" applyAlignment="0" applyProtection="0"/>
    <xf numFmtId="0" fontId="71" fillId="70"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1" fillId="70" borderId="41" applyNumberFormat="0" applyAlignment="0" applyProtection="0"/>
    <xf numFmtId="0" fontId="71" fillId="70"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70" fillId="68" borderId="41"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0" fontId="39" fillId="71"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0" fillId="0" borderId="0" applyFont="0" applyFill="0" applyBorder="0" applyAlignment="0" applyProtection="0"/>
    <xf numFmtId="179" fontId="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7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0" fillId="0" borderId="0" applyFont="0" applyFill="0" applyBorder="0" applyAlignment="0" applyProtection="0"/>
    <xf numFmtId="43" fontId="7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7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6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62" fillId="54" borderId="45">
      <alignment horizontal="left" vertical="center" wrapText="1" indent="2"/>
    </xf>
    <xf numFmtId="0" fontId="62" fillId="0" borderId="45">
      <alignment horizontal="left" vertical="center" wrapText="1" indent="2"/>
    </xf>
    <xf numFmtId="0" fontId="62" fillId="7" borderId="38">
      <alignment horizontal="left" vertical="center"/>
    </xf>
    <xf numFmtId="0" fontId="65" fillId="0" borderId="46">
      <alignment horizontal="left" vertical="top" wrapText="1"/>
    </xf>
    <xf numFmtId="3" fontId="74" fillId="0" borderId="44">
      <alignment horizontal="right" vertical="top"/>
    </xf>
    <xf numFmtId="0" fontId="75" fillId="54" borderId="41" applyNumberFormat="0" applyAlignment="0" applyProtection="0"/>
    <xf numFmtId="0" fontId="76" fillId="0" borderId="13"/>
    <xf numFmtId="0" fontId="16" fillId="61" borderId="11">
      <alignment horizontal="centerContinuous" vertical="top" wrapText="1"/>
    </xf>
    <xf numFmtId="0" fontId="77" fillId="0" borderId="0">
      <alignment vertical="top" wrapText="1"/>
    </xf>
    <xf numFmtId="0" fontId="78" fillId="0" borderId="47" applyNumberFormat="0" applyFill="0" applyAlignment="0" applyProtection="0"/>
    <xf numFmtId="0" fontId="79" fillId="0" borderId="0" applyNumberFormat="0" applyFill="0" applyBorder="0" applyAlignment="0" applyProtection="0"/>
    <xf numFmtId="0" fontId="8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7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7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7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72" fillId="0" borderId="0" applyFont="0" applyFill="0" applyBorder="0" applyAlignment="0" applyProtection="0"/>
    <xf numFmtId="11" fontId="0" fillId="0" borderId="0" applyFont="0" applyFill="0" applyBorder="0" applyAlignment="0" applyProtection="0"/>
    <xf numFmtId="11" fontId="72" fillId="0" borderId="0" applyFont="0" applyFill="0" applyBorder="0" applyAlignment="0" applyProtection="0"/>
    <xf numFmtId="11" fontId="72" fillId="0" borderId="0" applyFont="0" applyFill="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55" borderId="0" applyNumberFormat="0" applyBorder="0" applyAlignment="0" applyProtection="0"/>
    <xf numFmtId="0" fontId="81" fillId="7" borderId="0" applyNumberFormat="0" applyBorder="0" applyAlignment="0" applyProtection="0"/>
    <xf numFmtId="0" fontId="82" fillId="72" borderId="0" applyNumberFormat="0" applyBorder="0" applyAlignment="0" applyProtection="0"/>
    <xf numFmtId="0" fontId="81" fillId="7" borderId="0" applyNumberFormat="0" applyBorder="0" applyAlignment="0" applyProtection="0"/>
    <xf numFmtId="0" fontId="81" fillId="55"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3" fillId="72" borderId="0" applyNumberFormat="0" applyBorder="0" applyAlignment="0" applyProtection="0"/>
    <xf numFmtId="0" fontId="81" fillId="55" borderId="0" applyNumberFormat="0" applyBorder="0" applyAlignment="0" applyProtection="0"/>
    <xf numFmtId="0" fontId="83" fillId="72" borderId="0" applyNumberFormat="0" applyBorder="0" applyAlignment="0" applyProtection="0"/>
    <xf numFmtId="0" fontId="81" fillId="55" borderId="0" applyNumberFormat="0" applyBorder="0" applyAlignment="0" applyProtection="0"/>
    <xf numFmtId="0" fontId="81" fillId="55" borderId="0" applyNumberFormat="0" applyBorder="0" applyAlignment="0" applyProtection="0"/>
    <xf numFmtId="0" fontId="81" fillId="55" borderId="0" applyNumberFormat="0" applyBorder="0" applyAlignment="0" applyProtection="0"/>
    <xf numFmtId="0" fontId="81" fillId="55" borderId="0" applyNumberFormat="0" applyBorder="0" applyAlignment="0" applyProtection="0"/>
    <xf numFmtId="0" fontId="81" fillId="55" borderId="0" applyNumberFormat="0" applyBorder="0" applyAlignment="0" applyProtection="0"/>
    <xf numFmtId="0" fontId="81" fillId="55"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55" borderId="0" applyNumberFormat="0" applyBorder="0" applyAlignment="0" applyProtection="0"/>
    <xf numFmtId="0" fontId="81" fillId="55"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4" fillId="72"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1" fillId="7" borderId="0" applyNumberFormat="0" applyBorder="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6" fillId="0" borderId="49" applyNumberFormat="0" applyFill="0" applyAlignment="0" applyProtection="0"/>
    <xf numFmtId="0" fontId="85" fillId="0" borderId="48" applyNumberFormat="0" applyFill="0" applyAlignment="0" applyProtection="0"/>
    <xf numFmtId="0" fontId="86" fillId="0" borderId="49" applyNumberFormat="0" applyFill="0" applyAlignment="0" applyProtection="0"/>
    <xf numFmtId="0" fontId="86" fillId="0" borderId="49" applyNumberFormat="0" applyFill="0" applyAlignment="0" applyProtection="0"/>
    <xf numFmtId="0" fontId="86" fillId="0" borderId="49" applyNumberFormat="0" applyFill="0" applyAlignment="0" applyProtection="0"/>
    <xf numFmtId="0" fontId="86" fillId="0" borderId="49" applyNumberFormat="0" applyFill="0" applyAlignment="0" applyProtection="0"/>
    <xf numFmtId="0" fontId="86" fillId="0" borderId="49" applyNumberFormat="0" applyFill="0" applyAlignment="0" applyProtection="0"/>
    <xf numFmtId="0" fontId="86" fillId="0" borderId="49" applyNumberFormat="0" applyFill="0" applyAlignment="0" applyProtection="0"/>
    <xf numFmtId="0" fontId="86" fillId="0" borderId="49" applyNumberFormat="0" applyFill="0" applyAlignment="0" applyProtection="0"/>
    <xf numFmtId="0" fontId="86" fillId="0" borderId="49"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6" fillId="0" borderId="49" applyNumberFormat="0" applyFill="0" applyAlignment="0" applyProtection="0"/>
    <xf numFmtId="0" fontId="86" fillId="0" borderId="49"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8" fillId="0" borderId="51" applyNumberFormat="0" applyFill="0" applyAlignment="0" applyProtection="0"/>
    <xf numFmtId="0" fontId="87" fillId="0" borderId="50" applyNumberFormat="0" applyFill="0" applyAlignment="0" applyProtection="0"/>
    <xf numFmtId="0" fontId="88" fillId="0" borderId="51" applyNumberFormat="0" applyFill="0" applyAlignment="0" applyProtection="0"/>
    <xf numFmtId="0" fontId="88" fillId="0" borderId="51" applyNumberFormat="0" applyFill="0" applyAlignment="0" applyProtection="0"/>
    <xf numFmtId="0" fontId="88" fillId="0" borderId="51" applyNumberFormat="0" applyFill="0" applyAlignment="0" applyProtection="0"/>
    <xf numFmtId="0" fontId="88" fillId="0" borderId="51" applyNumberFormat="0" applyFill="0" applyAlignment="0" applyProtection="0"/>
    <xf numFmtId="0" fontId="88" fillId="0" borderId="51" applyNumberFormat="0" applyFill="0" applyAlignment="0" applyProtection="0"/>
    <xf numFmtId="0" fontId="88" fillId="0" borderId="51" applyNumberFormat="0" applyFill="0" applyAlignment="0" applyProtection="0"/>
    <xf numFmtId="0" fontId="88" fillId="0" borderId="51" applyNumberFormat="0" applyFill="0" applyAlignment="0" applyProtection="0"/>
    <xf numFmtId="0" fontId="88" fillId="0" borderId="51"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8" fillId="0" borderId="51" applyNumberFormat="0" applyFill="0" applyAlignment="0" applyProtection="0"/>
    <xf numFmtId="0" fontId="88" fillId="0" borderId="51"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7" fillId="0" borderId="50"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90" fillId="0" borderId="53" applyNumberFormat="0" applyFill="0" applyAlignment="0" applyProtection="0"/>
    <xf numFmtId="0" fontId="89" fillId="0" borderId="52" applyNumberFormat="0" applyFill="0" applyAlignment="0" applyProtection="0"/>
    <xf numFmtId="0" fontId="90" fillId="0" borderId="53" applyNumberFormat="0" applyFill="0" applyAlignment="0" applyProtection="0"/>
    <xf numFmtId="0" fontId="90" fillId="0" borderId="53" applyNumberFormat="0" applyFill="0" applyAlignment="0" applyProtection="0"/>
    <xf numFmtId="0" fontId="90" fillId="0" borderId="53" applyNumberFormat="0" applyFill="0" applyAlignment="0" applyProtection="0"/>
    <xf numFmtId="0" fontId="90" fillId="0" borderId="53" applyNumberFormat="0" applyFill="0" applyAlignment="0" applyProtection="0"/>
    <xf numFmtId="0" fontId="90" fillId="0" borderId="53" applyNumberFormat="0" applyFill="0" applyAlignment="0" applyProtection="0"/>
    <xf numFmtId="0" fontId="90" fillId="0" borderId="53" applyNumberFormat="0" applyFill="0" applyAlignment="0" applyProtection="0"/>
    <xf numFmtId="0" fontId="90" fillId="0" borderId="53" applyNumberFormat="0" applyFill="0" applyAlignment="0" applyProtection="0"/>
    <xf numFmtId="0" fontId="90" fillId="0" borderId="53"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90" fillId="0" borderId="53" applyNumberFormat="0" applyFill="0" applyAlignment="0" applyProtection="0"/>
    <xf numFmtId="0" fontId="90" fillId="0" borderId="53"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52"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alignment vertical="top"/>
      <protection locked="0"/>
    </xf>
    <xf numFmtId="0" fontId="92" fillId="0" borderId="0" applyNumberFormat="0" applyFill="0" applyBorder="0" applyAlignment="0" applyProtection="0">
      <alignment vertical="top"/>
      <protection locked="0"/>
    </xf>
    <xf numFmtId="0" fontId="93" fillId="0" borderId="0" applyNumberFormat="0" applyFill="0" applyBorder="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6" borderId="41" applyNumberFormat="0" applyAlignment="0" applyProtection="0"/>
    <xf numFmtId="0" fontId="75" fillId="54" borderId="41" applyNumberFormat="0" applyAlignment="0" applyProtection="0"/>
    <xf numFmtId="0" fontId="94" fillId="6" borderId="32" applyNumberFormat="0" applyAlignment="0" applyProtection="0"/>
    <xf numFmtId="0" fontId="75" fillId="54" borderId="41" applyNumberFormat="0" applyAlignment="0" applyProtection="0"/>
    <xf numFmtId="0" fontId="75" fillId="6" borderId="41" applyNumberFormat="0" applyAlignment="0" applyProtection="0"/>
    <xf numFmtId="0" fontId="75" fillId="54" borderId="41" applyNumberFormat="0" applyAlignment="0" applyProtection="0"/>
    <xf numFmtId="0" fontId="94" fillId="73" borderId="32" applyNumberFormat="0" applyAlignment="0" applyProtection="0"/>
    <xf numFmtId="0" fontId="75" fillId="6" borderId="41" applyNumberFormat="0" applyAlignment="0" applyProtection="0"/>
    <xf numFmtId="0" fontId="75" fillId="54" borderId="41" applyNumberFormat="0" applyAlignment="0" applyProtection="0"/>
    <xf numFmtId="0" fontId="94" fillId="73" borderId="32" applyNumberFormat="0" applyAlignment="0" applyProtection="0"/>
    <xf numFmtId="0" fontId="75" fillId="6" borderId="41" applyNumberFormat="0" applyAlignment="0" applyProtection="0"/>
    <xf numFmtId="0" fontId="75" fillId="6" borderId="41" applyNumberFormat="0" applyAlignment="0" applyProtection="0"/>
    <xf numFmtId="0" fontId="75" fillId="6" borderId="41" applyNumberFormat="0" applyAlignment="0" applyProtection="0"/>
    <xf numFmtId="0" fontId="75" fillId="6" borderId="41" applyNumberFormat="0" applyAlignment="0" applyProtection="0"/>
    <xf numFmtId="0" fontId="75" fillId="6" borderId="41" applyNumberFormat="0" applyAlignment="0" applyProtection="0"/>
    <xf numFmtId="0" fontId="75" fillId="6"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6" borderId="41" applyNumberFormat="0" applyAlignment="0" applyProtection="0"/>
    <xf numFmtId="0" fontId="75" fillId="6"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0" fontId="75" fillId="54" borderId="41" applyNumberFormat="0" applyAlignment="0" applyProtection="0"/>
    <xf numFmtId="4" fontId="62" fillId="0" borderId="0" applyBorder="0">
      <alignment horizontal="right" vertical="center"/>
    </xf>
    <xf numFmtId="0" fontId="62" fillId="0" borderId="11">
      <alignment horizontal="right" vertical="center"/>
    </xf>
    <xf numFmtId="1" fontId="95" fillId="7" borderId="0" applyBorder="0">
      <alignment horizontal="right" vertical="center"/>
    </xf>
    <xf numFmtId="0" fontId="91" fillId="0" borderId="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7" fillId="0" borderId="55" applyNumberFormat="0" applyFill="0" applyAlignment="0" applyProtection="0"/>
    <xf numFmtId="0" fontId="96" fillId="0" borderId="54" applyNumberFormat="0" applyFill="0" applyAlignment="0" applyProtection="0"/>
    <xf numFmtId="0" fontId="97" fillId="0" borderId="55" applyNumberFormat="0" applyFill="0" applyAlignment="0" applyProtection="0"/>
    <xf numFmtId="0" fontId="97" fillId="0" borderId="55" applyNumberFormat="0" applyFill="0" applyAlignment="0" applyProtection="0"/>
    <xf numFmtId="0" fontId="97" fillId="0" borderId="55" applyNumberFormat="0" applyFill="0" applyAlignment="0" applyProtection="0"/>
    <xf numFmtId="0" fontId="97" fillId="0" borderId="55" applyNumberFormat="0" applyFill="0" applyAlignment="0" applyProtection="0"/>
    <xf numFmtId="0" fontId="97" fillId="0" borderId="55" applyNumberFormat="0" applyFill="0" applyAlignment="0" applyProtection="0"/>
    <xf numFmtId="0" fontId="97" fillId="0" borderId="55" applyNumberFormat="0" applyFill="0" applyAlignment="0" applyProtection="0"/>
    <xf numFmtId="0" fontId="97" fillId="0" borderId="55" applyNumberFormat="0" applyFill="0" applyAlignment="0" applyProtection="0"/>
    <xf numFmtId="0" fontId="97" fillId="0" borderId="55"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7" fillId="0" borderId="55" applyNumberFormat="0" applyFill="0" applyAlignment="0" applyProtection="0"/>
    <xf numFmtId="0" fontId="97" fillId="0" borderId="55"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0" fontId="96" fillId="0" borderId="54" applyNumberFormat="0" applyFill="0" applyAlignment="0" applyProtection="0"/>
    <xf numFmtId="178" fontId="0" fillId="0" borderId="0" applyFont="0" applyFill="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9" fillId="6" borderId="0" applyNumberFormat="0" applyBorder="0" applyAlignment="0" applyProtection="0"/>
    <xf numFmtId="0" fontId="98" fillId="6" borderId="0" applyNumberFormat="0" applyBorder="0" applyAlignment="0" applyProtection="0"/>
    <xf numFmtId="0" fontId="99" fillId="6" borderId="0" applyNumberFormat="0" applyBorder="0" applyAlignment="0" applyProtection="0"/>
    <xf numFmtId="0" fontId="99" fillId="6" borderId="0" applyNumberFormat="0" applyBorder="0" applyAlignment="0" applyProtection="0"/>
    <xf numFmtId="0" fontId="99" fillId="6" borderId="0" applyNumberFormat="0" applyBorder="0" applyAlignment="0" applyProtection="0"/>
    <xf numFmtId="0" fontId="99" fillId="6" borderId="0" applyNumberFormat="0" applyBorder="0" applyAlignment="0" applyProtection="0"/>
    <xf numFmtId="0" fontId="99" fillId="6" borderId="0" applyNumberFormat="0" applyBorder="0" applyAlignment="0" applyProtection="0"/>
    <xf numFmtId="0" fontId="99" fillId="6" borderId="0" applyNumberFormat="0" applyBorder="0" applyAlignment="0" applyProtection="0"/>
    <xf numFmtId="0" fontId="99" fillId="6" borderId="0" applyNumberFormat="0" applyBorder="0" applyAlignment="0" applyProtection="0"/>
    <xf numFmtId="0" fontId="99"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100" fillId="6" borderId="0" applyNumberFormat="0" applyBorder="0" applyAlignment="0" applyProtection="0"/>
    <xf numFmtId="0" fontId="98" fillId="6" borderId="0" applyNumberFormat="0" applyBorder="0" applyAlignment="0" applyProtection="0"/>
    <xf numFmtId="0" fontId="99" fillId="6" borderId="0" applyNumberFormat="0" applyBorder="0" applyAlignment="0" applyProtection="0"/>
    <xf numFmtId="0" fontId="100" fillId="6" borderId="0" applyNumberFormat="0" applyBorder="0" applyAlignment="0" applyProtection="0"/>
    <xf numFmtId="0" fontId="101" fillId="74"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9" fillId="6" borderId="0" applyNumberFormat="0" applyBorder="0" applyAlignment="0" applyProtection="0"/>
    <xf numFmtId="0" fontId="100"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102" fillId="74"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98" fillId="6" borderId="0" applyNumberFormat="0" applyBorder="0" applyAlignment="0" applyProtection="0"/>
    <xf numFmtId="0" fontId="0"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0"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190" fontId="10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190" fontId="103" fillId="0" borderId="0">
      <alignment vertical="center"/>
    </xf>
    <xf numFmtId="190" fontId="103" fillId="0" borderId="0">
      <alignment vertical="center"/>
    </xf>
    <xf numFmtId="190" fontId="103" fillId="0" borderId="0">
      <alignment vertical="center"/>
    </xf>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190" fontId="103" fillId="0" borderId="0">
      <alignment vertical="center"/>
    </xf>
    <xf numFmtId="190" fontId="103" fillId="0" borderId="0">
      <alignment vertical="center"/>
    </xf>
    <xf numFmtId="190" fontId="103" fillId="0" borderId="0">
      <alignment vertical="center"/>
    </xf>
    <xf numFmtId="190" fontId="10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103" fillId="0" borderId="0">
      <alignment vertical="center"/>
    </xf>
    <xf numFmtId="190" fontId="103" fillId="0" borderId="0">
      <alignment vertical="center"/>
    </xf>
    <xf numFmtId="190" fontId="103" fillId="0" borderId="0">
      <alignment vertical="center"/>
    </xf>
    <xf numFmtId="190" fontId="10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179" fontId="10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0" fillId="0" borderId="0"/>
    <xf numFmtId="0" fontId="0" fillId="0" borderId="0"/>
    <xf numFmtId="0" fontId="20" fillId="0" borderId="0"/>
    <xf numFmtId="0" fontId="0" fillId="0" borderId="0"/>
    <xf numFmtId="0" fontId="0" fillId="0" borderId="0"/>
    <xf numFmtId="0" fontId="0" fillId="0" borderId="0"/>
    <xf numFmtId="0" fontId="0" fillId="0" borderId="0"/>
    <xf numFmtId="179" fontId="103" fillId="0" borderId="0">
      <alignment vertical="center"/>
    </xf>
    <xf numFmtId="0" fontId="0" fillId="0" borderId="0"/>
    <xf numFmtId="0" fontId="20" fillId="0" borderId="0"/>
    <xf numFmtId="0" fontId="0" fillId="0" borderId="0"/>
    <xf numFmtId="0" fontId="2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0" fillId="0" borderId="0"/>
    <xf numFmtId="0" fontId="2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0"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0" fillId="0" borderId="0"/>
    <xf numFmtId="0" fontId="0" fillId="0" borderId="0"/>
    <xf numFmtId="0" fontId="0" fillId="0" borderId="0"/>
    <xf numFmtId="0" fontId="0" fillId="0" borderId="0"/>
    <xf numFmtId="0" fontId="0" fillId="0" borderId="0"/>
    <xf numFmtId="0" fontId="0" fillId="0" borderId="0"/>
    <xf numFmtId="0" fontId="73" fillId="0" borderId="0"/>
    <xf numFmtId="0" fontId="20"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7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04" fillId="0" borderId="0"/>
    <xf numFmtId="191" fontId="103" fillId="0" borderId="0">
      <alignment vertical="center"/>
    </xf>
    <xf numFmtId="0" fontId="0" fillId="0" borderId="0"/>
    <xf numFmtId="0" fontId="20" fillId="0" borderId="0"/>
    <xf numFmtId="0" fontId="104" fillId="0" borderId="0"/>
    <xf numFmtId="0" fontId="0" fillId="0" borderId="0"/>
    <xf numFmtId="0" fontId="0" fillId="0" borderId="0"/>
    <xf numFmtId="0" fontId="20" fillId="0" borderId="0"/>
    <xf numFmtId="0" fontId="0" fillId="0" borderId="0"/>
    <xf numFmtId="0" fontId="0" fillId="0" borderId="0"/>
    <xf numFmtId="0" fontId="20" fillId="0" borderId="0"/>
    <xf numFmtId="0" fontId="0" fillId="0" borderId="0"/>
    <xf numFmtId="0" fontId="0" fillId="0" borderId="0"/>
    <xf numFmtId="0" fontId="0" fillId="0" borderId="0"/>
    <xf numFmtId="0" fontId="0" fillId="0" borderId="0"/>
    <xf numFmtId="0" fontId="0" fillId="0" borderId="0"/>
    <xf numFmtId="0" fontId="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0" fillId="0" borderId="0"/>
    <xf numFmtId="0" fontId="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0" fillId="0" borderId="0"/>
    <xf numFmtId="0" fontId="2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0" fillId="0" borderId="0"/>
    <xf numFmtId="0" fontId="2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0" fillId="0" borderId="0"/>
    <xf numFmtId="0" fontId="0" fillId="0" borderId="0"/>
    <xf numFmtId="0" fontId="0" fillId="0" borderId="0"/>
    <xf numFmtId="0" fontId="0" fillId="0" borderId="0"/>
    <xf numFmtId="0" fontId="0" fillId="0" borderId="0"/>
    <xf numFmtId="0" fontId="0" fillId="0" borderId="0"/>
    <xf numFmtId="0" fontId="0" fillId="0" borderId="0"/>
    <xf numFmtId="0" fontId="20" fillId="0" borderId="0"/>
    <xf numFmtId="0" fontId="105" fillId="0" borderId="0"/>
    <xf numFmtId="0" fontId="105" fillId="0" borderId="0"/>
    <xf numFmtId="0" fontId="0" fillId="0" borderId="0"/>
    <xf numFmtId="0" fontId="105" fillId="0" borderId="0"/>
    <xf numFmtId="0" fontId="0" fillId="0" borderId="0"/>
    <xf numFmtId="0" fontId="20" fillId="0" borderId="0"/>
    <xf numFmtId="0" fontId="0" fillId="0" borderId="0"/>
    <xf numFmtId="0" fontId="2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10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6" fillId="0" borderId="0"/>
    <xf numFmtId="0" fontId="2" fillId="0" borderId="0"/>
    <xf numFmtId="0" fontId="2" fillId="0" borderId="0"/>
    <xf numFmtId="0" fontId="105" fillId="0" borderId="0"/>
    <xf numFmtId="0" fontId="0" fillId="0" borderId="0"/>
    <xf numFmtId="0" fontId="0" fillId="0" borderId="0"/>
    <xf numFmtId="0" fontId="0" fillId="0" borderId="0"/>
    <xf numFmtId="0" fontId="0" fillId="0" borderId="0"/>
    <xf numFmtId="0" fontId="20" fillId="0" borderId="0"/>
    <xf numFmtId="0" fontId="0" fillId="0" borderId="0"/>
    <xf numFmtId="0" fontId="0" fillId="0" borderId="0"/>
    <xf numFmtId="0" fontId="0" fillId="0" borderId="0"/>
    <xf numFmtId="0" fontId="0" fillId="0" borderId="0"/>
    <xf numFmtId="0" fontId="0" fillId="0" borderId="0"/>
    <xf numFmtId="0" fontId="20" fillId="0" borderId="0"/>
    <xf numFmtId="0" fontId="0" fillId="0" borderId="0"/>
    <xf numFmtId="0" fontId="20" fillId="0" borderId="0"/>
    <xf numFmtId="0" fontId="0" fillId="0" borderId="0"/>
    <xf numFmtId="0" fontId="2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0" fillId="0" borderId="0"/>
    <xf numFmtId="0" fontId="0" fillId="0" borderId="0"/>
    <xf numFmtId="0" fontId="0" fillId="0" borderId="0"/>
    <xf numFmtId="0" fontId="106" fillId="0" borderId="0"/>
    <xf numFmtId="0" fontId="20" fillId="0" borderId="0"/>
    <xf numFmtId="0" fontId="0" fillId="0" borderId="0"/>
    <xf numFmtId="0" fontId="20" fillId="0" borderId="0"/>
    <xf numFmtId="0" fontId="0" fillId="0" borderId="0"/>
    <xf numFmtId="0" fontId="0" fillId="0" borderId="0"/>
    <xf numFmtId="0" fontId="0" fillId="0" borderId="0"/>
    <xf numFmtId="0" fontId="0" fillId="0" borderId="0"/>
    <xf numFmtId="0" fontId="6" fillId="0" borderId="0"/>
    <xf numFmtId="0" fontId="20" fillId="0" borderId="0"/>
    <xf numFmtId="0" fontId="0" fillId="0" borderId="0"/>
    <xf numFmtId="0" fontId="0" fillId="0" borderId="0"/>
    <xf numFmtId="0" fontId="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20"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20" fillId="0" borderId="0"/>
    <xf numFmtId="0" fontId="0" fillId="0" borderId="0"/>
    <xf numFmtId="0" fontId="0" fillId="0" borderId="0"/>
    <xf numFmtId="0" fontId="0" fillId="0" borderId="0"/>
    <xf numFmtId="0" fontId="0" fillId="0" borderId="0"/>
    <xf numFmtId="0" fontId="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0" fillId="0" borderId="0"/>
    <xf numFmtId="0" fontId="0" fillId="0" borderId="0"/>
    <xf numFmtId="0" fontId="20" fillId="0" borderId="0"/>
    <xf numFmtId="0" fontId="0" fillId="0" borderId="0"/>
    <xf numFmtId="0" fontId="20" fillId="0" borderId="0"/>
    <xf numFmtId="0" fontId="0" fillId="0" borderId="0"/>
    <xf numFmtId="0" fontId="0" fillId="0" borderId="0"/>
    <xf numFmtId="0" fontId="0" fillId="0" borderId="0"/>
    <xf numFmtId="0" fontId="0" fillId="0" borderId="0"/>
    <xf numFmtId="0" fontId="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2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0" fillId="0" borderId="0"/>
    <xf numFmtId="0" fontId="20" fillId="0" borderId="0"/>
    <xf numFmtId="0" fontId="0" fillId="0" borderId="0"/>
    <xf numFmtId="0" fontId="20" fillId="0" borderId="0"/>
    <xf numFmtId="0" fontId="20" fillId="0" borderId="0"/>
    <xf numFmtId="0" fontId="0" fillId="0" borderId="0"/>
    <xf numFmtId="0" fontId="2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0" fillId="0" borderId="0" applyNumberFormat="0" applyFont="0" applyFill="0" applyBorder="0" applyAlignment="0" applyProtection="0"/>
    <xf numFmtId="0" fontId="0"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0" fillId="0" borderId="0"/>
    <xf numFmtId="0" fontId="20" fillId="0" borderId="0"/>
    <xf numFmtId="0" fontId="2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0" fillId="0" borderId="0"/>
    <xf numFmtId="0" fontId="20" fillId="0" borderId="0"/>
    <xf numFmtId="0" fontId="2" fillId="0" borderId="0"/>
    <xf numFmtId="0" fontId="20" fillId="0" borderId="0"/>
    <xf numFmtId="0" fontId="0" fillId="0" borderId="0"/>
    <xf numFmtId="0" fontId="2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20" fillId="0" borderId="0"/>
    <xf numFmtId="0" fontId="0" fillId="0" borderId="0"/>
    <xf numFmtId="0" fontId="20" fillId="0" borderId="0"/>
    <xf numFmtId="0" fontId="0" fillId="0" borderId="0"/>
    <xf numFmtId="0" fontId="20" fillId="0" borderId="0"/>
    <xf numFmtId="0" fontId="0" fillId="0" borderId="0"/>
    <xf numFmtId="0" fontId="20" fillId="0" borderId="0"/>
    <xf numFmtId="0" fontId="0" fillId="0" borderId="0"/>
    <xf numFmtId="0" fontId="0" fillId="0" borderId="0"/>
    <xf numFmtId="0" fontId="0" fillId="0" borderId="0"/>
    <xf numFmtId="0" fontId="0" fillId="0" borderId="0"/>
    <xf numFmtId="0" fontId="0" fillId="0" borderId="0"/>
    <xf numFmtId="0" fontId="10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0" fillId="0" borderId="0"/>
    <xf numFmtId="0" fontId="0" fillId="0" borderId="0"/>
    <xf numFmtId="0" fontId="0" fillId="0" borderId="0"/>
    <xf numFmtId="0" fontId="0" fillId="0" borderId="0"/>
    <xf numFmtId="0" fontId="0" fillId="0" borderId="0"/>
    <xf numFmtId="0" fontId="104" fillId="0" borderId="0"/>
    <xf numFmtId="0" fontId="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0" fillId="0" borderId="0"/>
    <xf numFmtId="0" fontId="0" fillId="0" borderId="0"/>
    <xf numFmtId="0" fontId="20" fillId="0" borderId="0"/>
    <xf numFmtId="0" fontId="0" fillId="0" borderId="0"/>
    <xf numFmtId="0" fontId="0" fillId="0" borderId="0"/>
    <xf numFmtId="0" fontId="0" fillId="0" borderId="0"/>
    <xf numFmtId="0" fontId="0" fillId="0" borderId="0"/>
    <xf numFmtId="0" fontId="0" fillId="0" borderId="0"/>
    <xf numFmtId="0" fontId="0"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0" fillId="0" borderId="0"/>
    <xf numFmtId="0" fontId="0" fillId="0" borderId="0"/>
    <xf numFmtId="0" fontId="2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0" fillId="0" borderId="0"/>
    <xf numFmtId="4" fontId="62" fillId="0" borderId="11" applyFill="0" applyBorder="0" applyProtection="0">
      <alignment horizontal="right" vertical="center"/>
    </xf>
    <xf numFmtId="0" fontId="64" fillId="0" borderId="0" applyNumberFormat="0" applyFill="0" applyBorder="0" applyProtection="0">
      <alignment horizontal="left" vertical="center"/>
    </xf>
    <xf numFmtId="0" fontId="62" fillId="0" borderId="11" applyNumberFormat="0" applyFill="0" applyAlignment="0" applyProtection="0"/>
    <xf numFmtId="0" fontId="0" fillId="71" borderId="0" applyNumberFormat="0" applyFont="0" applyBorder="0" applyAlignment="0" applyProtection="0"/>
    <xf numFmtId="0" fontId="108"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2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2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2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2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20" fillId="52" borderId="56" applyNumberFormat="0" applyFont="0" applyAlignment="0" applyProtection="0"/>
    <xf numFmtId="0" fontId="2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2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2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2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2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2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20" fillId="52" borderId="56" applyNumberFormat="0" applyFont="0" applyAlignment="0" applyProtection="0"/>
    <xf numFmtId="0" fontId="0" fillId="52" borderId="56" applyNumberFormat="0" applyFont="0" applyAlignment="0" applyProtection="0"/>
    <xf numFmtId="0" fontId="72" fillId="52" borderId="56" applyNumberFormat="0" applyFont="0" applyAlignment="0" applyProtection="0"/>
    <xf numFmtId="0" fontId="0" fillId="52" borderId="56" applyNumberFormat="0" applyFont="0" applyAlignment="0" applyProtection="0"/>
    <xf numFmtId="0" fontId="72" fillId="52" borderId="56" applyNumberFormat="0" applyFont="0" applyAlignment="0" applyProtection="0"/>
    <xf numFmtId="192" fontId="10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70" borderId="40" applyNumberFormat="0" applyAlignment="0" applyProtection="0"/>
    <xf numFmtId="0" fontId="67" fillId="68" borderId="40" applyNumberFormat="0" applyAlignment="0" applyProtection="0"/>
    <xf numFmtId="0" fontId="67" fillId="70" borderId="40" applyNumberFormat="0" applyAlignment="0" applyProtection="0"/>
    <xf numFmtId="0" fontId="67" fillId="70" borderId="40" applyNumberFormat="0" applyAlignment="0" applyProtection="0"/>
    <xf numFmtId="0" fontId="67" fillId="70" borderId="40" applyNumberFormat="0" applyAlignment="0" applyProtection="0"/>
    <xf numFmtId="0" fontId="67" fillId="70" borderId="40" applyNumberFormat="0" applyAlignment="0" applyProtection="0"/>
    <xf numFmtId="0" fontId="67" fillId="70" borderId="40" applyNumberFormat="0" applyAlignment="0" applyProtection="0"/>
    <xf numFmtId="0" fontId="67" fillId="70" borderId="40" applyNumberFormat="0" applyAlignment="0" applyProtection="0"/>
    <xf numFmtId="0" fontId="67" fillId="70" borderId="40" applyNumberFormat="0" applyAlignment="0" applyProtection="0"/>
    <xf numFmtId="0" fontId="67" fillId="70"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70" borderId="40" applyNumberFormat="0" applyAlignment="0" applyProtection="0"/>
    <xf numFmtId="0" fontId="67" fillId="70"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0" fontId="67" fillId="68" borderId="40" applyNumberFormat="0" applyAlignment="0" applyProtection="0"/>
    <xf numFmtId="194" fontId="62" fillId="75" borderId="11" applyNumberFormat="0" applyFont="0" applyBorder="0" applyAlignment="0" applyProtection="0">
      <alignment horizontal="right" vertical="center"/>
    </xf>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73" fillId="0" borderId="0" applyFont="0" applyFill="0" applyBorder="0" applyAlignment="0" applyProtection="0"/>
    <xf numFmtId="9" fontId="73"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9" fontId="20" fillId="0" borderId="0" applyFont="0" applyFill="0" applyBorder="0" applyAlignment="0" applyProtection="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9" fontId="20" fillId="0" borderId="0" applyFont="0" applyFill="0" applyBorder="0" applyAlignment="0" applyProtection="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9" fontId="20" fillId="0" borderId="0" applyFont="0" applyFill="0" applyBorder="0" applyAlignment="0" applyProtection="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72"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72"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72"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72"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20" fillId="0" borderId="0" applyFont="0" applyFill="0" applyBorder="0" applyAlignment="0" applyProtection="0"/>
    <xf numFmtId="0" fontId="0" fillId="0" borderId="0"/>
    <xf numFmtId="0" fontId="0" fillId="0" borderId="0"/>
    <xf numFmtId="9" fontId="7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73" fillId="0" borderId="0" applyFont="0" applyFill="0" applyBorder="0" applyAlignment="0" applyProtection="0"/>
    <xf numFmtId="0" fontId="0" fillId="0" borderId="0"/>
    <xf numFmtId="0" fontId="0" fillId="0" borderId="0"/>
    <xf numFmtId="9" fontId="7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73" fillId="0" borderId="0" applyFont="0" applyFill="0" applyBorder="0" applyAlignment="0" applyProtection="0"/>
    <xf numFmtId="0" fontId="0" fillId="0" borderId="0"/>
    <xf numFmtId="0" fontId="0" fillId="0" borderId="0"/>
    <xf numFmtId="180" fontId="110" fillId="0" borderId="0" applyFont="0" applyFill="0" applyBorder="0" applyAlignment="0" applyProtection="0"/>
    <xf numFmtId="195" fontId="110" fillId="0" borderId="0" applyFont="0" applyFill="0" applyBorder="0" applyAlignment="0" applyProtection="0"/>
    <xf numFmtId="196" fontId="110" fillId="0" borderId="0" applyFont="0" applyFill="0" applyBorder="0" applyAlignment="0" applyProtection="0"/>
    <xf numFmtId="0" fontId="68"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68" fillId="50" borderId="0" applyNumberFormat="0" applyBorder="0" applyAlignment="0" applyProtection="0"/>
    <xf numFmtId="0" fontId="0" fillId="0" borderId="0"/>
    <xf numFmtId="0" fontId="0" fillId="0" borderId="0"/>
    <xf numFmtId="0" fontId="62" fillId="71" borderId="11"/>
    <xf numFmtId="0" fontId="0" fillId="0" borderId="0"/>
    <xf numFmtId="0" fontId="0" fillId="0" borderId="0"/>
    <xf numFmtId="0" fontId="0" fillId="0" borderId="0"/>
    <xf numFmtId="0" fontId="0" fillId="0" borderId="0"/>
    <xf numFmtId="0" fontId="0" fillId="0" borderId="0"/>
    <xf numFmtId="0" fontId="62" fillId="71" borderId="11"/>
    <xf numFmtId="0" fontId="0" fillId="0" borderId="0"/>
    <xf numFmtId="0" fontId="0" fillId="0" borderId="0"/>
    <xf numFmtId="0" fontId="77" fillId="0" borderId="0">
      <alignment vertical="top" wrapText="1"/>
    </xf>
    <xf numFmtId="0" fontId="77" fillId="0" borderId="0">
      <alignment vertical="top" wrapText="1"/>
    </xf>
    <xf numFmtId="0" fontId="7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77" fillId="0" borderId="0">
      <alignment vertical="top" wrapText="1"/>
    </xf>
    <xf numFmtId="0" fontId="0" fillId="0" borderId="0"/>
    <xf numFmtId="0" fontId="0" fillId="0" borderId="0"/>
    <xf numFmtId="0" fontId="11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0" fillId="0" borderId="0">
      <alignment vertical="top"/>
    </xf>
    <xf numFmtId="0" fontId="0" fillId="0" borderId="0"/>
    <xf numFmtId="0" fontId="0" fillId="0" borderId="0"/>
    <xf numFmtId="0" fontId="0" fillId="0" borderId="0"/>
    <xf numFmtId="0" fontId="0" fillId="0" borderId="0"/>
    <xf numFmtId="0" fontId="0" fillId="0" borderId="0"/>
    <xf numFmtId="0" fontId="80" fillId="0" borderId="0">
      <alignment vertical="top"/>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7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7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6"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112" fillId="76"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6" fillId="76" borderId="11" applyNumberFormat="0" applyProtection="0">
      <alignment horizontal="right"/>
    </xf>
    <xf numFmtId="0" fontId="0" fillId="0" borderId="0"/>
    <xf numFmtId="0" fontId="0" fillId="0" borderId="0"/>
    <xf numFmtId="0" fontId="114"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113" fillId="76"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14" fillId="76" borderId="0" applyNumberFormat="0" applyBorder="0" applyProtection="0">
      <alignment horizontal="left"/>
    </xf>
    <xf numFmtId="0" fontId="0" fillId="0" borderId="0"/>
    <xf numFmtId="0" fontId="0" fillId="0" borderId="0"/>
    <xf numFmtId="0" fontId="16"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112" fillId="76"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6" fillId="76"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16"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115"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16"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49" fontId="7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72" fillId="0" borderId="11" applyFill="0" applyProtection="0">
      <alignment horizontal="right"/>
    </xf>
    <xf numFmtId="49" fontId="72" fillId="0" borderId="11" applyFill="0" applyProtection="0">
      <alignment horizontal="right"/>
    </xf>
    <xf numFmtId="0" fontId="0" fillId="0" borderId="0"/>
    <xf numFmtId="0" fontId="0" fillId="0" borderId="0"/>
    <xf numFmtId="49" fontId="72" fillId="0" borderId="11" applyFill="0" applyProtection="0">
      <alignment horizontal="right"/>
    </xf>
    <xf numFmtId="0" fontId="0" fillId="0" borderId="0"/>
    <xf numFmtId="0" fontId="0" fillId="0" borderId="0"/>
    <xf numFmtId="0" fontId="112" fillId="76" borderId="11" applyNumberFormat="0" applyProtection="0">
      <alignment horizontal="right"/>
    </xf>
    <xf numFmtId="0" fontId="16" fillId="76" borderId="11" applyNumberFormat="0" applyProtection="0">
      <alignment horizontal="right"/>
    </xf>
    <xf numFmtId="0" fontId="16" fillId="76" borderId="11" applyNumberFormat="0" applyProtection="0">
      <alignment horizontal="right"/>
    </xf>
    <xf numFmtId="0" fontId="0" fillId="0" borderId="0"/>
    <xf numFmtId="0" fontId="0" fillId="0" borderId="0"/>
    <xf numFmtId="0" fontId="112" fillId="76" borderId="11" applyNumberFormat="0" applyProtection="0">
      <alignment horizontal="right"/>
    </xf>
    <xf numFmtId="0" fontId="0" fillId="0" borderId="0"/>
    <xf numFmtId="0" fontId="0" fillId="0" borderId="0"/>
    <xf numFmtId="0" fontId="113" fillId="76" borderId="0" applyNumberFormat="0" applyBorder="0" applyProtection="0">
      <alignment horizontal="left"/>
    </xf>
    <xf numFmtId="0" fontId="114" fillId="76" borderId="0" applyNumberFormat="0" applyBorder="0" applyProtection="0">
      <alignment horizontal="left"/>
    </xf>
    <xf numFmtId="0" fontId="114" fillId="76" borderId="0" applyNumberFormat="0" applyBorder="0" applyProtection="0">
      <alignment horizontal="left"/>
    </xf>
    <xf numFmtId="0" fontId="0" fillId="0" borderId="0"/>
    <xf numFmtId="0" fontId="0" fillId="0" borderId="0"/>
    <xf numFmtId="0" fontId="113" fillId="76" borderId="0" applyNumberFormat="0" applyBorder="0" applyProtection="0">
      <alignment horizontal="left"/>
    </xf>
    <xf numFmtId="0" fontId="0" fillId="0" borderId="0"/>
    <xf numFmtId="0" fontId="0" fillId="0" borderId="0"/>
    <xf numFmtId="0" fontId="112" fillId="76" borderId="11" applyNumberFormat="0" applyProtection="0">
      <alignment horizontal="left"/>
    </xf>
    <xf numFmtId="0" fontId="16" fillId="76" borderId="11" applyNumberFormat="0" applyProtection="0">
      <alignment horizontal="left"/>
    </xf>
    <xf numFmtId="0" fontId="16" fillId="76" borderId="11" applyNumberFormat="0" applyProtection="0">
      <alignment horizontal="left"/>
    </xf>
    <xf numFmtId="0" fontId="0" fillId="0" borderId="0"/>
    <xf numFmtId="0" fontId="0" fillId="0" borderId="0"/>
    <xf numFmtId="0" fontId="112" fillId="76" borderId="11" applyNumberFormat="0" applyProtection="0">
      <alignment horizontal="left"/>
    </xf>
    <xf numFmtId="0" fontId="0" fillId="0" borderId="0"/>
    <xf numFmtId="0" fontId="0" fillId="0" borderId="0"/>
    <xf numFmtId="0" fontId="7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72" fillId="0" borderId="11" applyNumberFormat="0" applyFill="0" applyProtection="0">
      <alignment horizontal="right"/>
    </xf>
    <xf numFmtId="0" fontId="0" fillId="0" borderId="0"/>
    <xf numFmtId="0" fontId="0" fillId="0" borderId="0"/>
    <xf numFmtId="0" fontId="72" fillId="0" borderId="11" applyNumberFormat="0" applyFill="0" applyProtection="0">
      <alignment horizontal="right"/>
    </xf>
    <xf numFmtId="0" fontId="0" fillId="0" borderId="0"/>
    <xf numFmtId="0" fontId="0" fillId="0" borderId="0"/>
    <xf numFmtId="0" fontId="115" fillId="63" borderId="0" applyNumberFormat="0" applyBorder="0" applyProtection="0">
      <alignment horizontal="left"/>
    </xf>
    <xf numFmtId="0" fontId="116" fillId="63" borderId="0" applyNumberFormat="0" applyBorder="0" applyProtection="0">
      <alignment horizontal="left"/>
    </xf>
    <xf numFmtId="0" fontId="116" fillId="63" borderId="0" applyNumberFormat="0" applyBorder="0" applyProtection="0">
      <alignment horizontal="left"/>
    </xf>
    <xf numFmtId="0" fontId="0" fillId="0" borderId="0"/>
    <xf numFmtId="0" fontId="0" fillId="0" borderId="0"/>
    <xf numFmtId="0" fontId="115" fillId="63"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118" fillId="77" borderId="0" applyNumberFormat="0" applyBorder="0" applyProtection="0">
      <alignment horizontal="left"/>
    </xf>
    <xf numFmtId="0" fontId="118" fillId="77" borderId="0" applyNumberFormat="0" applyBorder="0" applyProtection="0">
      <alignment horizontal="left"/>
    </xf>
    <xf numFmtId="0" fontId="0" fillId="0" borderId="0"/>
    <xf numFmtId="0" fontId="0" fillId="0" borderId="0"/>
    <xf numFmtId="0" fontId="117" fillId="77" borderId="0" applyNumberFormat="0" applyBorder="0" applyProtection="0">
      <alignment horizontal="left"/>
    </xf>
    <xf numFmtId="0" fontId="0" fillId="0" borderId="0"/>
    <xf numFmtId="0" fontId="0" fillId="0" borderId="0"/>
    <xf numFmtId="197" fontId="119" fillId="78" borderId="57">
      <alignment vertical="center"/>
    </xf>
    <xf numFmtId="0" fontId="0" fillId="0" borderId="0"/>
    <xf numFmtId="0" fontId="0" fillId="0" borderId="0"/>
    <xf numFmtId="0" fontId="0" fillId="0" borderId="0"/>
    <xf numFmtId="0" fontId="0" fillId="0" borderId="0"/>
    <xf numFmtId="0" fontId="0" fillId="0" borderId="0"/>
    <xf numFmtId="197" fontId="119" fillId="78" borderId="57">
      <alignment vertical="center"/>
    </xf>
    <xf numFmtId="0" fontId="0" fillId="0" borderId="0"/>
    <xf numFmtId="0" fontId="0" fillId="0" borderId="0"/>
    <xf numFmtId="179" fontId="120" fillId="78" borderId="57">
      <alignment vertical="center"/>
    </xf>
    <xf numFmtId="0" fontId="0" fillId="0" borderId="0"/>
    <xf numFmtId="0" fontId="0" fillId="0" borderId="0"/>
    <xf numFmtId="0" fontId="0" fillId="0" borderId="0"/>
    <xf numFmtId="0" fontId="0" fillId="0" borderId="0"/>
    <xf numFmtId="0" fontId="0" fillId="0" borderId="0"/>
    <xf numFmtId="179" fontId="120" fillId="78" borderId="57">
      <alignment vertical="center"/>
    </xf>
    <xf numFmtId="0" fontId="0" fillId="0" borderId="0"/>
    <xf numFmtId="0" fontId="0" fillId="0" borderId="0"/>
    <xf numFmtId="197" fontId="121" fillId="79" borderId="57">
      <alignment vertical="center"/>
    </xf>
    <xf numFmtId="0" fontId="0" fillId="0" borderId="0"/>
    <xf numFmtId="0" fontId="0" fillId="0" borderId="0"/>
    <xf numFmtId="0" fontId="0" fillId="0" borderId="0"/>
    <xf numFmtId="0" fontId="0" fillId="0" borderId="0"/>
    <xf numFmtId="0" fontId="0" fillId="0" borderId="0"/>
    <xf numFmtId="197" fontId="121" fillId="79" borderId="57">
      <alignment vertical="center"/>
    </xf>
    <xf numFmtId="0" fontId="0" fillId="0" borderId="0"/>
    <xf numFmtId="0" fontId="0" fillId="0" borderId="0"/>
    <xf numFmtId="0" fontId="0" fillId="80"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80" borderId="15" applyBorder="0">
      <alignment horizontal="left" vertical="center"/>
    </xf>
    <xf numFmtId="0" fontId="0" fillId="0" borderId="0"/>
    <xf numFmtId="0" fontId="0" fillId="0" borderId="0"/>
    <xf numFmtId="49" fontId="0" fillId="81" borderId="11">
      <alignment vertical="center" wrapText="1"/>
    </xf>
    <xf numFmtId="0" fontId="0" fillId="0" borderId="0"/>
    <xf numFmtId="0" fontId="0" fillId="0" borderId="0"/>
    <xf numFmtId="0" fontId="0" fillId="0" borderId="0"/>
    <xf numFmtId="0" fontId="0" fillId="0" borderId="0"/>
    <xf numFmtId="0" fontId="0" fillId="0" borderId="0"/>
    <xf numFmtId="49" fontId="0" fillId="81" borderId="11">
      <alignment vertical="center" wrapText="1"/>
    </xf>
    <xf numFmtId="0" fontId="0" fillId="0" borderId="0"/>
    <xf numFmtId="0" fontId="0" fillId="0" borderId="0"/>
    <xf numFmtId="0" fontId="0" fillId="82"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82" borderId="58">
      <alignment horizontal="left" vertical="center" wrapText="1"/>
    </xf>
    <xf numFmtId="0" fontId="0" fillId="0" borderId="0"/>
    <xf numFmtId="0" fontId="0" fillId="0" borderId="0"/>
    <xf numFmtId="0" fontId="122" fillId="83"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22" fillId="83"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4"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4" borderId="11">
      <alignment horizontal="left" vertical="center" wrapText="1"/>
    </xf>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124" fillId="0" borderId="0" applyNumberFormat="0" applyFill="0" applyBorder="0" applyAlignment="0" applyProtection="0"/>
    <xf numFmtId="0" fontId="0" fillId="0" borderId="0"/>
    <xf numFmtId="0" fontId="0" fillId="0" borderId="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0" fillId="0" borderId="0"/>
    <xf numFmtId="0" fontId="0" fillId="0" borderId="0"/>
    <xf numFmtId="0" fontId="124"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4" fillId="0" borderId="0" applyNumberFormat="0" applyFill="0" applyBorder="0" applyAlignment="0" applyProtection="0"/>
    <xf numFmtId="0" fontId="124"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4" fillId="0" borderId="0" applyNumberFormat="0" applyFill="0" applyBorder="0" applyAlignment="0" applyProtection="0"/>
    <xf numFmtId="0" fontId="123" fillId="0" borderId="0" applyNumberFormat="0" applyFill="0" applyBorder="0" applyAlignment="0" applyProtection="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78" fillId="0" borderId="59" applyNumberFormat="0" applyFill="0" applyAlignment="0" applyProtection="0"/>
    <xf numFmtId="0" fontId="0" fillId="0" borderId="0"/>
    <xf numFmtId="0" fontId="0" fillId="0" borderId="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0" fillId="0" borderId="0"/>
    <xf numFmtId="0" fontId="0" fillId="0" borderId="0"/>
    <xf numFmtId="0" fontId="78" fillId="0" borderId="59"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59" applyNumberFormat="0" applyFill="0" applyAlignment="0" applyProtection="0"/>
    <xf numFmtId="0" fontId="78" fillId="0" borderId="59" applyNumberFormat="0" applyFill="0" applyAlignment="0" applyProtection="0"/>
    <xf numFmtId="0" fontId="0" fillId="0" borderId="0"/>
    <xf numFmtId="0" fontId="0" fillId="0" borderId="0"/>
    <xf numFmtId="0" fontId="78" fillId="0" borderId="47" applyNumberFormat="0" applyFill="0" applyAlignment="0" applyProtection="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59" applyNumberFormat="0" applyFill="0" applyAlignment="0" applyProtection="0"/>
    <xf numFmtId="0" fontId="78" fillId="0" borderId="47" applyNumberFormat="0" applyFill="0" applyAlignment="0" applyProtection="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8" fillId="0" borderId="47" applyNumberFormat="0" applyFill="0" applyAlignment="0" applyProtection="0"/>
    <xf numFmtId="0" fontId="0" fillId="0" borderId="0"/>
    <xf numFmtId="0" fontId="0" fillId="0" borderId="0"/>
    <xf numFmtId="0" fontId="123" fillId="0" borderId="0" applyNumberFormat="0" applyFill="0" applyBorder="0" applyAlignment="0" applyProtection="0"/>
    <xf numFmtId="0" fontId="8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85" fillId="0" borderId="48" applyNumberFormat="0" applyFill="0" applyAlignment="0" applyProtection="0"/>
    <xf numFmtId="0" fontId="0" fillId="0" borderId="0"/>
    <xf numFmtId="0" fontId="0" fillId="0" borderId="0"/>
    <xf numFmtId="0" fontId="123" fillId="0" borderId="0" applyNumberFormat="0" applyFill="0" applyBorder="0" applyAlignment="0" applyProtection="0"/>
    <xf numFmtId="0" fontId="0" fillId="0" borderId="0"/>
    <xf numFmtId="0" fontId="0" fillId="0" borderId="0"/>
    <xf numFmtId="0" fontId="8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87" fillId="0" borderId="50" applyNumberFormat="0" applyFill="0" applyAlignment="0" applyProtection="0"/>
    <xf numFmtId="0" fontId="0" fillId="0" borderId="0"/>
    <xf numFmtId="0" fontId="0" fillId="0" borderId="0"/>
    <xf numFmtId="0" fontId="8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89" fillId="0" borderId="52" applyNumberFormat="0" applyFill="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10" fillId="0" borderId="0" applyFont="0" applyFill="0" applyBorder="0" applyAlignment="0" applyProtection="0"/>
    <xf numFmtId="0" fontId="9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96" fillId="0" borderId="54" applyNumberFormat="0" applyFill="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97" fillId="0" borderId="0" applyNumberFormat="0" applyFill="0" applyBorder="0" applyAlignment="0" applyProtection="0"/>
    <xf numFmtId="0" fontId="0" fillId="0" borderId="0"/>
    <xf numFmtId="0" fontId="0" fillId="0" borderId="0"/>
    <xf numFmtId="0" fontId="39" fillId="71" borderId="43" applyNumberFormat="0" applyAlignment="0" applyProtection="0"/>
    <xf numFmtId="0" fontId="0" fillId="0" borderId="0"/>
    <xf numFmtId="0" fontId="0" fillId="0" borderId="0"/>
    <xf numFmtId="0" fontId="0" fillId="0" borderId="0"/>
    <xf numFmtId="0" fontId="0" fillId="0" borderId="0"/>
    <xf numFmtId="0" fontId="0" fillId="0" borderId="0"/>
    <xf numFmtId="0" fontId="39" fillId="71" borderId="43" applyNumberFormat="0" applyAlignment="0" applyProtection="0"/>
    <xf numFmtId="0" fontId="0" fillId="0" borderId="0"/>
    <xf numFmtId="0" fontId="0" fillId="0" borderId="0"/>
    <xf numFmtId="0" fontId="12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25" fillId="0" borderId="0" applyNumberFormat="0" applyFill="0" applyBorder="0" applyAlignment="0" applyProtection="0"/>
    <xf numFmtId="0" fontId="0" fillId="0" borderId="0"/>
    <xf numFmtId="0" fontId="0" fillId="0" borderId="0"/>
    <xf numFmtId="0" fontId="62" fillId="0" borderId="0"/>
    <xf numFmtId="0" fontId="12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26" fillId="0" borderId="0" applyNumberFormat="0" applyFill="0" applyBorder="0" applyAlignment="0" applyProtection="0">
      <alignment vertical="center"/>
    </xf>
    <xf numFmtId="0" fontId="0" fillId="0" borderId="0"/>
    <xf numFmtId="0" fontId="0" fillId="0" borderId="0"/>
  </cellStyleXfs>
  <cellXfs count="469">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1" fillId="0" borderId="0" xfId="0" applyFont="1" applyAlignment="1">
      <alignment horizontal="center"/>
    </xf>
    <xf numFmtId="0" fontId="8" fillId="0" borderId="0" xfId="0" applyFont="1" applyAlignment="1">
      <alignment horizontal="left"/>
    </xf>
    <xf numFmtId="0" fontId="12"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3" fillId="0" borderId="0" xfId="0" applyFont="1" applyAlignment="1">
      <alignment vertical="center"/>
    </xf>
    <xf numFmtId="0" fontId="0" fillId="0" borderId="0" xfId="0" applyAlignment="1">
      <alignment vertical="center"/>
    </xf>
    <xf numFmtId="0" fontId="14" fillId="0" borderId="0" xfId="0" applyFont="1" applyFill="1" applyAlignment="1">
      <alignment vertical="center"/>
    </xf>
    <xf numFmtId="0" fontId="15" fillId="0" borderId="0" xfId="0" applyFont="1" applyAlignment="1">
      <alignment vertical="center"/>
    </xf>
    <xf numFmtId="0" fontId="16" fillId="6" borderId="7" xfId="0" applyFont="1" applyFill="1" applyBorder="1" applyAlignment="1">
      <alignment vertical="center"/>
    </xf>
    <xf numFmtId="201" fontId="16" fillId="6" borderId="9" xfId="0" applyNumberFormat="1" applyFont="1" applyFill="1" applyBorder="1" applyAlignment="1">
      <alignment vertical="center"/>
    </xf>
    <xf numFmtId="0" fontId="16" fillId="6" borderId="9" xfId="4563" applyFont="1" applyFill="1" applyBorder="1" applyAlignment="1">
      <alignment horizontal="center" vertical="center" wrapText="1"/>
    </xf>
    <xf numFmtId="0" fontId="17" fillId="7" borderId="9" xfId="3561" applyFont="1" applyFill="1" applyBorder="1" applyAlignment="1">
      <alignment horizontal="left" vertical="center" wrapText="1"/>
    </xf>
    <xf numFmtId="0" fontId="17"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4"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6" fillId="0" borderId="11" xfId="4563" applyFont="1" applyFill="1" applyBorder="1" applyAlignment="1">
      <alignment horizontal="center" vertical="center" wrapText="1"/>
    </xf>
    <xf numFmtId="0" fontId="17"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5" fillId="0" borderId="0" xfId="0" applyNumberFormat="1" applyFont="1" applyAlignment="1">
      <alignment vertical="center"/>
    </xf>
    <xf numFmtId="201" fontId="0" fillId="0" borderId="0" xfId="0" applyNumberFormat="1" applyAlignment="1">
      <alignment vertical="center"/>
    </xf>
    <xf numFmtId="201" fontId="17"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6" fillId="6" borderId="7" xfId="0" applyNumberFormat="1" applyFont="1" applyFill="1" applyBorder="1" applyAlignment="1">
      <alignment vertical="center"/>
    </xf>
    <xf numFmtId="201" fontId="16"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8" fillId="9" borderId="0" xfId="0" applyFont="1" applyFill="1"/>
    <xf numFmtId="0" fontId="0" fillId="9" borderId="0" xfId="0" applyFill="1" applyAlignment="1">
      <alignment wrapText="1"/>
    </xf>
    <xf numFmtId="0" fontId="19" fillId="9" borderId="0" xfId="7830" applyFont="1" applyFill="1" applyAlignment="1">
      <alignment horizontal="left" vertical="center"/>
    </xf>
    <xf numFmtId="201" fontId="7" fillId="9" borderId="0" xfId="25" applyNumberFormat="1" applyFont="1" applyFill="1" applyAlignment="1"/>
    <xf numFmtId="0" fontId="20" fillId="9" borderId="0" xfId="7830" applyFill="1"/>
    <xf numFmtId="0" fontId="21"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21" fillId="9" borderId="12" xfId="7830" applyNumberFormat="1" applyFont="1" applyFill="1" applyBorder="1" applyAlignment="1">
      <alignment horizontal="center" vertical="center"/>
    </xf>
    <xf numFmtId="0" fontId="22" fillId="9" borderId="0" xfId="7830" applyFont="1" applyFill="1" applyAlignment="1">
      <alignment horizontal="left" vertical="center" wrapText="1"/>
    </xf>
    <xf numFmtId="2" fontId="23" fillId="9" borderId="0" xfId="7830" applyNumberFormat="1" applyFont="1" applyFill="1" applyAlignment="1">
      <alignment horizontal="right" vertical="center"/>
    </xf>
    <xf numFmtId="0" fontId="24" fillId="0" borderId="11" xfId="0" applyFont="1" applyFill="1" applyBorder="1"/>
    <xf numFmtId="0" fontId="25" fillId="0" borderId="0" xfId="6" applyAlignment="1"/>
    <xf numFmtId="0" fontId="0" fillId="0" borderId="0" xfId="0" applyAlignment="1">
      <alignment wrapText="1"/>
    </xf>
    <xf numFmtId="0" fontId="24" fillId="0" borderId="0" xfId="0" applyFont="1"/>
    <xf numFmtId="0" fontId="25" fillId="0" borderId="0" xfId="6" applyAlignment="1">
      <alignment wrapText="1"/>
    </xf>
    <xf numFmtId="0" fontId="26"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7" fillId="7" borderId="12" xfId="3613" applyFont="1" applyFill="1" applyBorder="1" applyAlignment="1">
      <alignment horizontal="left" vertical="center" wrapText="1"/>
    </xf>
    <xf numFmtId="0" fontId="17" fillId="7" borderId="12" xfId="3613" applyFont="1" applyFill="1" applyBorder="1" applyAlignment="1">
      <alignment horizontal="center" vertical="center" wrapText="1"/>
    </xf>
    <xf numFmtId="0" fontId="17"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27" fillId="0" borderId="11" xfId="0" applyFont="1" applyFill="1" applyBorder="1" applyAlignment="1">
      <alignment horizontal="center" vertical="center"/>
    </xf>
    <xf numFmtId="9" fontId="27"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27"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Border="1"/>
    <xf numFmtId="0" fontId="0" fillId="0" borderId="0" xfId="0" applyFill="1" applyBorder="1"/>
    <xf numFmtId="2" fontId="0" fillId="0" borderId="0" xfId="0" applyNumberFormat="1" applyBorder="1"/>
    <xf numFmtId="201" fontId="17" fillId="7" borderId="13" xfId="3613" applyNumberFormat="1" applyFont="1" applyFill="1" applyBorder="1" applyAlignment="1">
      <alignment horizontal="left" vertical="center" wrapText="1"/>
    </xf>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24" fillId="0" borderId="0" xfId="0" applyNumberFormat="1" applyFont="1" applyFill="1" applyAlignment="1">
      <alignment vertical="center"/>
    </xf>
    <xf numFmtId="201" fontId="24" fillId="0" borderId="0" xfId="0" applyNumberFormat="1" applyFont="1" applyFill="1" applyBorder="1" applyAlignment="1">
      <alignment vertical="center"/>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201" fontId="17" fillId="7" borderId="12" xfId="3613" applyNumberFormat="1" applyFont="1" applyFill="1" applyBorder="1" applyAlignment="1">
      <alignment horizontal="left" vertical="center" wrapText="1"/>
    </xf>
    <xf numFmtId="0" fontId="24" fillId="6" borderId="9" xfId="4563" applyFont="1" applyFill="1" applyBorder="1" applyAlignment="1">
      <alignment horizontal="center" vertical="center" wrapText="1"/>
    </xf>
    <xf numFmtId="0" fontId="28" fillId="7" borderId="12" xfId="3613" applyFont="1" applyFill="1" applyBorder="1" applyAlignment="1">
      <alignment horizontal="center" vertical="center" wrapText="1"/>
    </xf>
    <xf numFmtId="0" fontId="17" fillId="7" borderId="7" xfId="3613" applyFont="1" applyFill="1" applyBorder="1" applyAlignment="1">
      <alignment horizontal="center" vertical="center" wrapText="1"/>
    </xf>
    <xf numFmtId="200" fontId="27"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27" fillId="0" borderId="0" xfId="0" applyFont="1" applyFill="1" applyAlignment="1">
      <alignment horizontal="center" vertical="center"/>
    </xf>
    <xf numFmtId="0" fontId="14" fillId="0" borderId="0" xfId="0" applyFont="1"/>
    <xf numFmtId="202" fontId="0" fillId="0" borderId="11" xfId="0" applyNumberFormat="1" applyBorder="1" applyAlignment="1">
      <alignment horizontal="center"/>
    </xf>
    <xf numFmtId="0" fontId="29" fillId="0" borderId="0" xfId="0" applyFont="1"/>
    <xf numFmtId="0" fontId="0" fillId="0" borderId="11" xfId="0" applyBorder="1" applyAlignment="1">
      <alignment vertical="center"/>
    </xf>
    <xf numFmtId="0" fontId="0" fillId="0" borderId="0" xfId="0" applyFill="1" applyAlignment="1">
      <alignment horizontal="right" vertical="center"/>
    </xf>
    <xf numFmtId="0" fontId="30" fillId="0" borderId="11" xfId="0" applyFont="1" applyBorder="1"/>
    <xf numFmtId="0" fontId="29" fillId="0" borderId="11" xfId="0" applyFont="1" applyBorder="1" applyAlignment="1">
      <alignment vertical="center"/>
    </xf>
    <xf numFmtId="0" fontId="0" fillId="0" borderId="0" xfId="8471" applyFill="1"/>
    <xf numFmtId="10" fontId="27" fillId="0" borderId="11" xfId="0" applyNumberFormat="1" applyFont="1" applyFill="1" applyBorder="1" applyAlignment="1">
      <alignment horizontal="center" vertical="center"/>
    </xf>
    <xf numFmtId="0" fontId="24" fillId="0" borderId="0" xfId="0" applyFont="1" applyFill="1" applyAlignment="1">
      <alignment vertical="center"/>
    </xf>
    <xf numFmtId="0" fontId="24" fillId="0" borderId="0" xfId="0" applyFont="1" applyFill="1" applyAlignment="1">
      <alignment horizontal="left"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Fill="1" applyAlignment="1">
      <alignment vertical="center"/>
    </xf>
    <xf numFmtId="0" fontId="29" fillId="0" borderId="0" xfId="0" applyFont="1" applyFill="1" applyBorder="1" applyAlignment="1">
      <alignment vertical="center"/>
    </xf>
    <xf numFmtId="0" fontId="0" fillId="10" borderId="0" xfId="0" applyFill="1" applyBorder="1" applyAlignment="1">
      <alignment vertical="center"/>
    </xf>
    <xf numFmtId="0" fontId="0" fillId="0" borderId="0" xfId="0" applyBorder="1" applyAlignment="1">
      <alignment vertical="center"/>
    </xf>
    <xf numFmtId="0" fontId="0" fillId="0" borderId="0" xfId="8469"/>
    <xf numFmtId="0" fontId="16" fillId="0" borderId="0" xfId="8469" applyFont="1" applyAlignment="1">
      <alignment vertical="center"/>
    </xf>
    <xf numFmtId="0" fontId="0" fillId="0" borderId="0" xfId="8469" applyFill="1"/>
    <xf numFmtId="0" fontId="24" fillId="0" borderId="0" xfId="0" applyFont="1" applyAlignment="1">
      <alignment vertical="center"/>
    </xf>
    <xf numFmtId="0" fontId="30" fillId="0" borderId="0" xfId="0" applyFont="1"/>
    <xf numFmtId="0" fontId="30" fillId="0" borderId="0" xfId="0" applyFont="1" applyAlignment="1">
      <alignment vertical="center"/>
    </xf>
    <xf numFmtId="0" fontId="31" fillId="0" borderId="0" xfId="0" applyFont="1" applyAlignment="1">
      <alignment vertical="center"/>
    </xf>
    <xf numFmtId="0" fontId="32" fillId="0" borderId="0" xfId="6" applyFont="1" applyAlignment="1"/>
    <xf numFmtId="0" fontId="33" fillId="0" borderId="0" xfId="6" applyFont="1" applyAlignment="1"/>
    <xf numFmtId="0" fontId="15" fillId="0" borderId="0" xfId="0" applyFont="1" applyFill="1" applyAlignment="1">
      <alignment vertical="center"/>
    </xf>
    <xf numFmtId="0" fontId="34" fillId="0" borderId="0" xfId="0" applyFont="1" applyAlignment="1">
      <alignment vertical="center"/>
    </xf>
    <xf numFmtId="0" fontId="27" fillId="6" borderId="9" xfId="4563" applyFont="1" applyFill="1" applyBorder="1" applyAlignment="1">
      <alignment horizontal="center" vertical="center" wrapText="1"/>
    </xf>
    <xf numFmtId="0" fontId="35" fillId="0" borderId="11" xfId="0" applyFont="1" applyFill="1" applyBorder="1" applyAlignment="1">
      <alignment horizontal="center" vertical="center"/>
    </xf>
    <xf numFmtId="0" fontId="0" fillId="0" borderId="0" xfId="0" applyFill="1" applyBorder="1" applyAlignment="1">
      <alignment vertical="center"/>
    </xf>
    <xf numFmtId="201" fontId="24" fillId="0" borderId="0" xfId="0" applyNumberFormat="1" applyFont="1" applyFill="1" applyBorder="1" applyAlignment="1">
      <alignment vertical="center"/>
    </xf>
    <xf numFmtId="0" fontId="0" fillId="0" borderId="11" xfId="0" applyFill="1" applyBorder="1" applyAlignment="1">
      <alignment horizontal="center" vertical="center"/>
    </xf>
    <xf numFmtId="201" fontId="24" fillId="0" borderId="0" xfId="0" applyNumberFormat="1" applyFont="1" applyFill="1" applyBorder="1" applyAlignment="1">
      <alignment vertical="center"/>
    </xf>
    <xf numFmtId="201" fontId="0" fillId="0" borderId="0" xfId="0" applyNumberFormat="1" applyFill="1" applyBorder="1" applyAlignment="1">
      <alignment vertical="center"/>
    </xf>
    <xf numFmtId="0" fontId="0" fillId="0" borderId="0" xfId="0" applyFill="1" applyBorder="1" applyAlignment="1">
      <alignment vertical="center"/>
    </xf>
    <xf numFmtId="0" fontId="0" fillId="0" borderId="11" xfId="0" applyFill="1" applyBorder="1" applyAlignment="1">
      <alignment horizontal="center" vertical="center"/>
    </xf>
    <xf numFmtId="201" fontId="0" fillId="0" borderId="0" xfId="0" applyNumberFormat="1" applyFont="1" applyFill="1" applyBorder="1" applyAlignment="1">
      <alignment vertical="center"/>
    </xf>
    <xf numFmtId="0" fontId="0" fillId="0" borderId="11" xfId="0" applyFill="1" applyBorder="1" applyAlignment="1">
      <alignment vertical="center"/>
    </xf>
    <xf numFmtId="2" fontId="0" fillId="0" borderId="11" xfId="0" applyNumberFormat="1" applyFill="1" applyBorder="1" applyAlignment="1">
      <alignment horizontal="center" vertical="center"/>
    </xf>
    <xf numFmtId="0" fontId="0" fillId="0" borderId="0" xfId="0" applyFont="1" applyFill="1" applyBorder="1" applyAlignment="1">
      <alignment vertical="center"/>
    </xf>
    <xf numFmtId="201" fontId="24" fillId="11" borderId="0" xfId="0" applyNumberFormat="1" applyFont="1" applyFill="1" applyBorder="1" applyAlignment="1">
      <alignment vertical="center"/>
    </xf>
    <xf numFmtId="201" fontId="0" fillId="11" borderId="0" xfId="0" applyNumberFormat="1" applyFill="1" applyBorder="1" applyAlignment="1">
      <alignment vertical="center"/>
    </xf>
    <xf numFmtId="0" fontId="0" fillId="11" borderId="0" xfId="0" applyFill="1" applyBorder="1" applyAlignment="1">
      <alignment vertical="center"/>
    </xf>
    <xf numFmtId="0" fontId="0" fillId="11" borderId="0" xfId="0" applyFont="1" applyFill="1" applyBorder="1" applyAlignment="1">
      <alignment vertical="center"/>
    </xf>
    <xf numFmtId="0" fontId="0" fillId="11" borderId="11" xfId="0" applyFill="1" applyBorder="1" applyAlignment="1">
      <alignment vertical="center"/>
    </xf>
    <xf numFmtId="0" fontId="0" fillId="11" borderId="11" xfId="0" applyFill="1" applyBorder="1" applyAlignment="1">
      <alignment horizontal="center" vertical="center"/>
    </xf>
    <xf numFmtId="0" fontId="18" fillId="0" borderId="0" xfId="0" applyFont="1" applyFill="1" applyBorder="1" applyAlignment="1">
      <alignment vertical="center"/>
    </xf>
    <xf numFmtId="2" fontId="0" fillId="11" borderId="11" xfId="0" applyNumberFormat="1" applyFill="1" applyBorder="1" applyAlignment="1">
      <alignment horizontal="center" vertical="center"/>
    </xf>
    <xf numFmtId="201" fontId="0" fillId="11" borderId="0" xfId="0" applyNumberFormat="1" applyFont="1" applyFill="1" applyBorder="1" applyAlignment="1">
      <alignment vertical="center"/>
    </xf>
    <xf numFmtId="201" fontId="24"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0" borderId="8" xfId="0" applyNumberFormat="1" applyFont="1" applyFill="1" applyBorder="1" applyAlignment="1">
      <alignment vertical="center"/>
    </xf>
    <xf numFmtId="201" fontId="0" fillId="0" borderId="0" xfId="0" applyNumberFormat="1" applyFill="1" applyBorder="1" applyAlignment="1">
      <alignment vertical="center"/>
    </xf>
    <xf numFmtId="0" fontId="0" fillId="0" borderId="0" xfId="0" applyFont="1" applyFill="1" applyBorder="1" applyAlignment="1">
      <alignment vertical="center"/>
    </xf>
    <xf numFmtId="201" fontId="0" fillId="0" borderId="0" xfId="0" applyNumberFormat="1" applyFont="1" applyFill="1" applyBorder="1" applyAlignment="1">
      <alignment vertical="center"/>
    </xf>
    <xf numFmtId="0" fontId="0" fillId="0" borderId="11" xfId="0"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horizontal="center" vertical="center"/>
    </xf>
    <xf numFmtId="0" fontId="0" fillId="12" borderId="11" xfId="0" applyFill="1" applyBorder="1" applyAlignment="1">
      <alignment vertical="center"/>
    </xf>
    <xf numFmtId="201" fontId="24" fillId="12" borderId="0" xfId="0" applyNumberFormat="1" applyFont="1" applyFill="1" applyBorder="1" applyAlignment="1">
      <alignment vertical="center"/>
    </xf>
    <xf numFmtId="201" fontId="0" fillId="12" borderId="0" xfId="0" applyNumberFormat="1" applyFont="1" applyFill="1" applyBorder="1" applyAlignment="1">
      <alignment vertical="center"/>
    </xf>
    <xf numFmtId="0" fontId="29" fillId="12" borderId="0" xfId="0" applyFont="1" applyFill="1" applyBorder="1" applyAlignment="1">
      <alignment vertical="center"/>
    </xf>
    <xf numFmtId="2" fontId="0" fillId="0" borderId="11" xfId="0" applyNumberFormat="1" applyFill="1" applyBorder="1" applyAlignment="1">
      <alignment horizontal="center" vertical="center"/>
    </xf>
    <xf numFmtId="0" fontId="14" fillId="0" borderId="0" xfId="0" applyFont="1" applyFill="1" applyBorder="1" applyAlignment="1">
      <alignment vertical="center"/>
    </xf>
    <xf numFmtId="0" fontId="16" fillId="6" borderId="11" xfId="4563" applyFont="1" applyFill="1" applyBorder="1" applyAlignment="1">
      <alignment horizontal="center" vertical="center" wrapText="1"/>
    </xf>
    <xf numFmtId="0" fontId="16" fillId="6" borderId="9" xfId="4569" applyFont="1" applyFill="1" applyBorder="1" applyAlignment="1">
      <alignment horizontal="center" vertical="center" wrapText="1"/>
    </xf>
    <xf numFmtId="0" fontId="17" fillId="7" borderId="11" xfId="3561" applyFont="1" applyFill="1" applyBorder="1" applyAlignment="1">
      <alignment horizontal="center" vertical="center" wrapText="1"/>
    </xf>
    <xf numFmtId="0" fontId="17" fillId="7" borderId="9"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1" fontId="27" fillId="0" borderId="11" xfId="0" applyNumberFormat="1" applyFont="1" applyFill="1" applyBorder="1" applyAlignment="1">
      <alignment horizontal="center" vertical="center"/>
    </xf>
    <xf numFmtId="0" fontId="35"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27" fillId="0" borderId="11" xfId="0" applyFont="1" applyFill="1" applyBorder="1" applyAlignment="1">
      <alignment vertical="center"/>
    </xf>
    <xf numFmtId="0" fontId="0" fillId="0" borderId="14" xfId="0" applyFill="1" applyBorder="1" applyAlignment="1">
      <alignment horizontal="center" vertical="center"/>
    </xf>
    <xf numFmtId="0" fontId="0" fillId="0" borderId="0" xfId="0"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27" fillId="0" borderId="11" xfId="0" applyFont="1" applyFill="1" applyBorder="1" applyAlignment="1">
      <alignment vertical="center"/>
    </xf>
    <xf numFmtId="0" fontId="0" fillId="0" borderId="14" xfId="0" applyFill="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200" fontId="0" fillId="0" borderId="11" xfId="0" applyNumberFormat="1" applyFill="1" applyBorder="1" applyAlignment="1">
      <alignment horizontal="center" vertical="center"/>
    </xf>
    <xf numFmtId="1" fontId="27" fillId="0" borderId="11" xfId="0" applyNumberFormat="1" applyFont="1" applyFill="1" applyBorder="1" applyAlignment="1">
      <alignment horizontal="center"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1" borderId="0" xfId="0" applyNumberFormat="1" applyFill="1" applyBorder="1" applyAlignment="1">
      <alignment horizontal="center" vertical="center"/>
    </xf>
    <xf numFmtId="1" fontId="27" fillId="11" borderId="11" xfId="0" applyNumberFormat="1" applyFont="1" applyFill="1" applyBorder="1" applyAlignment="1">
      <alignment horizontal="center" vertical="center"/>
    </xf>
    <xf numFmtId="0" fontId="0" fillId="11" borderId="14" xfId="0" applyFill="1" applyBorder="1" applyAlignment="1">
      <alignment horizontal="center" vertical="center"/>
    </xf>
    <xf numFmtId="0" fontId="0" fillId="11" borderId="0" xfId="0" applyFill="1" applyBorder="1" applyAlignment="1">
      <alignment horizontal="center" vertical="center"/>
    </xf>
    <xf numFmtId="200" fontId="0" fillId="11" borderId="11" xfId="0" applyNumberFormat="1" applyFill="1" applyBorder="1" applyAlignment="1">
      <alignment horizontal="center" vertical="center"/>
    </xf>
    <xf numFmtId="2" fontId="0" fillId="11" borderId="14" xfId="0" applyNumberFormat="1" applyFill="1" applyBorder="1" applyAlignment="1">
      <alignment horizontal="center" vertical="center"/>
    </xf>
    <xf numFmtId="2" fontId="0" fillId="11"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9" fontId="0" fillId="0" borderId="0" xfId="0" applyNumberFormat="1" applyFill="1" applyBorder="1" applyAlignment="1">
      <alignment horizontal="center" vertical="center"/>
    </xf>
    <xf numFmtId="200" fontId="0" fillId="0" borderId="11" xfId="0" applyNumberFormat="1" applyFill="1" applyBorder="1" applyAlignment="1">
      <alignment horizontal="center" vertical="center"/>
    </xf>
    <xf numFmtId="1" fontId="27" fillId="0" borderId="11" xfId="0" applyNumberFormat="1" applyFont="1" applyFill="1" applyBorder="1" applyAlignment="1">
      <alignment horizontal="center" vertical="center"/>
    </xf>
    <xf numFmtId="0" fontId="0" fillId="12" borderId="14" xfId="0" applyFill="1" applyBorder="1" applyAlignment="1">
      <alignment vertical="center"/>
    </xf>
    <xf numFmtId="0" fontId="0" fillId="12" borderId="0" xfId="0" applyFill="1" applyBorder="1" applyAlignment="1">
      <alignment vertical="center"/>
    </xf>
    <xf numFmtId="9" fontId="0" fillId="12" borderId="0" xfId="0" applyNumberFormat="1" applyFill="1" applyBorder="1" applyAlignment="1">
      <alignment horizontal="center" vertical="center"/>
    </xf>
    <xf numFmtId="200" fontId="0" fillId="12" borderId="11" xfId="0" applyNumberFormat="1" applyFill="1" applyBorder="1" applyAlignment="1">
      <alignment horizontal="center" vertical="center"/>
    </xf>
    <xf numFmtId="1" fontId="27"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9" fontId="0" fillId="0" borderId="11" xfId="3" applyFont="1" applyFill="1" applyBorder="1" applyAlignment="1">
      <alignment horizontal="center" vertical="center"/>
    </xf>
    <xf numFmtId="1" fontId="36" fillId="0" borderId="11" xfId="0" applyNumberFormat="1" applyFont="1" applyFill="1" applyBorder="1" applyAlignment="1">
      <alignment horizontal="center" vertical="center"/>
    </xf>
    <xf numFmtId="2" fontId="36" fillId="0" borderId="11" xfId="0" applyNumberFormat="1" applyFont="1" applyFill="1" applyBorder="1" applyAlignment="1">
      <alignment horizontal="center" vertical="center"/>
    </xf>
    <xf numFmtId="0" fontId="36" fillId="0" borderId="11" xfId="0" applyFont="1" applyFill="1" applyBorder="1"/>
    <xf numFmtId="0" fontId="36" fillId="0" borderId="11" xfId="0" applyFont="1" applyFill="1" applyBorder="1" applyAlignment="1">
      <alignment vertical="center"/>
    </xf>
    <xf numFmtId="0" fontId="36" fillId="0" borderId="11" xfId="0" applyFont="1" applyFill="1" applyBorder="1"/>
    <xf numFmtId="0" fontId="36" fillId="0" borderId="11" xfId="0" applyFont="1" applyFill="1" applyBorder="1" applyAlignment="1">
      <alignment vertical="center"/>
    </xf>
    <xf numFmtId="0" fontId="0" fillId="0" borderId="0" xfId="0" applyFill="1"/>
    <xf numFmtId="1" fontId="36" fillId="0" borderId="11" xfId="0" applyNumberFormat="1" applyFont="1" applyFill="1" applyBorder="1" applyAlignment="1">
      <alignment horizontal="center" vertical="center"/>
    </xf>
    <xf numFmtId="2" fontId="36" fillId="0" borderId="11" xfId="0" applyNumberFormat="1" applyFont="1" applyFill="1" applyBorder="1" applyAlignment="1">
      <alignment horizontal="center" vertical="center"/>
    </xf>
    <xf numFmtId="2" fontId="36" fillId="11" borderId="11" xfId="0" applyNumberFormat="1" applyFont="1" applyFill="1" applyBorder="1" applyAlignment="1">
      <alignment horizontal="center" vertical="center"/>
    </xf>
    <xf numFmtId="2" fontId="36" fillId="0" borderId="11" xfId="0" applyNumberFormat="1" applyFont="1" applyFill="1" applyBorder="1" applyAlignment="1">
      <alignment horizontal="center" vertical="center"/>
    </xf>
    <xf numFmtId="2" fontId="36" fillId="12" borderId="11" xfId="0" applyNumberFormat="1" applyFont="1" applyFill="1" applyBorder="1" applyAlignment="1">
      <alignment horizontal="center"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0" borderId="8" xfId="0" applyNumberFormat="1" applyFont="1" applyFill="1" applyBorder="1" applyAlignment="1">
      <alignment vertical="center"/>
    </xf>
    <xf numFmtId="0" fontId="2" fillId="0" borderId="0" xfId="7828" applyFont="1"/>
    <xf numFmtId="0" fontId="2" fillId="0" borderId="0" xfId="7828"/>
    <xf numFmtId="0" fontId="0" fillId="0" borderId="0" xfId="7825" applyFill="1" applyBorder="1" applyAlignment="1">
      <alignment vertical="center"/>
    </xf>
    <xf numFmtId="0" fontId="0" fillId="13" borderId="0" xfId="0" applyFill="1" applyBorder="1" applyAlignment="1">
      <alignment horizontal="center" vertical="center"/>
    </xf>
    <xf numFmtId="201" fontId="0" fillId="13" borderId="0" xfId="0" applyNumberFormat="1" applyFill="1" applyBorder="1" applyAlignment="1">
      <alignment vertical="center"/>
    </xf>
    <xf numFmtId="0" fontId="0" fillId="13" borderId="0" xfId="0" applyFill="1" applyBorder="1" applyAlignment="1">
      <alignment vertical="center"/>
    </xf>
    <xf numFmtId="201" fontId="0" fillId="13" borderId="0" xfId="0" applyNumberFormat="1" applyFont="1" applyFill="1" applyBorder="1" applyAlignment="1">
      <alignment vertical="center"/>
    </xf>
    <xf numFmtId="0" fontId="0" fillId="0" borderId="0" xfId="0" applyFill="1" applyBorder="1" applyAlignment="1">
      <alignment horizontal="center" vertical="center"/>
    </xf>
    <xf numFmtId="201" fontId="18" fillId="0" borderId="0" xfId="0" applyNumberFormat="1" applyFont="1" applyFill="1" applyBorder="1" applyAlignment="1">
      <alignment vertical="center"/>
    </xf>
    <xf numFmtId="0" fontId="18" fillId="0" borderId="0" xfId="0" applyFont="1" applyFill="1" applyBorder="1" applyAlignment="1">
      <alignment horizontal="center" vertical="center"/>
    </xf>
    <xf numFmtId="0" fontId="3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4" fillId="0" borderId="0" xfId="0" applyNumberFormat="1" applyFont="1" applyFill="1" applyBorder="1" applyAlignment="1">
      <alignment vertical="center"/>
    </xf>
    <xf numFmtId="201" fontId="29" fillId="0" borderId="0" xfId="0" applyNumberFormat="1" applyFont="1" applyFill="1" applyBorder="1" applyAlignment="1">
      <alignment vertical="center"/>
    </xf>
    <xf numFmtId="201" fontId="16"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24" fillId="0" borderId="0" xfId="4563" applyNumberFormat="1" applyFont="1" applyFill="1" applyAlignment="1">
      <alignment vertical="center"/>
    </xf>
    <xf numFmtId="201" fontId="0" fillId="0" borderId="8" xfId="4563" applyNumberFormat="1" applyFont="1" applyFill="1" applyBorder="1" applyAlignment="1">
      <alignment vertical="center"/>
    </xf>
    <xf numFmtId="201" fontId="0" fillId="0" borderId="8" xfId="0" applyNumberForma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0"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0" borderId="0" xfId="0" applyNumberFormat="1" applyFill="1" applyBorder="1" applyAlignment="1">
      <alignment vertical="center"/>
    </xf>
    <xf numFmtId="0" fontId="0" fillId="0" borderId="14" xfId="0" applyFill="1" applyBorder="1" applyAlignment="1">
      <alignment vertical="center"/>
    </xf>
    <xf numFmtId="0" fontId="0" fillId="0" borderId="0" xfId="0" applyFill="1" applyBorder="1" applyAlignment="1">
      <alignment vertical="center"/>
    </xf>
    <xf numFmtId="1" fontId="0" fillId="0"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3" borderId="11" xfId="0" applyFill="1" applyBorder="1" applyAlignment="1">
      <alignment horizontal="center" vertical="center"/>
    </xf>
    <xf numFmtId="0" fontId="0" fillId="13" borderId="0" xfId="0" applyFill="1" applyBorder="1" applyAlignment="1">
      <alignment horizontal="center"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0" fillId="13" borderId="0" xfId="0" applyNumberFormat="1" applyFill="1" applyBorder="1" applyAlignment="1">
      <alignment horizontal="center" vertical="center"/>
    </xf>
    <xf numFmtId="1" fontId="36" fillId="13" borderId="0" xfId="0" applyNumberFormat="1" applyFont="1" applyFill="1" applyBorder="1" applyAlignment="1">
      <alignment horizontal="center" vertical="center"/>
    </xf>
    <xf numFmtId="1" fontId="30" fillId="13" borderId="0" xfId="0" applyNumberFormat="1" applyFont="1" applyFill="1" applyBorder="1" applyAlignment="1">
      <alignment horizontal="center" vertical="center"/>
    </xf>
    <xf numFmtId="0" fontId="0" fillId="0" borderId="15" xfId="0" applyFill="1" applyBorder="1" applyAlignment="1">
      <alignment horizontal="center" vertical="center"/>
    </xf>
    <xf numFmtId="0" fontId="0" fillId="0" borderId="0" xfId="0" applyFill="1" applyBorder="1" applyAlignment="1">
      <alignment horizontal="center" vertical="center"/>
    </xf>
    <xf numFmtId="200" fontId="0" fillId="11" borderId="15" xfId="0" applyNumberFormat="1" applyFill="1" applyBorder="1" applyAlignment="1">
      <alignment horizontal="center" vertical="center"/>
    </xf>
    <xf numFmtId="1" fontId="27" fillId="11" borderId="15" xfId="0" applyNumberFormat="1" applyFont="1" applyFill="1" applyBorder="1" applyAlignment="1">
      <alignment horizontal="center" vertical="center"/>
    </xf>
    <xf numFmtId="9" fontId="18" fillId="0" borderId="0" xfId="0" applyNumberFormat="1" applyFont="1" applyFill="1" applyBorder="1" applyAlignment="1">
      <alignment horizontal="center" vertical="center"/>
    </xf>
    <xf numFmtId="200" fontId="18" fillId="0" borderId="0" xfId="0" applyNumberFormat="1" applyFont="1" applyFill="1" applyBorder="1" applyAlignment="1">
      <alignment horizontal="center" vertical="center"/>
    </xf>
    <xf numFmtId="1" fontId="36" fillId="0" borderId="0" xfId="0" applyNumberFormat="1" applyFont="1" applyFill="1" applyBorder="1" applyAlignment="1">
      <alignment horizontal="center" vertical="center"/>
    </xf>
    <xf numFmtId="1" fontId="18"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36" fillId="13" borderId="11" xfId="0" applyNumberFormat="1" applyFont="1" applyFill="1" applyBorder="1" applyAlignment="1">
      <alignment horizontal="center" vertical="center"/>
    </xf>
    <xf numFmtId="2" fontId="36" fillId="13" borderId="11" xfId="0" applyNumberFormat="1" applyFont="1" applyFill="1" applyBorder="1" applyAlignment="1">
      <alignment horizontal="center" vertical="center"/>
    </xf>
    <xf numFmtId="1" fontId="36" fillId="0" borderId="15" xfId="0" applyNumberFormat="1" applyFont="1" applyFill="1" applyBorder="1" applyAlignment="1">
      <alignment horizontal="center" vertical="center"/>
    </xf>
    <xf numFmtId="2" fontId="36" fillId="11" borderId="15" xfId="0" applyNumberFormat="1" applyFont="1" applyFill="1" applyBorder="1" applyAlignment="1">
      <alignment horizontal="center" vertical="center"/>
    </xf>
    <xf numFmtId="2" fontId="36" fillId="0" borderId="0" xfId="0" applyNumberFormat="1" applyFont="1" applyFill="1" applyBorder="1" applyAlignment="1">
      <alignment horizontal="center" vertical="center"/>
    </xf>
    <xf numFmtId="0" fontId="18" fillId="0" borderId="0" xfId="0" applyFont="1" applyFill="1" applyBorder="1"/>
    <xf numFmtId="2" fontId="18" fillId="0" borderId="0" xfId="0" applyNumberFormat="1" applyFont="1" applyFill="1" applyBorder="1" applyAlignment="1">
      <alignment horizontal="center" vertical="center"/>
    </xf>
    <xf numFmtId="0" fontId="29" fillId="0" borderId="0" xfId="0" applyFont="1" applyFill="1" applyBorder="1"/>
    <xf numFmtId="199" fontId="0" fillId="0" borderId="0" xfId="0" applyNumberFormat="1" applyFill="1" applyBorder="1"/>
    <xf numFmtId="0" fontId="0" fillId="10" borderId="0" xfId="0" applyFill="1"/>
    <xf numFmtId="201" fontId="0" fillId="0" borderId="0" xfId="0" applyNumberFormat="1" applyFont="1" applyBorder="1" applyAlignment="1">
      <alignment vertical="center"/>
    </xf>
    <xf numFmtId="201" fontId="0" fillId="14" borderId="0" xfId="0" applyNumberFormat="1" applyFont="1" applyFill="1" applyBorder="1" applyAlignment="1">
      <alignment vertical="center"/>
    </xf>
    <xf numFmtId="201" fontId="0" fillId="0" borderId="0" xfId="0" applyNumberFormat="1" applyBorder="1" applyAlignment="1">
      <alignment vertical="center"/>
    </xf>
    <xf numFmtId="0" fontId="2" fillId="0" borderId="0" xfId="4563" applyBorder="1"/>
    <xf numFmtId="0" fontId="0" fillId="0" borderId="0" xfId="0" applyNumberFormat="1" applyFont="1" applyFill="1" applyBorder="1" applyAlignment="1" applyProtection="1"/>
    <xf numFmtId="0" fontId="35" fillId="0" borderId="0" xfId="0" applyNumberFormat="1" applyFont="1" applyFill="1" applyBorder="1" applyAlignment="1" applyProtection="1"/>
    <xf numFmtId="0" fontId="3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6" fillId="0" borderId="0" xfId="0" applyNumberFormat="1" applyFont="1" applyFill="1" applyBorder="1" applyAlignment="1" applyProtection="1">
      <alignment vertical="center"/>
    </xf>
    <xf numFmtId="0" fontId="15" fillId="0" borderId="0" xfId="0" applyNumberFormat="1" applyFont="1" applyFill="1" applyBorder="1" applyAlignment="1" applyProtection="1">
      <alignment vertical="center"/>
    </xf>
    <xf numFmtId="0" fontId="16" fillId="15" borderId="7" xfId="0" applyNumberFormat="1" applyFont="1" applyFill="1" applyBorder="1" applyAlignment="1" applyProtection="1">
      <alignment vertical="center"/>
    </xf>
    <xf numFmtId="201" fontId="16" fillId="15" borderId="9" xfId="0" applyNumberFormat="1" applyFont="1" applyFill="1" applyBorder="1" applyAlignment="1" applyProtection="1">
      <alignment vertical="center"/>
    </xf>
    <xf numFmtId="0" fontId="16" fillId="15" borderId="9" xfId="0" applyNumberFormat="1" applyFont="1" applyFill="1" applyBorder="1" applyAlignment="1" applyProtection="1">
      <alignment horizontal="center" vertical="center" wrapText="1"/>
    </xf>
    <xf numFmtId="0" fontId="17" fillId="16" borderId="9" xfId="0" applyNumberFormat="1" applyFont="1" applyFill="1" applyBorder="1" applyAlignment="1" applyProtection="1">
      <alignment horizontal="left" vertical="center" wrapText="1"/>
    </xf>
    <xf numFmtId="0" fontId="17" fillId="16" borderId="9" xfId="0" applyNumberFormat="1" applyFont="1" applyFill="1" applyBorder="1" applyAlignment="1" applyProtection="1">
      <alignment horizontal="center" vertical="center" wrapText="1"/>
    </xf>
    <xf numFmtId="201" fontId="0" fillId="0" borderId="0" xfId="0" applyNumberFormat="1" applyFont="1" applyFill="1" applyBorder="1" applyAlignment="1" applyProtection="1">
      <alignment vertical="center"/>
    </xf>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vertical="center"/>
    </xf>
    <xf numFmtId="201" fontId="17" fillId="16" borderId="9" xfId="0" applyNumberFormat="1" applyFont="1" applyFill="1" applyBorder="1" applyAlignment="1" applyProtection="1">
      <alignment horizontal="left" vertical="center" wrapText="1"/>
    </xf>
    <xf numFmtId="201" fontId="16" fillId="15" borderId="7" xfId="0" applyNumberFormat="1" applyFont="1" applyFill="1" applyBorder="1" applyAlignment="1" applyProtection="1">
      <alignment vertical="center"/>
    </xf>
    <xf numFmtId="201" fontId="16"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38" fillId="0" borderId="16" xfId="0" applyNumberFormat="1" applyFont="1" applyFill="1" applyBorder="1" applyAlignment="1" applyProtection="1">
      <alignment vertical="center"/>
    </xf>
    <xf numFmtId="0" fontId="39" fillId="0" borderId="17" xfId="0" applyNumberFormat="1" applyFont="1" applyFill="1" applyBorder="1" applyAlignment="1" applyProtection="1">
      <alignment horizontal="center" vertical="center"/>
    </xf>
    <xf numFmtId="0" fontId="40" fillId="0" borderId="18" xfId="0" applyNumberFormat="1" applyFont="1" applyFill="1" applyBorder="1" applyAlignment="1" applyProtection="1">
      <alignment vertical="center"/>
    </xf>
    <xf numFmtId="0" fontId="40" fillId="0" borderId="19" xfId="0" applyNumberFormat="1" applyFont="1" applyFill="1" applyBorder="1" applyAlignment="1" applyProtection="1">
      <alignment vertical="center"/>
    </xf>
    <xf numFmtId="0" fontId="40" fillId="0" borderId="20" xfId="0" applyNumberFormat="1" applyFont="1" applyFill="1" applyBorder="1" applyAlignment="1" applyProtection="1">
      <alignment vertical="center"/>
    </xf>
    <xf numFmtId="0" fontId="39" fillId="0" borderId="21" xfId="0" applyNumberFormat="1" applyFont="1" applyFill="1" applyBorder="1" applyAlignment="1" applyProtection="1">
      <alignment vertical="center"/>
    </xf>
    <xf numFmtId="0" fontId="41" fillId="0" borderId="22" xfId="0" applyNumberFormat="1" applyFont="1" applyFill="1" applyBorder="1" applyAlignment="1" applyProtection="1">
      <alignment horizontal="center" vertical="center"/>
    </xf>
    <xf numFmtId="0" fontId="42" fillId="0" borderId="22" xfId="0" applyNumberFormat="1" applyFont="1" applyFill="1" applyBorder="1" applyAlignment="1" applyProtection="1">
      <alignment horizontal="center" vertical="center"/>
    </xf>
    <xf numFmtId="0" fontId="41" fillId="0" borderId="23" xfId="0" applyNumberFormat="1" applyFont="1" applyFill="1" applyBorder="1" applyAlignment="1" applyProtection="1">
      <alignment horizontal="center" vertical="center"/>
    </xf>
    <xf numFmtId="0" fontId="42" fillId="0" borderId="23" xfId="0" applyNumberFormat="1" applyFont="1" applyFill="1" applyBorder="1" applyAlignment="1" applyProtection="1">
      <alignment horizontal="center" vertical="center"/>
    </xf>
    <xf numFmtId="0" fontId="40" fillId="0" borderId="24" xfId="0" applyNumberFormat="1" applyFont="1" applyFill="1" applyBorder="1" applyAlignment="1" applyProtection="1">
      <alignment vertical="center"/>
    </xf>
    <xf numFmtId="0" fontId="40" fillId="0" borderId="25" xfId="0" applyNumberFormat="1" applyFont="1" applyFill="1" applyBorder="1" applyAlignment="1" applyProtection="1">
      <alignment vertical="center"/>
    </xf>
    <xf numFmtId="0" fontId="40" fillId="0" borderId="26" xfId="0" applyNumberFormat="1" applyFont="1" applyFill="1" applyBorder="1" applyAlignment="1" applyProtection="1">
      <alignment vertical="center"/>
    </xf>
    <xf numFmtId="0" fontId="42" fillId="0" borderId="24" xfId="0" applyNumberFormat="1" applyFont="1" applyFill="1" applyBorder="1" applyAlignment="1" applyProtection="1">
      <alignment horizontal="center" vertical="center"/>
    </xf>
    <xf numFmtId="0" fontId="42" fillId="0" borderId="25" xfId="0" applyNumberFormat="1" applyFont="1" applyFill="1" applyBorder="1" applyAlignment="1" applyProtection="1">
      <alignment horizontal="center" vertical="center"/>
    </xf>
    <xf numFmtId="0" fontId="39" fillId="0" borderId="27" xfId="0" applyNumberFormat="1" applyFont="1" applyFill="1" applyBorder="1" applyAlignment="1" applyProtection="1">
      <alignment vertical="center"/>
    </xf>
    <xf numFmtId="1" fontId="16"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4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6" fillId="0" borderId="11" xfId="0" applyNumberFormat="1" applyFont="1" applyFill="1" applyBorder="1" applyAlignment="1" applyProtection="1">
      <alignment horizontal="center" vertical="center"/>
    </xf>
    <xf numFmtId="9" fontId="18" fillId="0" borderId="0" xfId="0" applyNumberFormat="1" applyFont="1" applyFill="1" applyBorder="1" applyAlignment="1" applyProtection="1">
      <alignment horizontal="center" vertical="center"/>
    </xf>
    <xf numFmtId="201" fontId="17"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70" zoomScaleNormal="70" topLeftCell="Y1" workbookViewId="0">
      <selection activeCell="P20" sqref="P20"/>
    </sheetView>
  </sheetViews>
  <sheetFormatPr defaultColWidth="9.18181818181818" defaultRowHeight="12.5"/>
  <cols>
    <col min="1" max="1" width="68.9090909090909" style="423" customWidth="1"/>
    <col min="2" max="2" width="38.5454545454545" style="423" customWidth="1"/>
    <col min="3" max="3" width="53.7272727272727" style="423" customWidth="1"/>
    <col min="4" max="4" width="50.5454545454545" style="423" customWidth="1"/>
    <col min="5" max="5" width="10.8181818181818" style="423" customWidth="1"/>
    <col min="6" max="6" width="12.8181818181818" style="423" customWidth="1"/>
    <col min="7" max="27" width="9.18181818181818" style="423"/>
    <col min="28" max="28" width="17.0909090909091" style="423" customWidth="1"/>
    <col min="29" max="47" width="9.18181818181818" style="423"/>
    <col min="48" max="58" width="9.18181818181818" style="202"/>
  </cols>
  <sheetData>
    <row r="1" ht="14.5" spans="1:4">
      <c r="A1" s="423" t="s">
        <v>0</v>
      </c>
      <c r="B1" s="178" t="s">
        <v>1</v>
      </c>
      <c r="D1" s="424" t="s">
        <v>2</v>
      </c>
    </row>
    <row r="2" ht="14.5" spans="1:2">
      <c r="A2" s="423" t="s">
        <v>3</v>
      </c>
      <c r="B2" s="178" t="s">
        <v>4</v>
      </c>
    </row>
    <row r="3" ht="14.5" spans="1:2">
      <c r="A3" s="423" t="s">
        <v>5</v>
      </c>
      <c r="B3" s="178" t="s">
        <v>6</v>
      </c>
    </row>
    <row r="4" ht="14.5" spans="1:2">
      <c r="A4" s="423" t="s">
        <v>7</v>
      </c>
      <c r="B4" s="178" t="s">
        <v>8</v>
      </c>
    </row>
    <row r="5" ht="14.5" spans="1:2">
      <c r="A5" s="423" t="s">
        <v>9</v>
      </c>
      <c r="B5" s="178" t="s">
        <v>10</v>
      </c>
    </row>
    <row r="6" ht="23" spans="2:47">
      <c r="B6" s="425" t="s">
        <v>11</v>
      </c>
      <c r="C6" s="426"/>
      <c r="D6" s="426"/>
      <c r="E6" s="426"/>
      <c r="F6" s="426"/>
      <c r="G6" s="426"/>
      <c r="H6" s="426"/>
      <c r="I6" s="426"/>
      <c r="J6" s="426"/>
      <c r="K6" s="426"/>
      <c r="L6" s="426"/>
      <c r="M6" s="426"/>
      <c r="N6" s="426"/>
      <c r="P6" s="426"/>
      <c r="Q6" s="426"/>
      <c r="R6" s="426"/>
      <c r="T6" s="426"/>
      <c r="U6" s="426"/>
      <c r="V6" s="426"/>
      <c r="X6" s="426"/>
      <c r="Y6" s="426"/>
      <c r="AU6" s="426"/>
    </row>
    <row r="7" ht="15.5" spans="2:47">
      <c r="B7" s="427"/>
      <c r="C7" s="426"/>
      <c r="D7" s="426"/>
      <c r="E7" s="426"/>
      <c r="F7" s="426"/>
      <c r="G7" s="426"/>
      <c r="H7" s="426"/>
      <c r="I7" s="426"/>
      <c r="J7" s="426"/>
      <c r="K7" s="426"/>
      <c r="L7" s="426"/>
      <c r="M7" s="426"/>
      <c r="N7" s="426"/>
      <c r="P7" s="426"/>
      <c r="Q7" s="426"/>
      <c r="R7" s="426"/>
      <c r="T7" s="426"/>
      <c r="U7" s="426"/>
      <c r="V7" s="426"/>
      <c r="X7" s="426"/>
      <c r="Y7" s="426"/>
      <c r="AU7" s="426"/>
    </row>
    <row r="8" ht="23" spans="2:41">
      <c r="B8" s="426"/>
      <c r="C8" s="426"/>
      <c r="D8" s="426"/>
      <c r="E8" s="428" t="s">
        <v>12</v>
      </c>
      <c r="F8" s="426"/>
      <c r="G8" s="428"/>
      <c r="H8" s="428"/>
      <c r="I8" s="428"/>
      <c r="J8" s="428"/>
      <c r="K8" s="428"/>
      <c r="L8" s="428"/>
      <c r="M8" s="426"/>
      <c r="N8" s="426"/>
      <c r="O8" s="426"/>
      <c r="P8" s="426"/>
      <c r="R8" s="426"/>
      <c r="S8" s="426"/>
      <c r="V8" s="426"/>
      <c r="W8" s="426"/>
      <c r="Y8" s="425" t="s">
        <v>13</v>
      </c>
      <c r="Z8" s="426"/>
      <c r="AA8" s="426"/>
      <c r="AB8" s="426"/>
      <c r="AC8" s="426"/>
      <c r="AD8" s="436"/>
      <c r="AE8" s="436"/>
      <c r="AF8" s="436"/>
      <c r="AG8" s="426"/>
      <c r="AH8" s="426"/>
      <c r="AI8" s="426"/>
      <c r="AJ8" s="426"/>
      <c r="AK8" s="426"/>
      <c r="AM8" s="426"/>
      <c r="AN8" s="426"/>
      <c r="AO8" s="426"/>
    </row>
    <row r="9" ht="26" spans="2:41">
      <c r="B9" s="429" t="s">
        <v>14</v>
      </c>
      <c r="C9" s="430" t="s">
        <v>15</v>
      </c>
      <c r="D9" s="429" t="s">
        <v>16</v>
      </c>
      <c r="E9" s="429" t="s">
        <v>17</v>
      </c>
      <c r="F9" s="431" t="s">
        <v>18</v>
      </c>
      <c r="G9" s="431" t="s">
        <v>19</v>
      </c>
      <c r="H9" s="431" t="s">
        <v>20</v>
      </c>
      <c r="I9" s="431" t="s">
        <v>21</v>
      </c>
      <c r="J9" s="431" t="s">
        <v>22</v>
      </c>
      <c r="K9" s="431" t="s">
        <v>23</v>
      </c>
      <c r="L9" s="431" t="s">
        <v>24</v>
      </c>
      <c r="M9" s="431" t="s">
        <v>25</v>
      </c>
      <c r="N9" s="431" t="s">
        <v>26</v>
      </c>
      <c r="O9" s="431" t="s">
        <v>27</v>
      </c>
      <c r="P9" s="431" t="s">
        <v>28</v>
      </c>
      <c r="Q9" s="431" t="s">
        <v>29</v>
      </c>
      <c r="R9" s="431" t="s">
        <v>30</v>
      </c>
      <c r="Y9" s="427"/>
      <c r="Z9" s="426"/>
      <c r="AA9" s="426"/>
      <c r="AB9" s="426"/>
      <c r="AC9" s="426"/>
      <c r="AD9" s="426"/>
      <c r="AE9" s="426"/>
      <c r="AF9" s="426"/>
      <c r="AG9" s="426"/>
      <c r="AH9" s="426"/>
      <c r="AI9" s="426"/>
      <c r="AJ9" s="426"/>
      <c r="AK9" s="426"/>
      <c r="AM9" s="426"/>
      <c r="AN9" s="426"/>
      <c r="AO9" s="426"/>
    </row>
    <row r="10" ht="25" spans="2:42">
      <c r="B10" s="432" t="s">
        <v>31</v>
      </c>
      <c r="C10" s="432" t="s">
        <v>32</v>
      </c>
      <c r="D10" s="432" t="s">
        <v>33</v>
      </c>
      <c r="E10" s="432" t="s">
        <v>34</v>
      </c>
      <c r="F10" s="433"/>
      <c r="G10" s="433"/>
      <c r="H10" s="433"/>
      <c r="I10" s="433"/>
      <c r="J10" s="433" t="s">
        <v>35</v>
      </c>
      <c r="K10" s="433" t="s">
        <v>35</v>
      </c>
      <c r="L10" s="433" t="s">
        <v>35</v>
      </c>
      <c r="M10" s="433" t="s">
        <v>35</v>
      </c>
      <c r="N10" s="433" t="s">
        <v>35</v>
      </c>
      <c r="O10" s="433" t="s">
        <v>35</v>
      </c>
      <c r="P10" s="433" t="s">
        <v>36</v>
      </c>
      <c r="Q10" s="433"/>
      <c r="R10" s="433"/>
      <c r="Y10" s="426"/>
      <c r="Z10" s="426"/>
      <c r="AA10" s="426"/>
      <c r="AB10" s="428" t="s">
        <v>12</v>
      </c>
      <c r="AC10" s="426"/>
      <c r="AD10" s="428"/>
      <c r="AE10" s="428"/>
      <c r="AF10" s="428"/>
      <c r="AG10" s="428"/>
      <c r="AH10" s="428"/>
      <c r="AI10" s="428"/>
      <c r="AJ10" s="426"/>
      <c r="AK10" s="426"/>
      <c r="AL10" s="426"/>
      <c r="AM10" s="426"/>
      <c r="AO10" s="426"/>
      <c r="AP10" s="426"/>
    </row>
    <row r="11" ht="26" spans="2:43">
      <c r="B11" s="434" t="str">
        <f>C18</f>
        <v>EUH2FCPEM</v>
      </c>
      <c r="C11" s="434" t="str">
        <f>D18</f>
        <v>PEM fuel cell system</v>
      </c>
      <c r="D11" s="434" t="str">
        <f>C23</f>
        <v>SYNH2CT</v>
      </c>
      <c r="E11" s="434" t="s">
        <v>37</v>
      </c>
      <c r="F11" s="435">
        <v>0.65</v>
      </c>
      <c r="G11" s="435">
        <f>F11</f>
        <v>0.65</v>
      </c>
      <c r="H11" s="435">
        <f>G11</f>
        <v>0.65</v>
      </c>
      <c r="I11" s="435">
        <v>1</v>
      </c>
      <c r="J11" s="423">
        <f>(252+708+548)/3*1.33</f>
        <v>668.546666666667</v>
      </c>
      <c r="K11" s="423">
        <f>J11*0.95</f>
        <v>635.119333333333</v>
      </c>
      <c r="L11" s="423">
        <f>J11*0.9</f>
        <v>601.692</v>
      </c>
      <c r="M11" s="458">
        <f>11/19*J11</f>
        <v>387.053333333333</v>
      </c>
      <c r="N11" s="458">
        <f t="shared" ref="N11:O11" si="0">11/19*K11</f>
        <v>367.700666666667</v>
      </c>
      <c r="O11" s="458">
        <f t="shared" si="0"/>
        <v>348.348</v>
      </c>
      <c r="P11" s="458">
        <v>15</v>
      </c>
      <c r="Q11" s="458">
        <v>2021</v>
      </c>
      <c r="R11" s="465">
        <v>31.536</v>
      </c>
      <c r="Y11" s="429" t="s">
        <v>14</v>
      </c>
      <c r="Z11" s="430" t="s">
        <v>15</v>
      </c>
      <c r="AA11" s="429" t="s">
        <v>16</v>
      </c>
      <c r="AB11" s="429" t="s">
        <v>17</v>
      </c>
      <c r="AC11" s="431" t="s">
        <v>18</v>
      </c>
      <c r="AD11" s="431" t="s">
        <v>19</v>
      </c>
      <c r="AE11" s="431" t="s">
        <v>20</v>
      </c>
      <c r="AF11" s="431" t="s">
        <v>21</v>
      </c>
      <c r="AG11" s="431" t="s">
        <v>22</v>
      </c>
      <c r="AH11" s="431" t="s">
        <v>23</v>
      </c>
      <c r="AI11" s="431" t="s">
        <v>24</v>
      </c>
      <c r="AJ11" s="431" t="s">
        <v>38</v>
      </c>
      <c r="AK11" s="431" t="s">
        <v>39</v>
      </c>
      <c r="AL11" s="431" t="s">
        <v>40</v>
      </c>
      <c r="AM11" s="431" t="s">
        <v>28</v>
      </c>
      <c r="AN11" s="431" t="s">
        <v>29</v>
      </c>
      <c r="AO11" s="431" t="s">
        <v>30</v>
      </c>
      <c r="AP11" s="291" t="s">
        <v>41</v>
      </c>
      <c r="AQ11" s="291"/>
    </row>
    <row r="12" ht="50" spans="2:47">
      <c r="B12" s="426"/>
      <c r="C12" s="426"/>
      <c r="E12" s="426"/>
      <c r="F12" s="436"/>
      <c r="G12" s="436"/>
      <c r="H12" s="436"/>
      <c r="I12" s="459"/>
      <c r="J12" s="459"/>
      <c r="K12" s="426"/>
      <c r="L12" s="460"/>
      <c r="M12" s="460"/>
      <c r="N12" s="460"/>
      <c r="O12" s="461"/>
      <c r="P12" s="461"/>
      <c r="Q12" s="426"/>
      <c r="R12" s="426"/>
      <c r="T12" s="426"/>
      <c r="U12" s="426"/>
      <c r="V12" s="426"/>
      <c r="X12" s="426"/>
      <c r="Y12" s="432" t="s">
        <v>31</v>
      </c>
      <c r="Z12" s="432" t="s">
        <v>32</v>
      </c>
      <c r="AA12" s="432" t="s">
        <v>33</v>
      </c>
      <c r="AB12" s="432" t="s">
        <v>34</v>
      </c>
      <c r="AC12" s="433"/>
      <c r="AD12" s="433"/>
      <c r="AE12" s="433"/>
      <c r="AF12" s="433"/>
      <c r="AG12" s="433" t="s">
        <v>35</v>
      </c>
      <c r="AH12" s="433" t="s">
        <v>35</v>
      </c>
      <c r="AI12" s="433" t="s">
        <v>35</v>
      </c>
      <c r="AJ12" s="433" t="s">
        <v>42</v>
      </c>
      <c r="AK12" s="433" t="s">
        <v>42</v>
      </c>
      <c r="AL12" s="433" t="s">
        <v>42</v>
      </c>
      <c r="AM12" s="433" t="s">
        <v>36</v>
      </c>
      <c r="AN12" s="433"/>
      <c r="AO12" s="433"/>
      <c r="AU12" s="426"/>
    </row>
    <row r="13" ht="13" spans="2:47">
      <c r="B13" s="426"/>
      <c r="C13" s="426"/>
      <c r="D13" s="434"/>
      <c r="F13" s="436"/>
      <c r="G13" s="436"/>
      <c r="H13" s="436"/>
      <c r="I13" s="436"/>
      <c r="J13" s="436"/>
      <c r="K13" s="426"/>
      <c r="L13" s="460"/>
      <c r="M13" s="460"/>
      <c r="N13" s="460"/>
      <c r="O13" s="461"/>
      <c r="P13" s="461"/>
      <c r="Q13" s="426"/>
      <c r="R13" s="426"/>
      <c r="T13" s="426"/>
      <c r="U13" s="426"/>
      <c r="V13" s="426"/>
      <c r="X13" s="426"/>
      <c r="Y13" s="206" t="s">
        <v>43</v>
      </c>
      <c r="Z13" s="434" t="s">
        <v>13</v>
      </c>
      <c r="AA13" s="434" t="s">
        <v>37</v>
      </c>
      <c r="AB13" s="434" t="s">
        <v>44</v>
      </c>
      <c r="AC13" s="466">
        <v>0.58</v>
      </c>
      <c r="AD13" s="466">
        <v>0.66</v>
      </c>
      <c r="AE13" s="466">
        <v>0.71</v>
      </c>
      <c r="AF13" s="466">
        <v>0.95</v>
      </c>
      <c r="AG13" s="468">
        <f>450*1.35</f>
        <v>607.5</v>
      </c>
      <c r="AH13" s="468">
        <f>AG13*0.95</f>
        <v>577.125</v>
      </c>
      <c r="AI13" s="468">
        <f>AG13*0.9</f>
        <v>546.75</v>
      </c>
      <c r="AJ13" s="458">
        <f>19.44*1.35</f>
        <v>26.244</v>
      </c>
      <c r="AK13" s="458">
        <f>AJ13*0.95</f>
        <v>24.9318</v>
      </c>
      <c r="AL13" s="458">
        <f>AJ13*0.9</f>
        <v>23.6196</v>
      </c>
      <c r="AM13" s="458">
        <v>5</v>
      </c>
      <c r="AN13" s="458">
        <v>2021</v>
      </c>
      <c r="AO13" s="465">
        <v>31.536</v>
      </c>
      <c r="AU13" s="426"/>
    </row>
    <row r="14" spans="25:43">
      <c r="Y14" s="426"/>
      <c r="Z14" s="426"/>
      <c r="AA14" s="434"/>
      <c r="AB14" s="208" t="s">
        <v>45</v>
      </c>
      <c r="AC14" s="357"/>
      <c r="AD14" s="357"/>
      <c r="AE14" s="357"/>
      <c r="AF14" s="357"/>
      <c r="AG14" s="357"/>
      <c r="AH14" s="460"/>
      <c r="AI14" s="460"/>
      <c r="AJ14" s="460"/>
      <c r="AK14" s="461"/>
      <c r="AL14" s="461"/>
      <c r="AM14" s="426"/>
      <c r="AN14" s="426"/>
      <c r="AP14" s="426">
        <v>0</v>
      </c>
      <c r="AQ14" s="426"/>
    </row>
    <row r="15" ht="13" spans="2:41">
      <c r="B15" s="437" t="s">
        <v>46</v>
      </c>
      <c r="C15" s="437"/>
      <c r="D15" s="434"/>
      <c r="E15" s="434"/>
      <c r="F15" s="434"/>
      <c r="G15" s="434"/>
      <c r="H15" s="434"/>
      <c r="I15" s="434"/>
      <c r="N15" s="462"/>
      <c r="Y15" s="426"/>
      <c r="Z15" s="426"/>
      <c r="AA15" s="434"/>
      <c r="AC15" s="436"/>
      <c r="AD15" s="436"/>
      <c r="AE15" s="436"/>
      <c r="AF15" s="436"/>
      <c r="AG15" s="436"/>
      <c r="AH15" s="426"/>
      <c r="AI15" s="460"/>
      <c r="AJ15" s="460"/>
      <c r="AK15" s="460"/>
      <c r="AL15" s="461"/>
      <c r="AM15" s="461"/>
      <c r="AN15" s="426"/>
      <c r="AO15" s="426"/>
    </row>
    <row r="16" ht="13" spans="2:9">
      <c r="B16" s="430" t="s">
        <v>47</v>
      </c>
      <c r="C16" s="430" t="s">
        <v>14</v>
      </c>
      <c r="D16" s="430" t="s">
        <v>48</v>
      </c>
      <c r="E16" s="430" t="s">
        <v>49</v>
      </c>
      <c r="F16" s="430" t="s">
        <v>50</v>
      </c>
      <c r="G16" s="430" t="s">
        <v>51</v>
      </c>
      <c r="H16" s="430" t="s">
        <v>52</v>
      </c>
      <c r="I16" s="430" t="s">
        <v>53</v>
      </c>
    </row>
    <row r="17" ht="37.5" spans="2:35">
      <c r="B17" s="438" t="s">
        <v>54</v>
      </c>
      <c r="C17" s="438" t="s">
        <v>55</v>
      </c>
      <c r="D17" s="438" t="s">
        <v>32</v>
      </c>
      <c r="E17" s="438" t="s">
        <v>56</v>
      </c>
      <c r="F17" s="438" t="s">
        <v>57</v>
      </c>
      <c r="G17" s="438" t="s">
        <v>58</v>
      </c>
      <c r="H17" s="438" t="s">
        <v>59</v>
      </c>
      <c r="I17" s="438" t="s">
        <v>60</v>
      </c>
      <c r="AB17" s="467"/>
      <c r="AC17" s="467"/>
      <c r="AD17" s="467"/>
      <c r="AE17" s="467"/>
      <c r="AF17" s="467"/>
      <c r="AG17" s="467"/>
      <c r="AH17" s="467"/>
      <c r="AI17" s="467"/>
    </row>
    <row r="18" spans="2:35">
      <c r="B18" s="434" t="s">
        <v>61</v>
      </c>
      <c r="C18" s="434" t="s">
        <v>62</v>
      </c>
      <c r="D18" s="434" t="s">
        <v>63</v>
      </c>
      <c r="E18" s="434" t="s">
        <v>64</v>
      </c>
      <c r="F18" s="434" t="s">
        <v>65</v>
      </c>
      <c r="G18" s="434" t="s">
        <v>66</v>
      </c>
      <c r="H18" s="434"/>
      <c r="I18" s="434" t="s">
        <v>67</v>
      </c>
      <c r="AB18" s="434"/>
      <c r="AC18" s="434"/>
      <c r="AD18" s="434"/>
      <c r="AE18" s="434"/>
      <c r="AF18" s="434"/>
      <c r="AG18" s="434"/>
      <c r="AH18" s="434"/>
      <c r="AI18" s="434"/>
    </row>
    <row r="19" spans="2:9">
      <c r="B19" s="426"/>
      <c r="C19" s="426"/>
      <c r="D19" s="426"/>
      <c r="E19" s="426"/>
      <c r="F19" s="426"/>
      <c r="G19" s="426"/>
      <c r="H19" s="426"/>
      <c r="I19" s="426"/>
    </row>
    <row r="20" ht="13" spans="2:9">
      <c r="B20" s="437" t="s">
        <v>68</v>
      </c>
      <c r="C20" s="434"/>
      <c r="D20" s="434"/>
      <c r="E20" s="434"/>
      <c r="F20" s="434"/>
      <c r="G20" s="434"/>
      <c r="H20" s="434"/>
      <c r="I20" s="434"/>
    </row>
    <row r="21" ht="13" spans="2:9">
      <c r="B21" s="439" t="s">
        <v>69</v>
      </c>
      <c r="C21" s="439" t="s">
        <v>70</v>
      </c>
      <c r="D21" s="439" t="s">
        <v>71</v>
      </c>
      <c r="E21" s="440" t="s">
        <v>72</v>
      </c>
      <c r="F21" s="440" t="s">
        <v>73</v>
      </c>
      <c r="G21" s="440" t="s">
        <v>74</v>
      </c>
      <c r="H21" s="440" t="s">
        <v>75</v>
      </c>
      <c r="I21" s="440" t="s">
        <v>76</v>
      </c>
    </row>
    <row r="22" ht="37.5" spans="2:9">
      <c r="B22" s="438" t="s">
        <v>77</v>
      </c>
      <c r="C22" s="438" t="s">
        <v>78</v>
      </c>
      <c r="D22" s="438" t="s">
        <v>79</v>
      </c>
      <c r="E22" s="438" t="s">
        <v>72</v>
      </c>
      <c r="F22" s="438" t="s">
        <v>80</v>
      </c>
      <c r="G22" s="438" t="s">
        <v>81</v>
      </c>
      <c r="H22" s="438" t="s">
        <v>82</v>
      </c>
      <c r="I22" s="438" t="s">
        <v>83</v>
      </c>
    </row>
    <row r="23" spans="2:9">
      <c r="B23" s="434" t="s">
        <v>84</v>
      </c>
      <c r="C23" s="434" t="s">
        <v>44</v>
      </c>
      <c r="D23" s="434" t="s">
        <v>85</v>
      </c>
      <c r="E23" s="434" t="s">
        <v>64</v>
      </c>
      <c r="F23" s="434" t="s">
        <v>86</v>
      </c>
      <c r="G23" s="441" t="s">
        <v>87</v>
      </c>
      <c r="H23" s="434"/>
      <c r="I23" s="434"/>
    </row>
    <row r="24" spans="2:9">
      <c r="B24" s="434"/>
      <c r="H24" s="434"/>
      <c r="I24" s="434"/>
    </row>
    <row r="25" spans="2:9">
      <c r="B25" s="434"/>
      <c r="C25" s="434"/>
      <c r="D25" s="434"/>
      <c r="E25" s="434"/>
      <c r="F25" s="434"/>
      <c r="G25" s="441"/>
      <c r="H25" s="434"/>
      <c r="I25" s="434"/>
    </row>
    <row r="26" spans="2:9">
      <c r="B26" s="434"/>
      <c r="C26" s="434"/>
      <c r="D26" s="434"/>
      <c r="E26" s="434"/>
      <c r="F26" s="434"/>
      <c r="G26" s="434"/>
      <c r="H26" s="434"/>
      <c r="I26" s="434"/>
    </row>
    <row r="30" ht="13.25"/>
    <row r="31" ht="15.25" spans="2:8">
      <c r="B31" s="442"/>
      <c r="C31" s="443"/>
      <c r="D31" s="443"/>
      <c r="E31" s="443"/>
      <c r="F31" s="443"/>
      <c r="G31" s="443"/>
      <c r="H31" s="443"/>
    </row>
    <row r="32" ht="16" spans="2:8">
      <c r="B32" s="444"/>
      <c r="C32" s="445"/>
      <c r="D32" s="445"/>
      <c r="E32" s="445"/>
      <c r="F32" s="445"/>
      <c r="G32" s="445"/>
      <c r="H32" s="446"/>
    </row>
    <row r="33" ht="15.25" spans="2:8">
      <c r="B33" s="447"/>
      <c r="C33" s="448"/>
      <c r="D33" s="449"/>
      <c r="E33" s="449"/>
      <c r="F33" s="449"/>
      <c r="G33" s="449"/>
      <c r="H33" s="449"/>
    </row>
    <row r="34" ht="15.25" spans="2:8">
      <c r="B34" s="447"/>
      <c r="C34" s="450"/>
      <c r="D34" s="451"/>
      <c r="E34" s="451"/>
      <c r="F34" s="451"/>
      <c r="G34" s="451"/>
      <c r="H34" s="451"/>
    </row>
    <row r="35" ht="15.25" spans="2:8">
      <c r="B35" s="447"/>
      <c r="C35" s="450"/>
      <c r="D35" s="451"/>
      <c r="E35" s="451"/>
      <c r="F35" s="451"/>
      <c r="G35" s="451"/>
      <c r="H35" s="451"/>
    </row>
    <row r="36" ht="15.25" spans="2:8">
      <c r="B36" s="447"/>
      <c r="C36" s="450"/>
      <c r="D36" s="451"/>
      <c r="E36" s="451"/>
      <c r="F36" s="451"/>
      <c r="G36" s="451"/>
      <c r="H36" s="451"/>
    </row>
    <row r="37" ht="15.25" spans="2:8">
      <c r="B37" s="447"/>
      <c r="C37" s="450"/>
      <c r="D37" s="451"/>
      <c r="E37" s="451"/>
      <c r="F37" s="451"/>
      <c r="G37" s="451"/>
      <c r="H37" s="451"/>
    </row>
    <row r="38" ht="15.25" spans="2:8">
      <c r="B38" s="447"/>
      <c r="C38" s="450"/>
      <c r="D38" s="451"/>
      <c r="E38" s="451"/>
      <c r="F38" s="451"/>
      <c r="G38" s="451"/>
      <c r="H38" s="451"/>
    </row>
    <row r="39" ht="15.25" spans="2:8">
      <c r="B39" s="447"/>
      <c r="C39" s="450"/>
      <c r="D39" s="451"/>
      <c r="E39" s="451"/>
      <c r="F39" s="451"/>
      <c r="G39" s="451"/>
      <c r="H39" s="451"/>
    </row>
    <row r="40" ht="15.25" spans="2:8">
      <c r="B40" s="447"/>
      <c r="C40" s="450"/>
      <c r="D40" s="451"/>
      <c r="E40" s="451"/>
      <c r="F40" s="451"/>
      <c r="G40" s="451"/>
      <c r="H40" s="451"/>
    </row>
    <row r="41" ht="15.25" spans="2:8">
      <c r="B41" s="447"/>
      <c r="C41" s="450"/>
      <c r="D41" s="451"/>
      <c r="E41" s="451"/>
      <c r="F41" s="451"/>
      <c r="G41" s="451"/>
      <c r="H41" s="451"/>
    </row>
    <row r="42" ht="15.25" spans="2:8">
      <c r="B42" s="447"/>
      <c r="C42" s="450"/>
      <c r="D42" s="451"/>
      <c r="E42" s="451"/>
      <c r="F42" s="451"/>
      <c r="G42" s="451"/>
      <c r="H42" s="451"/>
    </row>
    <row r="43" ht="15.25" spans="2:8">
      <c r="B43" s="452"/>
      <c r="C43" s="453"/>
      <c r="D43" s="453"/>
      <c r="E43" s="453"/>
      <c r="F43" s="453"/>
      <c r="G43" s="453"/>
      <c r="H43" s="454"/>
    </row>
    <row r="44" ht="15.25" spans="2:8">
      <c r="B44" s="447"/>
      <c r="C44" s="448"/>
      <c r="D44" s="449"/>
      <c r="E44" s="449"/>
      <c r="F44" s="449"/>
      <c r="G44" s="449"/>
      <c r="H44" s="449"/>
    </row>
    <row r="45" ht="15.25" spans="2:8">
      <c r="B45" s="447"/>
      <c r="C45" s="450"/>
      <c r="D45" s="451"/>
      <c r="E45" s="451"/>
      <c r="F45" s="451"/>
      <c r="G45" s="451"/>
      <c r="H45" s="451"/>
    </row>
    <row r="46" ht="15.25" spans="2:8">
      <c r="B46" s="447"/>
      <c r="C46" s="450"/>
      <c r="D46" s="451"/>
      <c r="E46" s="451"/>
      <c r="F46" s="451"/>
      <c r="G46" s="451"/>
      <c r="H46" s="451"/>
    </row>
    <row r="47" ht="15.25" spans="2:8">
      <c r="B47" s="447"/>
      <c r="C47" s="450"/>
      <c r="D47" s="455"/>
      <c r="E47" s="456"/>
      <c r="F47" s="456"/>
      <c r="G47" s="456"/>
      <c r="H47" s="449"/>
    </row>
    <row r="48" ht="15.25" spans="2:9">
      <c r="B48" s="447"/>
      <c r="C48" s="450"/>
      <c r="D48" s="451"/>
      <c r="E48" s="451"/>
      <c r="F48" s="451"/>
      <c r="G48" s="451"/>
      <c r="H48" s="451"/>
      <c r="I48" s="463"/>
    </row>
    <row r="49" ht="15.25" spans="2:8">
      <c r="B49" s="447"/>
      <c r="C49" s="450"/>
      <c r="D49" s="451"/>
      <c r="E49" s="451"/>
      <c r="F49" s="451"/>
      <c r="G49" s="451"/>
      <c r="H49" s="451"/>
    </row>
    <row r="50" ht="15.25" spans="2:13">
      <c r="B50" s="447"/>
      <c r="C50" s="450"/>
      <c r="D50" s="451"/>
      <c r="E50" s="451"/>
      <c r="F50" s="451"/>
      <c r="G50" s="451"/>
      <c r="H50" s="451"/>
      <c r="I50" s="464"/>
      <c r="J50" s="464"/>
      <c r="K50" s="464"/>
      <c r="L50" s="464"/>
      <c r="M50" s="464"/>
    </row>
    <row r="51" ht="15.25" spans="2:8">
      <c r="B51" s="452"/>
      <c r="C51" s="453"/>
      <c r="D51" s="453"/>
      <c r="E51" s="453"/>
      <c r="F51" s="453"/>
      <c r="G51" s="453"/>
      <c r="H51" s="454"/>
    </row>
    <row r="52" ht="15.25" spans="2:8">
      <c r="B52" s="447"/>
      <c r="C52" s="448"/>
      <c r="D52" s="449"/>
      <c r="E52" s="449"/>
      <c r="F52" s="449"/>
      <c r="G52" s="449"/>
      <c r="H52" s="449"/>
    </row>
    <row r="53" ht="15.25" spans="2:8">
      <c r="B53" s="447"/>
      <c r="C53" s="450"/>
      <c r="D53" s="451"/>
      <c r="E53" s="451"/>
      <c r="F53" s="451"/>
      <c r="G53" s="451"/>
      <c r="H53" s="451"/>
    </row>
    <row r="54" ht="15.25" spans="2:8">
      <c r="B54" s="447"/>
      <c r="C54" s="450"/>
      <c r="D54" s="451"/>
      <c r="E54" s="451"/>
      <c r="F54" s="451"/>
      <c r="G54" s="451"/>
      <c r="H54" s="451"/>
    </row>
    <row r="55" ht="15.25" spans="2:8">
      <c r="B55" s="457"/>
      <c r="C55" s="450"/>
      <c r="D55" s="451"/>
      <c r="E55" s="451"/>
      <c r="F55" s="451"/>
      <c r="G55" s="451"/>
      <c r="H55" s="451"/>
    </row>
    <row r="60" spans="2:9">
      <c r="B60" s="434"/>
      <c r="C60" s="434"/>
      <c r="D60" s="434"/>
      <c r="E60" s="434"/>
      <c r="F60" s="434"/>
      <c r="G60" s="434"/>
      <c r="H60" s="434"/>
      <c r="I60" s="434"/>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tabSelected="1" zoomScale="70" zoomScaleNormal="70" workbookViewId="0">
      <pane xSplit="1" topLeftCell="P1" activePane="topRight" state="frozen"/>
      <selection/>
      <selection pane="topRight" activeCell="U20" sqref="U20"/>
    </sheetView>
  </sheetViews>
  <sheetFormatPr defaultColWidth="11.4545454545455" defaultRowHeight="12.5"/>
  <cols>
    <col min="1" max="1" width="66.3636363636364" style="110" customWidth="1"/>
    <col min="2" max="2" width="93.8181818181818" style="110" customWidth="1"/>
    <col min="3" max="3" width="75.1818181818182" style="110" customWidth="1"/>
    <col min="4" max="4" width="11.4545454545455" style="110" customWidth="1"/>
    <col min="5" max="5" width="17.4545454545455" style="110" customWidth="1"/>
    <col min="6" max="7" width="11.4545454545455" style="110" customWidth="1"/>
    <col min="8" max="11" width="12" style="110" customWidth="1"/>
    <col min="12" max="12" width="9.27272727272727" style="110" customWidth="1"/>
    <col min="13" max="13" width="14.5454545454545" style="110" customWidth="1"/>
    <col min="14" max="14" width="9.27272727272727" customWidth="1"/>
    <col min="15" max="15" width="9.27272727272727" style="110" customWidth="1"/>
    <col min="16" max="17" width="7.45454545454545" style="110" customWidth="1"/>
    <col min="19" max="16384" width="11.4545454545455" style="110"/>
  </cols>
  <sheetData>
    <row r="1" spans="1:2">
      <c r="A1" s="243" t="s">
        <v>88</v>
      </c>
      <c r="B1" s="243" t="s">
        <v>89</v>
      </c>
    </row>
    <row r="2" ht="42" customHeight="1" spans="1:7">
      <c r="A2" s="243" t="s">
        <v>90</v>
      </c>
      <c r="B2" s="178" t="s">
        <v>8</v>
      </c>
      <c r="E2" s="244" t="s">
        <v>91</v>
      </c>
      <c r="F2" s="245" t="s">
        <v>92</v>
      </c>
      <c r="G2" s="246"/>
    </row>
    <row r="3" ht="42" customHeight="1" spans="1:2">
      <c r="A3" s="243" t="s">
        <v>93</v>
      </c>
      <c r="B3" s="247" t="s">
        <v>94</v>
      </c>
    </row>
    <row r="4" ht="42" customHeight="1" spans="1:3">
      <c r="A4" s="243" t="s">
        <v>95</v>
      </c>
      <c r="B4" s="248" t="s">
        <v>8</v>
      </c>
      <c r="C4" s="178" t="s">
        <v>96</v>
      </c>
    </row>
    <row r="5" ht="23" spans="1:23">
      <c r="A5" s="109" t="s">
        <v>97</v>
      </c>
      <c r="W5" s="243" t="s">
        <v>98</v>
      </c>
    </row>
    <row r="6" ht="15.5" spans="1:1">
      <c r="A6" s="182"/>
    </row>
    <row r="7" ht="13" spans="5:16">
      <c r="E7" s="249"/>
      <c r="G7" s="112"/>
      <c r="H7" s="112"/>
      <c r="I7" s="112"/>
      <c r="J7" s="112"/>
      <c r="K7" s="112"/>
      <c r="L7" s="112"/>
      <c r="M7" s="112"/>
      <c r="N7" s="110"/>
      <c r="P7"/>
    </row>
    <row r="8" ht="22.5" spans="1:16">
      <c r="A8" s="250"/>
      <c r="E8" s="249"/>
      <c r="G8" s="112"/>
      <c r="H8" s="112"/>
      <c r="I8" s="112"/>
      <c r="J8" s="112"/>
      <c r="K8" s="112"/>
      <c r="L8" s="112"/>
      <c r="M8" s="112"/>
      <c r="N8" s="110"/>
      <c r="P8"/>
    </row>
    <row r="9" ht="13" spans="5:16">
      <c r="E9" s="249"/>
      <c r="G9" s="154" t="s">
        <v>12</v>
      </c>
      <c r="H9" s="112"/>
      <c r="I9" s="112"/>
      <c r="J9" s="112"/>
      <c r="K9" s="112"/>
      <c r="L9" s="112"/>
      <c r="M9" s="249"/>
      <c r="N9" s="110"/>
      <c r="P9"/>
    </row>
    <row r="10" ht="26" spans="2:21">
      <c r="B10" s="113" t="s">
        <v>14</v>
      </c>
      <c r="C10" s="114" t="s">
        <v>15</v>
      </c>
      <c r="D10" s="113" t="s">
        <v>16</v>
      </c>
      <c r="E10" s="113" t="s">
        <v>17</v>
      </c>
      <c r="F10" s="115" t="s">
        <v>99</v>
      </c>
      <c r="G10" s="251" t="s">
        <v>100</v>
      </c>
      <c r="H10" s="251" t="s">
        <v>101</v>
      </c>
      <c r="I10" s="291" t="s">
        <v>41</v>
      </c>
      <c r="J10" s="291" t="s">
        <v>102</v>
      </c>
      <c r="K10" s="291" t="s">
        <v>103</v>
      </c>
      <c r="L10" s="115" t="s">
        <v>21</v>
      </c>
      <c r="M10" s="291" t="s">
        <v>104</v>
      </c>
      <c r="N10" s="291" t="s">
        <v>23</v>
      </c>
      <c r="O10" s="291" t="s">
        <v>24</v>
      </c>
      <c r="P10" s="292" t="s">
        <v>28</v>
      </c>
      <c r="Q10" s="115" t="s">
        <v>29</v>
      </c>
      <c r="R10" s="115" t="s">
        <v>30</v>
      </c>
      <c r="U10"/>
    </row>
    <row r="11" ht="25" spans="2:25">
      <c r="B11" s="116" t="s">
        <v>31</v>
      </c>
      <c r="C11" s="116" t="s">
        <v>32</v>
      </c>
      <c r="D11" s="116" t="s">
        <v>33</v>
      </c>
      <c r="E11" s="116" t="s">
        <v>34</v>
      </c>
      <c r="F11" s="117"/>
      <c r="G11" s="117"/>
      <c r="H11" s="117"/>
      <c r="I11" s="293"/>
      <c r="J11" s="294"/>
      <c r="K11" s="294"/>
      <c r="L11" s="117"/>
      <c r="M11" s="293" t="s">
        <v>105</v>
      </c>
      <c r="N11" s="293" t="s">
        <v>105</v>
      </c>
      <c r="O11" s="293" t="s">
        <v>105</v>
      </c>
      <c r="P11" s="117" t="s">
        <v>36</v>
      </c>
      <c r="Q11" s="117"/>
      <c r="R11" s="117"/>
      <c r="U11"/>
      <c r="Y11" s="243" t="s">
        <v>106</v>
      </c>
    </row>
    <row r="12" ht="13" spans="2:21">
      <c r="B12" s="209" t="str">
        <f>B98</f>
        <v>SCOAH2GC01</v>
      </c>
      <c r="C12" s="209" t="str">
        <f>C98</f>
        <v>H2 Production-Coal Gasification</v>
      </c>
      <c r="D12" s="212" t="s">
        <v>107</v>
      </c>
      <c r="E12" s="211"/>
      <c r="F12" s="193">
        <f>1/54.5*100</f>
        <v>1.8348623853211</v>
      </c>
      <c r="G12" s="193">
        <f t="shared" ref="G12:H12" si="0">1/54.5*100</f>
        <v>1.8348623853211</v>
      </c>
      <c r="H12" s="193">
        <f t="shared" si="0"/>
        <v>1.8348623853211</v>
      </c>
      <c r="I12" s="295"/>
      <c r="J12" s="296"/>
      <c r="K12" s="296"/>
      <c r="L12" s="297">
        <v>0.95</v>
      </c>
      <c r="M12" s="196">
        <f>1.35*512</f>
        <v>691.2</v>
      </c>
      <c r="N12" s="196">
        <f>M12*0.95</f>
        <v>656.64</v>
      </c>
      <c r="O12" s="196">
        <f>M12*0.9</f>
        <v>622.08</v>
      </c>
      <c r="P12" s="298">
        <v>40</v>
      </c>
      <c r="Q12" s="335">
        <v>2021</v>
      </c>
      <c r="R12" s="336">
        <v>31.536</v>
      </c>
      <c r="U12"/>
    </row>
    <row r="13" ht="13" spans="2:21">
      <c r="B13" s="212"/>
      <c r="C13" s="212"/>
      <c r="E13" s="212" t="s">
        <v>37</v>
      </c>
      <c r="F13" s="226"/>
      <c r="G13" s="252"/>
      <c r="H13" s="252"/>
      <c r="I13" s="299">
        <f>3.18/33.3</f>
        <v>0.0954954954954955</v>
      </c>
      <c r="J13" s="299">
        <f>I13</f>
        <v>0.0954954954954955</v>
      </c>
      <c r="K13" s="299">
        <f>J13</f>
        <v>0.0954954954954955</v>
      </c>
      <c r="L13" s="212"/>
      <c r="M13" s="300"/>
      <c r="N13" s="301"/>
      <c r="O13" s="301"/>
      <c r="P13" s="302"/>
      <c r="Q13" s="337"/>
      <c r="R13" s="338"/>
      <c r="U13"/>
    </row>
    <row r="14" ht="13" spans="2:21">
      <c r="B14" s="212"/>
      <c r="C14" s="212"/>
      <c r="D14" s="212"/>
      <c r="E14" s="157" t="s">
        <v>44</v>
      </c>
      <c r="F14" s="193"/>
      <c r="G14" s="193"/>
      <c r="H14" s="193"/>
      <c r="I14" s="295">
        <f>'INPUT-Data(EUTIMES-HP)'!R3</f>
        <v>1</v>
      </c>
      <c r="J14" s="299">
        <f>I14</f>
        <v>1</v>
      </c>
      <c r="K14" s="299">
        <f>J14</f>
        <v>1</v>
      </c>
      <c r="L14" s="212"/>
      <c r="M14" s="300"/>
      <c r="N14" s="301"/>
      <c r="O14" s="301"/>
      <c r="P14" s="302"/>
      <c r="Q14" s="337"/>
      <c r="R14" s="338"/>
      <c r="U14"/>
    </row>
    <row r="15" s="236" customFormat="1" ht="13" spans="2:21">
      <c r="B15" s="253"/>
      <c r="C15" s="253"/>
      <c r="D15" s="253"/>
      <c r="E15" s="254" t="s">
        <v>45</v>
      </c>
      <c r="F15" s="255"/>
      <c r="G15" s="255"/>
      <c r="H15" s="255"/>
      <c r="I15" s="303">
        <f>'ReferEMI-NOUSE'!U2</f>
        <v>181.015795795796</v>
      </c>
      <c r="J15" s="304">
        <f>'ReferEMI-NOUSE'!U3</f>
        <v>189.357537537538</v>
      </c>
      <c r="K15" s="304">
        <f>'ReferEMI-NOUSE'!U4</f>
        <v>191.86006006006</v>
      </c>
      <c r="L15" s="253"/>
      <c r="M15" s="305"/>
      <c r="N15" s="306"/>
      <c r="O15" s="306"/>
      <c r="P15" s="307"/>
      <c r="Q15" s="339"/>
      <c r="R15" s="340"/>
      <c r="U15" s="341"/>
    </row>
    <row r="16" s="236" customFormat="1" ht="13" spans="2:21">
      <c r="B16" s="256" t="s">
        <v>108</v>
      </c>
      <c r="C16" s="257"/>
      <c r="D16" s="258"/>
      <c r="E16" s="258"/>
      <c r="F16" s="259"/>
      <c r="G16" s="259"/>
      <c r="H16" s="259"/>
      <c r="I16" s="308"/>
      <c r="J16" s="309"/>
      <c r="K16" s="309"/>
      <c r="L16" s="310"/>
      <c r="M16" s="311"/>
      <c r="N16" s="311"/>
      <c r="O16" s="311"/>
      <c r="P16" s="312"/>
      <c r="Q16" s="342"/>
      <c r="R16" s="343"/>
      <c r="U16" s="341"/>
    </row>
    <row r="17" s="236" customFormat="1" ht="13" spans="2:21">
      <c r="B17" s="256" t="s">
        <v>108</v>
      </c>
      <c r="C17" s="257"/>
      <c r="D17" s="258"/>
      <c r="E17" s="260"/>
      <c r="F17" s="261"/>
      <c r="G17" s="262"/>
      <c r="H17" s="262"/>
      <c r="I17" s="308"/>
      <c r="J17" s="309"/>
      <c r="K17" s="309"/>
      <c r="L17" s="310"/>
      <c r="M17" s="311"/>
      <c r="N17" s="311"/>
      <c r="O17" s="311"/>
      <c r="P17" s="312"/>
      <c r="Q17" s="339"/>
      <c r="R17" s="343"/>
      <c r="U17" s="341"/>
    </row>
    <row r="18" s="236" customFormat="1" ht="13" spans="2:21">
      <c r="B18" s="256" t="s">
        <v>108</v>
      </c>
      <c r="C18" s="257"/>
      <c r="D18" s="258"/>
      <c r="E18" s="263"/>
      <c r="F18" s="262"/>
      <c r="G18" s="262"/>
      <c r="H18" s="262"/>
      <c r="I18" s="313"/>
      <c r="J18" s="314"/>
      <c r="K18" s="314"/>
      <c r="L18" s="310"/>
      <c r="M18" s="311"/>
      <c r="N18" s="311"/>
      <c r="O18" s="311"/>
      <c r="P18" s="312"/>
      <c r="Q18" s="339"/>
      <c r="R18" s="343"/>
      <c r="U18" s="341"/>
    </row>
    <row r="19" ht="13" spans="2:21">
      <c r="B19" s="209" t="str">
        <f>B100</f>
        <v>SCOAH2GCC01</v>
      </c>
      <c r="C19" s="209" t="str">
        <f>C100</f>
        <v>H2 Production-Coal Gasification + Carbon Capture</v>
      </c>
      <c r="D19" s="212" t="s">
        <v>107</v>
      </c>
      <c r="E19" s="211"/>
      <c r="F19" s="193">
        <f>1/51*100</f>
        <v>1.96078431372549</v>
      </c>
      <c r="G19" s="193">
        <f t="shared" ref="G19:H19" si="1">1/51*100</f>
        <v>1.96078431372549</v>
      </c>
      <c r="H19" s="193">
        <f t="shared" si="1"/>
        <v>1.96078431372549</v>
      </c>
      <c r="I19" s="295"/>
      <c r="J19" s="296"/>
      <c r="K19" s="296"/>
      <c r="L19" s="297">
        <v>0.95</v>
      </c>
      <c r="M19" s="196">
        <f>(807+966)/2*1.35</f>
        <v>1196.775</v>
      </c>
      <c r="N19" s="196">
        <f>M19*0.95</f>
        <v>1136.93625</v>
      </c>
      <c r="O19" s="196">
        <f>M19*0.9</f>
        <v>1077.0975</v>
      </c>
      <c r="P19" s="298">
        <v>40</v>
      </c>
      <c r="Q19" s="335">
        <v>2021</v>
      </c>
      <c r="R19" s="336">
        <v>31.536</v>
      </c>
      <c r="U19"/>
    </row>
    <row r="20" ht="13" spans="2:21">
      <c r="B20" s="209"/>
      <c r="C20" s="209"/>
      <c r="D20" s="212" t="s">
        <v>37</v>
      </c>
      <c r="E20" s="211"/>
      <c r="F20" s="252"/>
      <c r="G20" s="252"/>
      <c r="H20" s="252"/>
      <c r="I20" s="295"/>
      <c r="J20" s="296"/>
      <c r="K20" s="296"/>
      <c r="L20" s="297"/>
      <c r="M20" s="196"/>
      <c r="N20" s="196"/>
      <c r="O20" s="196"/>
      <c r="P20" s="298"/>
      <c r="Q20" s="337"/>
      <c r="R20" s="338"/>
      <c r="U20"/>
    </row>
    <row r="21" ht="13" spans="2:21">
      <c r="B21" s="209"/>
      <c r="C21" s="209"/>
      <c r="D21" s="212"/>
      <c r="E21" s="157" t="s">
        <v>44</v>
      </c>
      <c r="F21" s="193"/>
      <c r="G21" s="193"/>
      <c r="H21" s="193"/>
      <c r="I21" s="295">
        <f>'INPUT-Data(EUTIMES-HP)'!R5</f>
        <v>1</v>
      </c>
      <c r="J21" s="296">
        <f>I21</f>
        <v>1</v>
      </c>
      <c r="K21" s="296">
        <f>J21</f>
        <v>1</v>
      </c>
      <c r="L21" s="297"/>
      <c r="M21" s="196"/>
      <c r="N21" s="196"/>
      <c r="O21" s="196"/>
      <c r="P21" s="298"/>
      <c r="Q21" s="337"/>
      <c r="R21" s="338"/>
      <c r="U21"/>
    </row>
    <row r="22" ht="13" spans="2:21">
      <c r="B22" s="212"/>
      <c r="C22" s="212"/>
      <c r="D22" s="212"/>
      <c r="E22" s="208" t="s">
        <v>45</v>
      </c>
      <c r="F22" s="193"/>
      <c r="G22" s="193"/>
      <c r="H22" s="193"/>
      <c r="I22" s="295">
        <f>'ReferEMI-NOUSE'!V2</f>
        <v>45.0454054054054</v>
      </c>
      <c r="J22" s="296">
        <f>'ReferEMI-NOUSE'!V3</f>
        <v>36.7036636636637</v>
      </c>
      <c r="K22" s="296">
        <f>'ReferEMI-NOUSE'!V4</f>
        <v>34.2011411411411</v>
      </c>
      <c r="L22" s="315"/>
      <c r="M22" s="196"/>
      <c r="N22" s="196"/>
      <c r="O22" s="196"/>
      <c r="P22" s="316"/>
      <c r="Q22" s="335"/>
      <c r="R22" s="344"/>
      <c r="U22"/>
    </row>
    <row r="23" ht="13" spans="2:21">
      <c r="B23" s="264" t="s">
        <v>108</v>
      </c>
      <c r="C23" s="265"/>
      <c r="D23" s="266"/>
      <c r="E23" s="267"/>
      <c r="F23" s="268"/>
      <c r="G23" s="268"/>
      <c r="H23" s="268"/>
      <c r="I23" s="317"/>
      <c r="J23" s="318"/>
      <c r="K23" s="318"/>
      <c r="L23" s="315"/>
      <c r="M23" s="319"/>
      <c r="N23" s="319"/>
      <c r="O23" s="319"/>
      <c r="P23" s="316"/>
      <c r="Q23" s="337"/>
      <c r="R23" s="344"/>
      <c r="U23"/>
    </row>
    <row r="24" ht="13" spans="2:37">
      <c r="B24" s="264" t="s">
        <v>108</v>
      </c>
      <c r="C24" s="265"/>
      <c r="D24" s="266"/>
      <c r="E24" s="267"/>
      <c r="F24" s="269"/>
      <c r="G24" s="269"/>
      <c r="H24" s="269"/>
      <c r="I24" s="320"/>
      <c r="J24" s="321"/>
      <c r="K24" s="321"/>
      <c r="L24" s="315"/>
      <c r="M24" s="319"/>
      <c r="N24" s="319"/>
      <c r="O24" s="319"/>
      <c r="P24" s="316"/>
      <c r="Q24" s="337"/>
      <c r="R24" s="344"/>
      <c r="U24"/>
      <c r="AK24" s="110">
        <f>0.4*1.5*1000*365*40</f>
        <v>8760000</v>
      </c>
    </row>
    <row r="25" ht="13" spans="2:21">
      <c r="B25" s="209" t="str">
        <f>B103</f>
        <v>SBIOH2GC01</v>
      </c>
      <c r="C25" s="209" t="str">
        <f>C103</f>
        <v>H2 Production-Biomass Gasification</v>
      </c>
      <c r="D25" s="212" t="s">
        <v>109</v>
      </c>
      <c r="E25" s="211"/>
      <c r="F25" s="193">
        <f>1/54.3*100</f>
        <v>1.84162062615101</v>
      </c>
      <c r="G25" s="193">
        <f>1/57.3*100</f>
        <v>1.74520069808028</v>
      </c>
      <c r="H25" s="193">
        <f>1/64.3*100</f>
        <v>1.5552099533437</v>
      </c>
      <c r="I25" s="295"/>
      <c r="J25" s="296"/>
      <c r="K25" s="296"/>
      <c r="L25" s="297">
        <v>0.95</v>
      </c>
      <c r="M25" s="196">
        <f>(533+1081)/2*1.35</f>
        <v>1089.45</v>
      </c>
      <c r="N25" s="196">
        <f>M25*0.95</f>
        <v>1034.9775</v>
      </c>
      <c r="O25" s="196">
        <f>M25*0.9</f>
        <v>980.505</v>
      </c>
      <c r="P25" s="298">
        <v>40</v>
      </c>
      <c r="Q25" s="335">
        <v>2021</v>
      </c>
      <c r="R25" s="336">
        <v>31.536</v>
      </c>
      <c r="U25"/>
    </row>
    <row r="26" ht="13" spans="2:21">
      <c r="B26" s="209"/>
      <c r="C26" s="209"/>
      <c r="D26" s="270" t="s">
        <v>37</v>
      </c>
      <c r="E26" s="211"/>
      <c r="F26" s="193"/>
      <c r="G26" s="193" t="str">
        <f>IF('INPUT-Data(EUTIMES-HP)'!P7=0,"",'INPUT-Data(EUTIMES-HP)'!P7)</f>
        <v/>
      </c>
      <c r="H26" s="193" t="str">
        <f>IF('INPUT-Data(EUTIMES-HP)'!Q7=0,"",'INPUT-Data(EUTIMES-HP)'!Q7)</f>
        <v/>
      </c>
      <c r="I26" s="295"/>
      <c r="J26" s="296"/>
      <c r="K26" s="296"/>
      <c r="L26" s="297"/>
      <c r="M26" s="196"/>
      <c r="N26" s="196"/>
      <c r="O26" s="196"/>
      <c r="P26" s="298"/>
      <c r="Q26" s="337"/>
      <c r="R26" s="338"/>
      <c r="U26"/>
    </row>
    <row r="27" ht="13" spans="2:21">
      <c r="B27" s="209"/>
      <c r="C27" s="209"/>
      <c r="D27" s="212"/>
      <c r="E27" s="157" t="s">
        <v>44</v>
      </c>
      <c r="F27" s="226"/>
      <c r="G27" s="193"/>
      <c r="H27" s="193"/>
      <c r="I27" s="295">
        <f>'INPUT-Data(EUTIMES-HP)'!R7</f>
        <v>1</v>
      </c>
      <c r="J27" s="296">
        <f>I27</f>
        <v>1</v>
      </c>
      <c r="K27" s="296">
        <f>J27</f>
        <v>1</v>
      </c>
      <c r="L27" s="297"/>
      <c r="M27" s="196"/>
      <c r="N27" s="196"/>
      <c r="O27" s="196"/>
      <c r="P27" s="298"/>
      <c r="Q27" s="337"/>
      <c r="R27" s="338"/>
      <c r="U27"/>
    </row>
    <row r="28" ht="13" spans="2:21">
      <c r="B28" s="212"/>
      <c r="C28" s="212"/>
      <c r="D28" s="212"/>
      <c r="E28" s="208" t="s">
        <v>45</v>
      </c>
      <c r="F28" s="193"/>
      <c r="G28" s="193"/>
      <c r="H28" s="193"/>
      <c r="I28" s="295">
        <f>'ReferEMI-NOUSE'!Y2</f>
        <v>10.8442642642643</v>
      </c>
      <c r="J28" s="296">
        <f>'ReferEMI-NOUSE'!Y3</f>
        <v>5.83921921921922</v>
      </c>
      <c r="K28" s="296">
        <f>'ReferEMI-NOUSE'!Y4</f>
        <v>4.17087087087087</v>
      </c>
      <c r="L28" s="315"/>
      <c r="M28" s="196"/>
      <c r="N28" s="196"/>
      <c r="O28" s="196"/>
      <c r="P28" s="316"/>
      <c r="Q28" s="335"/>
      <c r="R28" s="344"/>
      <c r="U28"/>
    </row>
    <row r="29" ht="13" spans="2:21">
      <c r="B29" s="264" t="s">
        <v>108</v>
      </c>
      <c r="C29" s="265"/>
      <c r="D29" s="266"/>
      <c r="E29" s="267"/>
      <c r="F29" s="271"/>
      <c r="G29" s="269"/>
      <c r="H29" s="269"/>
      <c r="I29" s="317"/>
      <c r="J29" s="318"/>
      <c r="K29" s="318"/>
      <c r="L29" s="315"/>
      <c r="M29" s="319"/>
      <c r="N29" s="319"/>
      <c r="O29" s="319"/>
      <c r="P29" s="316"/>
      <c r="Q29" s="337"/>
      <c r="R29" s="344"/>
      <c r="U29"/>
    </row>
    <row r="30" ht="13" spans="2:21">
      <c r="B30" s="264" t="s">
        <v>108</v>
      </c>
      <c r="C30" s="265"/>
      <c r="D30" s="266"/>
      <c r="E30" s="272"/>
      <c r="F30" s="268"/>
      <c r="G30" s="268"/>
      <c r="H30" s="268"/>
      <c r="I30" s="317"/>
      <c r="J30" s="318"/>
      <c r="K30" s="318"/>
      <c r="L30" s="315"/>
      <c r="M30" s="319"/>
      <c r="N30" s="319"/>
      <c r="O30" s="319"/>
      <c r="P30" s="316"/>
      <c r="Q30" s="337"/>
      <c r="R30" s="344"/>
      <c r="U30"/>
    </row>
    <row r="31" ht="13" spans="2:21">
      <c r="B31" s="209" t="str">
        <f>B104</f>
        <v>SBIOH2GCC01</v>
      </c>
      <c r="C31" s="209" t="str">
        <f>C104</f>
        <v>H2 Production-Biomass Gasification + Carbon Capture</v>
      </c>
      <c r="D31" s="212" t="s">
        <v>109</v>
      </c>
      <c r="E31" s="211"/>
      <c r="F31" s="193">
        <f>1/54.3*100</f>
        <v>1.84162062615101</v>
      </c>
      <c r="G31" s="193">
        <f>1/57.3*100</f>
        <v>1.74520069808028</v>
      </c>
      <c r="H31" s="193">
        <f>1/64.3*100</f>
        <v>1.5552099533437</v>
      </c>
      <c r="I31" s="295"/>
      <c r="J31" s="296"/>
      <c r="K31" s="296"/>
      <c r="L31" s="297">
        <v>0.95</v>
      </c>
      <c r="M31" s="196">
        <f>(1135+1297)/2*1.35</f>
        <v>1641.6</v>
      </c>
      <c r="N31" s="196">
        <f>M31*0.95</f>
        <v>1559.52</v>
      </c>
      <c r="O31" s="196">
        <f>M31*0.9</f>
        <v>1477.44</v>
      </c>
      <c r="P31" s="298">
        <v>40</v>
      </c>
      <c r="Q31" s="335">
        <v>2021</v>
      </c>
      <c r="R31" s="336">
        <v>31.536</v>
      </c>
      <c r="U31"/>
    </row>
    <row r="32" ht="13" spans="2:21">
      <c r="B32" s="209"/>
      <c r="C32" s="209"/>
      <c r="D32" s="212" t="s">
        <v>37</v>
      </c>
      <c r="E32" s="211"/>
      <c r="F32" s="193"/>
      <c r="G32" s="193" t="str">
        <f>IF('INPUT-Data(EUTIMES-HP)'!P9=0,"",'INPUT-Data(EUTIMES-HP)'!P9)</f>
        <v/>
      </c>
      <c r="H32" s="193" t="str">
        <f>IF('INPUT-Data(EUTIMES-HP)'!Q9=0,"",'INPUT-Data(EUTIMES-HP)'!Q9)</f>
        <v/>
      </c>
      <c r="I32" s="295"/>
      <c r="J32" s="296"/>
      <c r="K32" s="296"/>
      <c r="L32" s="297"/>
      <c r="M32" s="196"/>
      <c r="N32" s="196"/>
      <c r="O32" s="196"/>
      <c r="P32" s="298"/>
      <c r="Q32" s="337"/>
      <c r="R32" s="338"/>
      <c r="U32"/>
    </row>
    <row r="33" ht="13" spans="2:21">
      <c r="B33" s="209"/>
      <c r="C33" s="209"/>
      <c r="D33" s="212"/>
      <c r="E33" s="157" t="s">
        <v>44</v>
      </c>
      <c r="F33" s="226"/>
      <c r="G33" s="226"/>
      <c r="H33" s="226"/>
      <c r="I33" s="295">
        <f>'INPUT-Data(EUTIMES-HP)'!R9</f>
        <v>1</v>
      </c>
      <c r="J33" s="296">
        <f>I33</f>
        <v>1</v>
      </c>
      <c r="K33" s="296">
        <f>J33</f>
        <v>1</v>
      </c>
      <c r="L33" s="297"/>
      <c r="M33" s="196"/>
      <c r="N33" s="196"/>
      <c r="O33" s="196"/>
      <c r="P33" s="298"/>
      <c r="Q33" s="337"/>
      <c r="R33" s="338"/>
      <c r="U33"/>
    </row>
    <row r="34" s="236" customFormat="1" ht="13" spans="2:21">
      <c r="B34" s="253" t="s">
        <v>108</v>
      </c>
      <c r="C34" s="253"/>
      <c r="D34" s="253"/>
      <c r="E34" s="254"/>
      <c r="F34" s="255"/>
      <c r="G34" s="255"/>
      <c r="H34" s="255"/>
      <c r="I34" s="303"/>
      <c r="J34" s="304"/>
      <c r="K34" s="304"/>
      <c r="L34" s="310"/>
      <c r="M34" s="311"/>
      <c r="N34" s="311"/>
      <c r="O34" s="311"/>
      <c r="P34" s="312"/>
      <c r="Q34" s="342"/>
      <c r="R34" s="343"/>
      <c r="U34" s="341"/>
    </row>
    <row r="35" s="236" customFormat="1" ht="13" spans="2:21">
      <c r="B35" s="256" t="s">
        <v>108</v>
      </c>
      <c r="C35" s="257"/>
      <c r="D35" s="258"/>
      <c r="E35" s="263"/>
      <c r="F35" s="259"/>
      <c r="G35" s="259"/>
      <c r="H35" s="259"/>
      <c r="I35" s="308"/>
      <c r="J35" s="309"/>
      <c r="K35" s="309"/>
      <c r="L35" s="310"/>
      <c r="M35" s="311"/>
      <c r="N35" s="311"/>
      <c r="O35" s="311"/>
      <c r="P35" s="312"/>
      <c r="Q35" s="339"/>
      <c r="R35" s="343"/>
      <c r="U35" s="341"/>
    </row>
    <row r="36" s="236" customFormat="1" ht="13" spans="2:21">
      <c r="B36" s="273" t="s">
        <v>108</v>
      </c>
      <c r="C36" s="274"/>
      <c r="D36" s="275"/>
      <c r="E36" s="276"/>
      <c r="F36" s="261"/>
      <c r="G36" s="261"/>
      <c r="H36" s="261"/>
      <c r="I36" s="308"/>
      <c r="J36" s="322"/>
      <c r="K36" s="322"/>
      <c r="L36" s="323"/>
      <c r="M36" s="311"/>
      <c r="N36" s="311"/>
      <c r="O36" s="311"/>
      <c r="P36" s="312"/>
      <c r="Q36" s="339"/>
      <c r="R36" s="343"/>
      <c r="U36" s="341"/>
    </row>
    <row r="37" s="236" customFormat="1" ht="13" spans="2:21">
      <c r="B37" s="273" t="s">
        <v>108</v>
      </c>
      <c r="C37" s="277"/>
      <c r="D37" s="253"/>
      <c r="E37" s="278"/>
      <c r="F37" s="255"/>
      <c r="G37" s="255"/>
      <c r="H37" s="255"/>
      <c r="I37" s="303"/>
      <c r="J37" s="304"/>
      <c r="K37" s="304"/>
      <c r="L37" s="324"/>
      <c r="M37" s="325"/>
      <c r="N37" s="325"/>
      <c r="O37" s="325"/>
      <c r="P37" s="326"/>
      <c r="Q37" s="342"/>
      <c r="R37" s="345"/>
      <c r="U37" s="341"/>
    </row>
    <row r="38" s="236" customFormat="1" ht="13" spans="2:21">
      <c r="B38" s="273" t="s">
        <v>108</v>
      </c>
      <c r="C38" s="277"/>
      <c r="D38" s="253"/>
      <c r="E38" s="278"/>
      <c r="F38" s="255"/>
      <c r="G38" s="255"/>
      <c r="H38" s="255"/>
      <c r="I38" s="303"/>
      <c r="J38" s="304"/>
      <c r="K38" s="304"/>
      <c r="L38" s="324"/>
      <c r="M38" s="325"/>
      <c r="N38" s="325"/>
      <c r="O38" s="325"/>
      <c r="P38" s="326"/>
      <c r="Q38" s="339"/>
      <c r="R38" s="345"/>
      <c r="U38" s="341"/>
    </row>
    <row r="39" s="236" customFormat="1" ht="13" spans="2:21">
      <c r="B39" s="273" t="s">
        <v>108</v>
      </c>
      <c r="C39" s="277"/>
      <c r="D39" s="253"/>
      <c r="E39" s="279"/>
      <c r="F39" s="280"/>
      <c r="G39" s="280"/>
      <c r="H39" s="280"/>
      <c r="I39" s="303"/>
      <c r="J39" s="304"/>
      <c r="K39" s="304"/>
      <c r="L39" s="324"/>
      <c r="M39" s="325"/>
      <c r="N39" s="325"/>
      <c r="O39" s="325"/>
      <c r="P39" s="326"/>
      <c r="Q39" s="339"/>
      <c r="R39" s="345"/>
      <c r="U39" s="341"/>
    </row>
    <row r="40" ht="13" spans="2:21">
      <c r="B40" s="281" t="str">
        <f>B107</f>
        <v>SGASH2RC01</v>
      </c>
      <c r="C40" s="281" t="str">
        <f>C107</f>
        <v>H2 Production-Methane Steam Reforming</v>
      </c>
      <c r="D40" s="282" t="s">
        <v>110</v>
      </c>
      <c r="E40" s="283"/>
      <c r="F40" s="193">
        <f>1/76.6*100</f>
        <v>1.30548302872063</v>
      </c>
      <c r="G40" s="193">
        <f t="shared" ref="G40:H40" si="2">1/76.6*100</f>
        <v>1.30548302872063</v>
      </c>
      <c r="H40" s="193">
        <f t="shared" si="2"/>
        <v>1.30548302872063</v>
      </c>
      <c r="I40" s="327"/>
      <c r="J40" s="328"/>
      <c r="K40" s="328"/>
      <c r="L40" s="329">
        <v>0.95</v>
      </c>
      <c r="M40" s="330">
        <f>(371+778)/2*1.35</f>
        <v>775.575</v>
      </c>
      <c r="N40" s="196">
        <f>M40*0.95</f>
        <v>736.79625</v>
      </c>
      <c r="O40" s="196">
        <f>M40*0.9</f>
        <v>698.0175</v>
      </c>
      <c r="P40" s="331">
        <v>40</v>
      </c>
      <c r="Q40" s="335">
        <v>2021</v>
      </c>
      <c r="R40" s="346">
        <v>31.536</v>
      </c>
      <c r="U40"/>
    </row>
    <row r="41" ht="13" spans="2:21">
      <c r="B41" s="281"/>
      <c r="C41" s="281"/>
      <c r="D41" s="282" t="s">
        <v>37</v>
      </c>
      <c r="E41" s="283"/>
      <c r="F41" s="284"/>
      <c r="G41" s="284"/>
      <c r="H41" s="284"/>
      <c r="I41" s="327"/>
      <c r="J41" s="328"/>
      <c r="K41" s="328"/>
      <c r="L41" s="329"/>
      <c r="M41" s="330"/>
      <c r="N41" s="330"/>
      <c r="O41" s="330"/>
      <c r="P41" s="331"/>
      <c r="Q41" s="337"/>
      <c r="R41" s="346"/>
      <c r="U41"/>
    </row>
    <row r="42" ht="13" spans="2:21">
      <c r="B42" s="281"/>
      <c r="C42" s="281"/>
      <c r="D42" s="282"/>
      <c r="E42" s="283" t="s">
        <v>44</v>
      </c>
      <c r="F42" s="285"/>
      <c r="G42" s="285"/>
      <c r="H42" s="285"/>
      <c r="I42" s="332">
        <f>'INPUT-Data(EUTIMES-HP)'!R12</f>
        <v>1</v>
      </c>
      <c r="J42" s="296">
        <f>I42</f>
        <v>1</v>
      </c>
      <c r="K42" s="296">
        <f>J42</f>
        <v>1</v>
      </c>
      <c r="L42" s="329"/>
      <c r="M42" s="330"/>
      <c r="N42" s="330"/>
      <c r="O42" s="330"/>
      <c r="P42" s="331"/>
      <c r="Q42" s="337"/>
      <c r="R42" s="346"/>
      <c r="U42"/>
    </row>
    <row r="43" ht="13" spans="2:21">
      <c r="B43" s="212"/>
      <c r="C43" s="212"/>
      <c r="D43" s="212"/>
      <c r="E43" s="208" t="s">
        <v>45</v>
      </c>
      <c r="F43" s="193"/>
      <c r="G43" s="193"/>
      <c r="H43" s="193"/>
      <c r="I43" s="295">
        <f>'ReferEMI-NOUSE'!W2</f>
        <v>88.4224624624625</v>
      </c>
      <c r="J43" s="296">
        <f>'ReferEMI-NOUSE'!W3</f>
        <v>90.924984984985</v>
      </c>
      <c r="K43" s="296">
        <f>'ReferEMI-NOUSE'!W4</f>
        <v>91.7591591591592</v>
      </c>
      <c r="L43" s="315"/>
      <c r="M43" s="319"/>
      <c r="N43" s="319"/>
      <c r="O43" s="319"/>
      <c r="P43" s="316"/>
      <c r="Q43" s="335"/>
      <c r="R43" s="344"/>
      <c r="U43"/>
    </row>
    <row r="44" ht="13" spans="2:21">
      <c r="B44" s="208" t="s">
        <v>108</v>
      </c>
      <c r="C44" s="209"/>
      <c r="D44" s="212"/>
      <c r="E44" s="211"/>
      <c r="F44" s="193"/>
      <c r="G44" s="193"/>
      <c r="H44" s="193"/>
      <c r="I44" s="295"/>
      <c r="J44" s="296"/>
      <c r="K44" s="296"/>
      <c r="L44" s="297"/>
      <c r="M44" s="196"/>
      <c r="N44" s="196"/>
      <c r="O44" s="196"/>
      <c r="P44" s="298"/>
      <c r="Q44" s="337"/>
      <c r="R44" s="336"/>
      <c r="U44"/>
    </row>
    <row r="45" ht="13" spans="2:21">
      <c r="B45" s="208" t="s">
        <v>108</v>
      </c>
      <c r="C45" s="209"/>
      <c r="D45" s="212"/>
      <c r="E45" s="157"/>
      <c r="F45" s="226"/>
      <c r="G45" s="226"/>
      <c r="H45" s="226"/>
      <c r="I45" s="295"/>
      <c r="J45" s="296"/>
      <c r="K45" s="296"/>
      <c r="L45" s="297"/>
      <c r="M45" s="196"/>
      <c r="N45" s="196"/>
      <c r="O45" s="196"/>
      <c r="P45" s="298"/>
      <c r="Q45" s="337"/>
      <c r="R45" s="336"/>
      <c r="U45"/>
    </row>
    <row r="46" ht="13" spans="2:21">
      <c r="B46" s="281" t="str">
        <f>B109</f>
        <v>SGASH2RCC01</v>
      </c>
      <c r="C46" s="281" t="str">
        <f>C109</f>
        <v>H2 Production-Methane Steam Reforming + Carbon Capture</v>
      </c>
      <c r="D46" s="282" t="s">
        <v>110</v>
      </c>
      <c r="E46" s="283"/>
      <c r="F46" s="193">
        <f>1/77.3*100</f>
        <v>1.29366106080207</v>
      </c>
      <c r="G46" s="193">
        <f t="shared" ref="G46:H46" si="3">1/77.3*100</f>
        <v>1.29366106080207</v>
      </c>
      <c r="H46" s="193">
        <f t="shared" si="3"/>
        <v>1.29366106080207</v>
      </c>
      <c r="I46" s="327"/>
      <c r="J46" s="328"/>
      <c r="K46" s="328"/>
      <c r="L46" s="329">
        <v>0.95</v>
      </c>
      <c r="M46" s="330">
        <f>(696+814)/2*1.35</f>
        <v>1019.25</v>
      </c>
      <c r="N46" s="196">
        <f>M46*0.95</f>
        <v>968.2875</v>
      </c>
      <c r="O46" s="196">
        <f>M46*0.9</f>
        <v>917.325</v>
      </c>
      <c r="P46" s="331">
        <v>40</v>
      </c>
      <c r="Q46" s="335">
        <v>2021</v>
      </c>
      <c r="R46" s="346">
        <v>31.536</v>
      </c>
      <c r="U46"/>
    </row>
    <row r="47" ht="13" spans="2:21">
      <c r="B47" s="281"/>
      <c r="C47" s="281"/>
      <c r="D47" s="282" t="s">
        <v>37</v>
      </c>
      <c r="E47" s="283"/>
      <c r="F47" s="284">
        <f>I49*1000*0.18/(2.77778*10^8)</f>
        <v>2.86488549187539e-5</v>
      </c>
      <c r="G47" s="284">
        <f>F47</f>
        <v>2.86488549187539e-5</v>
      </c>
      <c r="H47" s="284">
        <f>G47</f>
        <v>2.86488549187539e-5</v>
      </c>
      <c r="I47" s="327"/>
      <c r="J47" s="328"/>
      <c r="K47" s="328"/>
      <c r="L47" s="329"/>
      <c r="M47" s="330"/>
      <c r="N47" s="330"/>
      <c r="O47" s="330"/>
      <c r="P47" s="331"/>
      <c r="Q47" s="337"/>
      <c r="R47" s="346"/>
      <c r="U47"/>
    </row>
    <row r="48" ht="13" spans="2:21">
      <c r="B48" s="281"/>
      <c r="C48" s="281"/>
      <c r="D48" s="282"/>
      <c r="E48" s="283" t="s">
        <v>44</v>
      </c>
      <c r="F48" s="285"/>
      <c r="G48" s="285"/>
      <c r="H48" s="285"/>
      <c r="I48" s="332">
        <f>'INPUT-Data(EUTIMES-HP)'!R14</f>
        <v>1</v>
      </c>
      <c r="J48" s="333">
        <f>I48</f>
        <v>1</v>
      </c>
      <c r="K48" s="333">
        <f>J48</f>
        <v>1</v>
      </c>
      <c r="L48" s="329"/>
      <c r="M48" s="330"/>
      <c r="N48" s="330"/>
      <c r="O48" s="330"/>
      <c r="P48" s="331"/>
      <c r="Q48" s="337"/>
      <c r="R48" s="346"/>
      <c r="U48"/>
    </row>
    <row r="49" ht="13" spans="2:21">
      <c r="B49" s="212"/>
      <c r="C49" s="212"/>
      <c r="D49" s="212"/>
      <c r="E49" s="208" t="s">
        <v>45</v>
      </c>
      <c r="F49" s="193"/>
      <c r="G49" s="193"/>
      <c r="H49" s="193"/>
      <c r="I49" s="295">
        <f>'ReferEMI-NOUSE'!X2</f>
        <v>44.2112312312312</v>
      </c>
      <c r="J49" s="296">
        <f>'ReferEMI-NOUSE'!X3</f>
        <v>43.3770570570571</v>
      </c>
      <c r="K49" s="296">
        <f>'ReferEMI-NOUSE'!X4</f>
        <v>43.3770570570571</v>
      </c>
      <c r="L49" s="315"/>
      <c r="M49" s="319"/>
      <c r="N49" s="319"/>
      <c r="O49" s="319"/>
      <c r="P49" s="316"/>
      <c r="Q49" s="335"/>
      <c r="R49" s="344"/>
      <c r="U49"/>
    </row>
    <row r="50" ht="13" spans="2:21">
      <c r="B50" s="208" t="s">
        <v>108</v>
      </c>
      <c r="C50" s="209"/>
      <c r="D50" s="212"/>
      <c r="E50" s="211"/>
      <c r="F50" s="193"/>
      <c r="G50" s="193"/>
      <c r="H50" s="193"/>
      <c r="I50" s="295"/>
      <c r="J50" s="296"/>
      <c r="K50" s="296"/>
      <c r="L50" s="297"/>
      <c r="M50" s="196"/>
      <c r="N50" s="334"/>
      <c r="O50" s="334"/>
      <c r="P50" s="298"/>
      <c r="Q50" s="337"/>
      <c r="R50" s="336"/>
      <c r="U50"/>
    </row>
    <row r="51" ht="13" spans="2:21">
      <c r="B51" s="208" t="s">
        <v>108</v>
      </c>
      <c r="C51" s="209"/>
      <c r="D51" s="212"/>
      <c r="E51" s="157"/>
      <c r="F51" s="226"/>
      <c r="G51" s="226"/>
      <c r="H51" s="226"/>
      <c r="I51" s="295"/>
      <c r="J51" s="296"/>
      <c r="K51" s="296"/>
      <c r="L51" s="297"/>
      <c r="M51" s="196"/>
      <c r="N51" s="196"/>
      <c r="O51" s="196"/>
      <c r="P51" s="298"/>
      <c r="Q51" s="337"/>
      <c r="R51" s="336"/>
      <c r="U51"/>
    </row>
    <row r="52" ht="13" spans="2:21">
      <c r="B52" s="286" t="s">
        <v>108</v>
      </c>
      <c r="C52" s="257"/>
      <c r="D52" s="282"/>
      <c r="E52" s="283"/>
      <c r="F52" s="284"/>
      <c r="G52" s="284"/>
      <c r="H52" s="284"/>
      <c r="I52" s="327"/>
      <c r="J52" s="328"/>
      <c r="K52" s="328"/>
      <c r="L52" s="329"/>
      <c r="M52" s="330"/>
      <c r="N52" s="196"/>
      <c r="O52" s="196"/>
      <c r="P52" s="331"/>
      <c r="Q52" s="335"/>
      <c r="R52" s="346"/>
      <c r="U52"/>
    </row>
    <row r="53" ht="13" spans="2:21">
      <c r="B53" s="286" t="s">
        <v>108</v>
      </c>
      <c r="C53" s="257"/>
      <c r="D53" s="282"/>
      <c r="E53" s="283"/>
      <c r="F53" s="284"/>
      <c r="G53" s="284"/>
      <c r="H53" s="284"/>
      <c r="I53" s="327"/>
      <c r="J53" s="328"/>
      <c r="K53" s="328"/>
      <c r="L53" s="329"/>
      <c r="M53" s="330"/>
      <c r="N53" s="330"/>
      <c r="O53" s="330"/>
      <c r="P53" s="331"/>
      <c r="Q53" s="337"/>
      <c r="R53" s="346"/>
      <c r="U53"/>
    </row>
    <row r="54" ht="13" spans="2:21">
      <c r="B54" s="286" t="s">
        <v>108</v>
      </c>
      <c r="C54" s="257"/>
      <c r="D54" s="282"/>
      <c r="E54" s="287"/>
      <c r="F54" s="285"/>
      <c r="G54" s="285"/>
      <c r="H54" s="285"/>
      <c r="I54" s="332"/>
      <c r="J54" s="333"/>
      <c r="K54" s="333"/>
      <c r="L54" s="329"/>
      <c r="M54" s="330"/>
      <c r="N54" s="330"/>
      <c r="O54" s="330"/>
      <c r="P54" s="331"/>
      <c r="Q54" s="337"/>
      <c r="R54" s="346"/>
      <c r="U54"/>
    </row>
    <row r="55" ht="13" spans="2:21">
      <c r="B55" s="286" t="s">
        <v>108</v>
      </c>
      <c r="C55" s="277"/>
      <c r="D55" s="212"/>
      <c r="E55" s="211"/>
      <c r="F55" s="193"/>
      <c r="G55" s="193"/>
      <c r="H55" s="193"/>
      <c r="I55" s="295"/>
      <c r="J55" s="296"/>
      <c r="K55" s="296"/>
      <c r="L55" s="297"/>
      <c r="M55" s="330"/>
      <c r="N55" s="196"/>
      <c r="O55" s="196"/>
      <c r="P55" s="298"/>
      <c r="Q55" s="335"/>
      <c r="R55" s="336"/>
      <c r="U55"/>
    </row>
    <row r="56" ht="13" spans="2:21">
      <c r="B56" s="286" t="s">
        <v>108</v>
      </c>
      <c r="C56" s="277"/>
      <c r="D56" s="288"/>
      <c r="E56" s="211"/>
      <c r="F56" s="193"/>
      <c r="G56" s="193"/>
      <c r="H56" s="193"/>
      <c r="I56" s="295"/>
      <c r="J56" s="296"/>
      <c r="K56" s="296"/>
      <c r="L56" s="297"/>
      <c r="M56" s="196"/>
      <c r="N56" s="196"/>
      <c r="O56" s="196"/>
      <c r="P56" s="298"/>
      <c r="Q56" s="337"/>
      <c r="R56" s="336"/>
      <c r="U56"/>
    </row>
    <row r="57" ht="13" spans="2:21">
      <c r="B57" s="286" t="s">
        <v>108</v>
      </c>
      <c r="C57" s="277"/>
      <c r="D57" s="212"/>
      <c r="E57" s="157"/>
      <c r="F57" s="226"/>
      <c r="G57" s="226"/>
      <c r="H57" s="226"/>
      <c r="I57" s="295"/>
      <c r="J57" s="296"/>
      <c r="K57" s="296"/>
      <c r="L57" s="297"/>
      <c r="M57" s="196"/>
      <c r="N57" s="196"/>
      <c r="O57" s="196"/>
      <c r="P57" s="298"/>
      <c r="Q57" s="337"/>
      <c r="R57" s="336"/>
      <c r="U57"/>
    </row>
    <row r="58" ht="13" spans="2:21">
      <c r="B58" s="286" t="s">
        <v>108</v>
      </c>
      <c r="C58" s="257"/>
      <c r="D58" s="282"/>
      <c r="E58" s="283"/>
      <c r="F58" s="284"/>
      <c r="G58" s="284"/>
      <c r="H58" s="284"/>
      <c r="I58" s="327"/>
      <c r="J58" s="328"/>
      <c r="K58" s="328"/>
      <c r="L58" s="329"/>
      <c r="M58" s="330"/>
      <c r="N58" s="196"/>
      <c r="O58" s="196"/>
      <c r="P58" s="331"/>
      <c r="Q58" s="335"/>
      <c r="R58" s="346"/>
      <c r="U58"/>
    </row>
    <row r="59" ht="13" spans="2:21">
      <c r="B59" s="286" t="s">
        <v>108</v>
      </c>
      <c r="C59" s="257"/>
      <c r="D59" s="288"/>
      <c r="E59" s="283"/>
      <c r="F59" s="284"/>
      <c r="G59" s="284"/>
      <c r="H59" s="284"/>
      <c r="I59" s="327"/>
      <c r="J59" s="328"/>
      <c r="K59" s="328"/>
      <c r="L59" s="329"/>
      <c r="M59" s="330"/>
      <c r="N59" s="330"/>
      <c r="O59" s="330"/>
      <c r="P59" s="331"/>
      <c r="Q59" s="337"/>
      <c r="R59" s="346"/>
      <c r="U59"/>
    </row>
    <row r="60" ht="13" spans="2:21">
      <c r="B60" s="286" t="s">
        <v>108</v>
      </c>
      <c r="C60" s="257"/>
      <c r="D60" s="282"/>
      <c r="E60" s="287"/>
      <c r="F60" s="285"/>
      <c r="G60" s="285"/>
      <c r="H60" s="285"/>
      <c r="I60" s="332"/>
      <c r="J60" s="333"/>
      <c r="K60" s="333"/>
      <c r="L60" s="329"/>
      <c r="M60" s="330"/>
      <c r="N60" s="330"/>
      <c r="O60" s="330"/>
      <c r="P60" s="331"/>
      <c r="Q60" s="337"/>
      <c r="R60" s="346"/>
      <c r="U60"/>
    </row>
    <row r="61" ht="13" spans="2:21">
      <c r="B61" s="208" t="s">
        <v>108</v>
      </c>
      <c r="C61" s="277"/>
      <c r="D61" s="212"/>
      <c r="E61" s="211"/>
      <c r="F61" s="289"/>
      <c r="G61" s="193"/>
      <c r="H61" s="193"/>
      <c r="I61" s="295"/>
      <c r="J61" s="296"/>
      <c r="K61" s="296"/>
      <c r="L61" s="297"/>
      <c r="M61" s="196"/>
      <c r="N61" s="196"/>
      <c r="O61" s="196"/>
      <c r="P61" s="298"/>
      <c r="Q61" s="335"/>
      <c r="R61" s="336"/>
      <c r="U61"/>
    </row>
    <row r="62" ht="13" spans="2:21">
      <c r="B62" s="208" t="s">
        <v>108</v>
      </c>
      <c r="C62" s="277"/>
      <c r="D62" s="290"/>
      <c r="E62" s="211"/>
      <c r="F62" s="193"/>
      <c r="G62" s="193"/>
      <c r="H62" s="193"/>
      <c r="I62" s="295"/>
      <c r="J62" s="296"/>
      <c r="K62" s="296"/>
      <c r="L62" s="297"/>
      <c r="M62" s="196"/>
      <c r="N62" s="196"/>
      <c r="O62" s="196"/>
      <c r="P62" s="298"/>
      <c r="Q62" s="337"/>
      <c r="R62" s="336"/>
      <c r="U62"/>
    </row>
    <row r="63" ht="13" spans="2:21">
      <c r="B63" s="208" t="s">
        <v>108</v>
      </c>
      <c r="C63" s="277"/>
      <c r="D63" s="212"/>
      <c r="E63" s="157"/>
      <c r="F63" s="226"/>
      <c r="G63" s="226"/>
      <c r="H63" s="226"/>
      <c r="I63" s="295"/>
      <c r="J63" s="296"/>
      <c r="K63" s="296"/>
      <c r="L63" s="297"/>
      <c r="M63" s="196"/>
      <c r="N63" s="196"/>
      <c r="O63" s="196"/>
      <c r="P63" s="298"/>
      <c r="Q63" s="337"/>
      <c r="R63" s="336"/>
      <c r="U63"/>
    </row>
    <row r="64" ht="13" spans="2:21">
      <c r="B64" s="208" t="s">
        <v>108</v>
      </c>
      <c r="C64" s="257"/>
      <c r="D64" s="282"/>
      <c r="E64" s="283"/>
      <c r="F64" s="284"/>
      <c r="G64" s="284"/>
      <c r="H64" s="284"/>
      <c r="I64" s="327"/>
      <c r="J64" s="328"/>
      <c r="K64" s="328"/>
      <c r="L64" s="329"/>
      <c r="M64" s="330"/>
      <c r="N64" s="330"/>
      <c r="O64" s="330"/>
      <c r="P64" s="331"/>
      <c r="Q64" s="335"/>
      <c r="R64" s="346"/>
      <c r="U64"/>
    </row>
    <row r="65" ht="13" spans="2:21">
      <c r="B65" s="208" t="s">
        <v>108</v>
      </c>
      <c r="C65" s="257"/>
      <c r="D65" s="282"/>
      <c r="E65" s="283"/>
      <c r="F65" s="284"/>
      <c r="G65" s="284"/>
      <c r="H65" s="284"/>
      <c r="I65" s="327"/>
      <c r="J65" s="328"/>
      <c r="K65" s="328"/>
      <c r="L65" s="329"/>
      <c r="M65" s="330"/>
      <c r="N65" s="330"/>
      <c r="O65" s="330"/>
      <c r="P65" s="331"/>
      <c r="Q65" s="337"/>
      <c r="R65" s="346"/>
      <c r="U65"/>
    </row>
    <row r="66" ht="13" spans="2:21">
      <c r="B66" s="208" t="s">
        <v>108</v>
      </c>
      <c r="C66" s="257"/>
      <c r="D66" s="282"/>
      <c r="E66" s="287"/>
      <c r="F66" s="285"/>
      <c r="G66" s="285"/>
      <c r="H66" s="285"/>
      <c r="I66" s="332"/>
      <c r="J66" s="333"/>
      <c r="K66" s="333"/>
      <c r="L66" s="329"/>
      <c r="M66" s="330"/>
      <c r="N66" s="330"/>
      <c r="O66" s="330"/>
      <c r="P66" s="331"/>
      <c r="Q66" s="337"/>
      <c r="R66" s="346"/>
      <c r="U66"/>
    </row>
    <row r="67" ht="13" spans="2:21">
      <c r="B67" s="208" t="s">
        <v>108</v>
      </c>
      <c r="C67" s="277"/>
      <c r="D67" s="212"/>
      <c r="E67" s="188"/>
      <c r="F67" s="193"/>
      <c r="G67" s="193"/>
      <c r="H67" s="193"/>
      <c r="I67" s="382"/>
      <c r="J67" s="383"/>
      <c r="K67" s="383"/>
      <c r="L67" s="297"/>
      <c r="M67" s="196"/>
      <c r="N67" s="196"/>
      <c r="O67" s="196"/>
      <c r="P67" s="298"/>
      <c r="Q67" s="335"/>
      <c r="R67" s="336"/>
      <c r="U67"/>
    </row>
    <row r="68" ht="13" spans="2:21">
      <c r="B68" s="208" t="s">
        <v>108</v>
      </c>
      <c r="C68" s="277"/>
      <c r="D68" s="212"/>
      <c r="E68" s="212"/>
      <c r="F68" s="193"/>
      <c r="G68" s="193"/>
      <c r="H68" s="193"/>
      <c r="I68" s="382"/>
      <c r="J68" s="383"/>
      <c r="K68" s="383"/>
      <c r="L68" s="297"/>
      <c r="M68" s="196"/>
      <c r="N68" s="196"/>
      <c r="O68" s="196"/>
      <c r="P68" s="384"/>
      <c r="Q68" s="337"/>
      <c r="R68" s="336"/>
      <c r="U68"/>
    </row>
    <row r="69" ht="13" spans="2:21">
      <c r="B69" s="208" t="s">
        <v>108</v>
      </c>
      <c r="C69" s="347"/>
      <c r="D69" s="348"/>
      <c r="E69" s="349"/>
      <c r="F69" s="142"/>
      <c r="G69" s="142"/>
      <c r="H69" s="142"/>
      <c r="I69" s="295"/>
      <c r="J69" s="385"/>
      <c r="K69" s="385"/>
      <c r="L69" s="386"/>
      <c r="M69" s="196"/>
      <c r="N69" s="196"/>
      <c r="O69" s="196"/>
      <c r="P69" s="387"/>
      <c r="Q69" s="337"/>
      <c r="R69" s="336"/>
      <c r="U69"/>
    </row>
    <row r="70" ht="14.5" spans="2:21">
      <c r="B70" s="350" t="s">
        <v>108</v>
      </c>
      <c r="C70" s="350"/>
      <c r="D70" s="351"/>
      <c r="E70" s="352"/>
      <c r="F70" s="353"/>
      <c r="G70" s="353"/>
      <c r="H70" s="353"/>
      <c r="I70" s="388"/>
      <c r="J70" s="389"/>
      <c r="K70" s="389"/>
      <c r="L70" s="390"/>
      <c r="M70" s="391"/>
      <c r="N70" s="391"/>
      <c r="O70" s="391"/>
      <c r="P70" s="392"/>
      <c r="Q70" s="409"/>
      <c r="R70" s="410"/>
      <c r="U70"/>
    </row>
    <row r="71" ht="14.5" spans="2:21">
      <c r="B71" s="351" t="s">
        <v>108</v>
      </c>
      <c r="C71" s="351"/>
      <c r="D71" s="351"/>
      <c r="E71" s="350"/>
      <c r="F71" s="353"/>
      <c r="G71" s="353"/>
      <c r="H71" s="353"/>
      <c r="I71" s="388"/>
      <c r="J71" s="389"/>
      <c r="K71" s="389"/>
      <c r="L71" s="390"/>
      <c r="M71" s="391"/>
      <c r="N71" s="391"/>
      <c r="O71" s="391"/>
      <c r="P71" s="392"/>
      <c r="Q71" s="409"/>
      <c r="R71" s="410"/>
      <c r="U71"/>
    </row>
    <row r="72" ht="13" spans="2:21">
      <c r="B72" s="354" t="str">
        <f>B117</f>
        <v>SELCH2EC01</v>
      </c>
      <c r="C72" s="354" t="str">
        <f>C117</f>
        <v>H2 Production-Alkaline Electrolyser</v>
      </c>
      <c r="D72" s="355" t="s">
        <v>37</v>
      </c>
      <c r="E72" s="356"/>
      <c r="F72" s="357">
        <f>1/67*100</f>
        <v>1.49253731343284</v>
      </c>
      <c r="G72" s="357">
        <f>1/68*100</f>
        <v>1.47058823529412</v>
      </c>
      <c r="H72" s="357">
        <f>1/75*100</f>
        <v>1.33333333333333</v>
      </c>
      <c r="I72" s="388"/>
      <c r="J72" s="389"/>
      <c r="K72" s="389"/>
      <c r="L72" s="390">
        <v>0.95</v>
      </c>
      <c r="M72" s="391">
        <f>1.35*562</f>
        <v>758.7</v>
      </c>
      <c r="N72" s="196">
        <f>M72*0.95</f>
        <v>720.765</v>
      </c>
      <c r="O72" s="196">
        <f>M72*0.9</f>
        <v>682.83</v>
      </c>
      <c r="P72" s="393">
        <v>9</v>
      </c>
      <c r="Q72" s="409">
        <v>2021</v>
      </c>
      <c r="R72" s="410">
        <v>31.536</v>
      </c>
      <c r="U72"/>
    </row>
    <row r="73" ht="13" spans="2:21">
      <c r="B73" s="354"/>
      <c r="C73" s="354"/>
      <c r="D73" s="355"/>
      <c r="E73" s="356" t="s">
        <v>44</v>
      </c>
      <c r="F73" s="353"/>
      <c r="G73" s="353"/>
      <c r="H73" s="353"/>
      <c r="I73" s="388">
        <f>'INPUT-Data(EUTIMES-HP)'!R22</f>
        <v>1</v>
      </c>
      <c r="J73" s="389">
        <f>I73</f>
        <v>1</v>
      </c>
      <c r="K73" s="389">
        <f>J73</f>
        <v>1</v>
      </c>
      <c r="L73" s="390"/>
      <c r="M73" s="391"/>
      <c r="N73" s="330"/>
      <c r="O73" s="330"/>
      <c r="P73" s="394"/>
      <c r="Q73" s="409"/>
      <c r="R73" s="410"/>
      <c r="U73"/>
    </row>
    <row r="74" ht="13" spans="2:21">
      <c r="B74" s="212"/>
      <c r="C74" s="212"/>
      <c r="D74" s="212"/>
      <c r="E74" s="208" t="s">
        <v>45</v>
      </c>
      <c r="F74" s="357"/>
      <c r="G74" s="357"/>
      <c r="H74" s="357"/>
      <c r="I74" s="395">
        <v>0</v>
      </c>
      <c r="J74" s="396">
        <v>0</v>
      </c>
      <c r="K74" s="396">
        <f>'ReferEMI-NOUSE'!AA4</f>
        <v>0</v>
      </c>
      <c r="L74" s="315"/>
      <c r="M74" s="397"/>
      <c r="N74" s="397"/>
      <c r="O74" s="397"/>
      <c r="P74" s="398"/>
      <c r="Q74" s="411"/>
      <c r="R74" s="412"/>
      <c r="U74"/>
    </row>
    <row r="75" ht="13" spans="2:21">
      <c r="B75" s="358"/>
      <c r="C75" s="358"/>
      <c r="D75" s="270"/>
      <c r="E75" s="358"/>
      <c r="F75" s="359"/>
      <c r="G75" s="359"/>
      <c r="H75" s="359"/>
      <c r="I75" s="270"/>
      <c r="J75" s="270"/>
      <c r="K75" s="270"/>
      <c r="L75" s="399"/>
      <c r="M75" s="400"/>
      <c r="N75" s="400"/>
      <c r="O75" s="400"/>
      <c r="P75" s="401"/>
      <c r="Q75" s="401"/>
      <c r="R75" s="413"/>
      <c r="S75" s="270"/>
      <c r="T75" s="270"/>
      <c r="U75" s="414"/>
    </row>
    <row r="76" ht="13" spans="2:21">
      <c r="B76" s="358"/>
      <c r="C76" s="358"/>
      <c r="D76" s="270"/>
      <c r="E76" s="358"/>
      <c r="F76" s="359"/>
      <c r="G76" s="359"/>
      <c r="H76" s="359"/>
      <c r="I76" s="359"/>
      <c r="J76" s="359"/>
      <c r="K76" s="359"/>
      <c r="L76" s="399"/>
      <c r="M76" s="400"/>
      <c r="N76" s="400"/>
      <c r="O76" s="400"/>
      <c r="P76" s="401"/>
      <c r="Q76" s="401"/>
      <c r="R76" s="413"/>
      <c r="S76" s="270"/>
      <c r="T76" s="270"/>
      <c r="U76" s="414"/>
    </row>
    <row r="77" ht="13" spans="2:21">
      <c r="B77" s="270"/>
      <c r="C77" s="270"/>
      <c r="D77" s="270"/>
      <c r="E77" s="358"/>
      <c r="F77" s="359"/>
      <c r="G77" s="359"/>
      <c r="H77" s="359"/>
      <c r="I77" s="359"/>
      <c r="J77" s="359"/>
      <c r="K77" s="359"/>
      <c r="L77" s="399"/>
      <c r="M77" s="400"/>
      <c r="N77" s="400"/>
      <c r="O77" s="400"/>
      <c r="P77" s="401"/>
      <c r="Q77" s="401"/>
      <c r="R77" s="413"/>
      <c r="S77" s="270"/>
      <c r="T77" s="270"/>
      <c r="U77" s="414"/>
    </row>
    <row r="78" ht="13" spans="2:21">
      <c r="B78" s="358"/>
      <c r="C78" s="358"/>
      <c r="D78" s="360"/>
      <c r="E78" s="358"/>
      <c r="F78" s="359"/>
      <c r="G78" s="359"/>
      <c r="H78" s="359"/>
      <c r="I78" s="359"/>
      <c r="J78" s="359"/>
      <c r="K78" s="359"/>
      <c r="L78" s="399"/>
      <c r="M78" s="400"/>
      <c r="N78" s="400"/>
      <c r="O78" s="400"/>
      <c r="P78" s="401"/>
      <c r="Q78" s="401"/>
      <c r="R78" s="413"/>
      <c r="S78" s="270"/>
      <c r="T78" s="270"/>
      <c r="U78" s="414"/>
    </row>
    <row r="79" ht="13" spans="2:21">
      <c r="B79" s="358"/>
      <c r="C79" s="358"/>
      <c r="D79" s="270"/>
      <c r="E79" s="358"/>
      <c r="F79" s="359"/>
      <c r="G79" s="359"/>
      <c r="H79" s="359"/>
      <c r="I79" s="359"/>
      <c r="J79" s="359"/>
      <c r="K79" s="359"/>
      <c r="L79" s="399"/>
      <c r="M79" s="400"/>
      <c r="N79" s="400"/>
      <c r="O79" s="400"/>
      <c r="P79" s="402"/>
      <c r="Q79" s="401"/>
      <c r="R79" s="413"/>
      <c r="S79" s="270"/>
      <c r="T79" s="270"/>
      <c r="U79" s="414"/>
    </row>
    <row r="80" ht="13" spans="2:21">
      <c r="B80" s="270"/>
      <c r="C80" s="270"/>
      <c r="D80" s="270"/>
      <c r="E80" s="358"/>
      <c r="F80" s="359"/>
      <c r="G80" s="359"/>
      <c r="H80" s="359"/>
      <c r="I80" s="359"/>
      <c r="J80" s="359"/>
      <c r="K80" s="359"/>
      <c r="L80" s="399"/>
      <c r="M80" s="400"/>
      <c r="N80" s="400"/>
      <c r="O80" s="400"/>
      <c r="P80" s="401"/>
      <c r="Q80" s="401"/>
      <c r="R80" s="413"/>
      <c r="S80" s="270"/>
      <c r="T80" s="270"/>
      <c r="U80" s="414"/>
    </row>
    <row r="81" spans="2:21">
      <c r="B81" s="358"/>
      <c r="C81" s="358"/>
      <c r="D81" s="270"/>
      <c r="E81" s="358"/>
      <c r="F81" s="359"/>
      <c r="G81" s="359"/>
      <c r="H81" s="359"/>
      <c r="I81" s="359"/>
      <c r="J81" s="359"/>
      <c r="K81" s="359"/>
      <c r="L81" s="359"/>
      <c r="M81" s="399"/>
      <c r="N81" s="400"/>
      <c r="O81" s="400"/>
      <c r="P81" s="400"/>
      <c r="Q81" s="402"/>
      <c r="R81" s="402"/>
      <c r="S81" s="415"/>
      <c r="T81" s="270"/>
      <c r="U81" s="414"/>
    </row>
    <row r="82" spans="2:21">
      <c r="B82" s="358"/>
      <c r="C82" s="358"/>
      <c r="D82" s="270"/>
      <c r="E82" s="358"/>
      <c r="F82" s="359"/>
      <c r="G82" s="359"/>
      <c r="H82" s="359"/>
      <c r="I82" s="359"/>
      <c r="J82" s="359"/>
      <c r="K82" s="359"/>
      <c r="L82" s="359"/>
      <c r="M82" s="399"/>
      <c r="N82" s="400"/>
      <c r="O82" s="400"/>
      <c r="P82" s="400"/>
      <c r="Q82" s="400"/>
      <c r="R82" s="402"/>
      <c r="S82" s="415"/>
      <c r="T82" s="414"/>
      <c r="U82" s="270"/>
    </row>
    <row r="83" spans="1:2">
      <c r="A83" s="188"/>
      <c r="B83" s="189"/>
    </row>
    <row r="84" spans="1:13">
      <c r="A84" s="188"/>
      <c r="B84" s="189"/>
      <c r="C84" s="189"/>
      <c r="D84" s="189"/>
      <c r="E84" s="361"/>
      <c r="F84" s="361"/>
      <c r="G84" s="361"/>
      <c r="H84" s="361"/>
      <c r="I84" s="361"/>
      <c r="J84" s="361"/>
      <c r="K84" s="361"/>
      <c r="L84" s="403"/>
      <c r="M84" s="365"/>
    </row>
    <row r="85" s="237" customFormat="1" ht="13" spans="2:18">
      <c r="B85" s="362"/>
      <c r="C85" s="362"/>
      <c r="D85" s="363"/>
      <c r="E85" s="363"/>
      <c r="F85" s="363"/>
      <c r="G85" s="363"/>
      <c r="H85" s="363"/>
      <c r="I85" s="363"/>
      <c r="J85" s="363"/>
      <c r="K85" s="363"/>
      <c r="L85" s="362"/>
      <c r="M85" s="362"/>
      <c r="N85" s="363"/>
      <c r="O85" s="363"/>
      <c r="P85" s="363"/>
      <c r="R85" s="416"/>
    </row>
    <row r="86" s="212" customFormat="1" ht="13" spans="2:18">
      <c r="B86" s="364"/>
      <c r="C86" s="364"/>
      <c r="D86" s="364"/>
      <c r="E86" s="364"/>
      <c r="F86" s="364"/>
      <c r="G86" s="364"/>
      <c r="H86" s="364"/>
      <c r="I86" s="364"/>
      <c r="J86" s="364"/>
      <c r="K86" s="364"/>
      <c r="L86" s="364"/>
      <c r="M86" s="364"/>
      <c r="N86" s="364"/>
      <c r="O86" s="364"/>
      <c r="P86" s="364"/>
      <c r="Q86" s="364"/>
      <c r="R86" s="202"/>
    </row>
    <row r="87" s="212" customFormat="1" spans="2:18">
      <c r="B87" s="211"/>
      <c r="C87" s="211"/>
      <c r="D87" s="211"/>
      <c r="E87" s="361"/>
      <c r="F87" s="365"/>
      <c r="G87" s="365"/>
      <c r="H87" s="366"/>
      <c r="I87" s="404"/>
      <c r="J87" s="404"/>
      <c r="K87" s="404"/>
      <c r="L87" s="404"/>
      <c r="M87" s="366"/>
      <c r="O87" s="405"/>
      <c r="P87" s="365"/>
      <c r="Q87" s="202"/>
      <c r="R87" s="202"/>
    </row>
    <row r="88" s="212" customFormat="1" spans="2:18">
      <c r="B88" s="211"/>
      <c r="C88" s="211"/>
      <c r="D88" s="211"/>
      <c r="E88" s="367"/>
      <c r="F88" s="361"/>
      <c r="G88" s="361"/>
      <c r="H88" s="366"/>
      <c r="I88" s="366"/>
      <c r="J88" s="366"/>
      <c r="K88" s="366"/>
      <c r="L88" s="403"/>
      <c r="M88" s="366"/>
      <c r="N88" s="405"/>
      <c r="O88" s="405"/>
      <c r="P88" s="365"/>
      <c r="Q88" s="202"/>
      <c r="R88" s="417"/>
    </row>
    <row r="89" s="212" customFormat="1" spans="2:18">
      <c r="B89" s="211"/>
      <c r="C89" s="211"/>
      <c r="D89" s="211"/>
      <c r="E89" s="367"/>
      <c r="F89" s="361"/>
      <c r="G89" s="361"/>
      <c r="H89" s="366"/>
      <c r="I89" s="366"/>
      <c r="J89" s="366"/>
      <c r="K89" s="366"/>
      <c r="L89" s="403"/>
      <c r="M89" s="366"/>
      <c r="N89" s="405"/>
      <c r="O89" s="405"/>
      <c r="P89" s="365"/>
      <c r="Q89" s="202"/>
      <c r="R89" s="417"/>
    </row>
    <row r="90" s="212" customFormat="1" spans="2:18">
      <c r="B90" s="211"/>
      <c r="C90" s="211"/>
      <c r="D90" s="211"/>
      <c r="E90" s="211"/>
      <c r="F90" s="368"/>
      <c r="G90" s="211"/>
      <c r="H90" s="211"/>
      <c r="I90" s="211"/>
      <c r="J90" s="211"/>
      <c r="K90" s="211"/>
      <c r="L90" s="211"/>
      <c r="M90" s="211"/>
      <c r="N90" s="211"/>
      <c r="O90" s="211"/>
      <c r="P90" s="211"/>
      <c r="Q90" s="211"/>
      <c r="R90" s="202"/>
    </row>
    <row r="91" s="212" customFormat="1" spans="2:18">
      <c r="B91" s="211"/>
      <c r="C91" s="211"/>
      <c r="D91" s="211"/>
      <c r="E91" s="361"/>
      <c r="F91" s="365"/>
      <c r="G91" s="361"/>
      <c r="H91" s="366"/>
      <c r="I91" s="366"/>
      <c r="J91" s="366"/>
      <c r="K91" s="366"/>
      <c r="L91" s="403"/>
      <c r="M91" s="405"/>
      <c r="N91" s="202"/>
      <c r="O91" s="202"/>
      <c r="R91" s="202"/>
    </row>
    <row r="92" s="212" customFormat="1" ht="13" spans="2:18">
      <c r="B92" s="211"/>
      <c r="C92" s="211"/>
      <c r="D92" s="290"/>
      <c r="E92" s="361"/>
      <c r="F92" s="365"/>
      <c r="G92" s="361"/>
      <c r="H92" s="366"/>
      <c r="I92" s="366"/>
      <c r="J92" s="366"/>
      <c r="K92" s="366"/>
      <c r="L92" s="403"/>
      <c r="M92" s="405"/>
      <c r="N92" s="202"/>
      <c r="O92" s="202"/>
      <c r="R92" s="202"/>
    </row>
    <row r="93" s="212" customFormat="1" spans="2:18">
      <c r="B93" s="211"/>
      <c r="C93" s="211"/>
      <c r="D93" s="211"/>
      <c r="E93" s="361"/>
      <c r="F93" s="361"/>
      <c r="G93" s="361"/>
      <c r="H93" s="361"/>
      <c r="I93" s="361"/>
      <c r="J93" s="361"/>
      <c r="K93" s="361"/>
      <c r="L93" s="403"/>
      <c r="M93" s="365"/>
      <c r="N93" s="202"/>
      <c r="R93" s="202"/>
    </row>
    <row r="94" spans="1:13">
      <c r="A94" s="188"/>
      <c r="B94" s="189"/>
      <c r="C94" s="189"/>
      <c r="D94" s="189"/>
      <c r="E94" s="361"/>
      <c r="F94" s="361"/>
      <c r="G94" s="361"/>
      <c r="H94" s="365"/>
      <c r="I94" s="361"/>
      <c r="J94" s="361"/>
      <c r="K94" s="361"/>
      <c r="L94" s="403"/>
      <c r="M94" s="365"/>
    </row>
    <row r="95" ht="13" spans="1:8">
      <c r="A95" s="153" t="s">
        <v>46</v>
      </c>
      <c r="B95" s="153"/>
      <c r="C95" s="154"/>
      <c r="D95" s="154"/>
      <c r="E95" s="154"/>
      <c r="F95" s="154"/>
      <c r="G95" s="154"/>
      <c r="H95" s="154"/>
    </row>
    <row r="96" ht="13" spans="1:8">
      <c r="A96" s="114" t="s">
        <v>47</v>
      </c>
      <c r="B96" s="114" t="s">
        <v>14</v>
      </c>
      <c r="C96" s="114" t="s">
        <v>48</v>
      </c>
      <c r="D96" s="114" t="s">
        <v>49</v>
      </c>
      <c r="E96" s="114" t="s">
        <v>50</v>
      </c>
      <c r="F96" s="114" t="s">
        <v>51</v>
      </c>
      <c r="G96" s="114" t="s">
        <v>52</v>
      </c>
      <c r="H96" s="114" t="s">
        <v>53</v>
      </c>
    </row>
    <row r="97" ht="25" spans="1:12">
      <c r="A97" s="155" t="s">
        <v>54</v>
      </c>
      <c r="B97" s="155" t="s">
        <v>55</v>
      </c>
      <c r="C97" s="155" t="s">
        <v>32</v>
      </c>
      <c r="D97" s="155" t="s">
        <v>56</v>
      </c>
      <c r="E97" s="155" t="s">
        <v>57</v>
      </c>
      <c r="F97" s="155" t="s">
        <v>58</v>
      </c>
      <c r="G97" s="155" t="s">
        <v>59</v>
      </c>
      <c r="H97" s="155" t="s">
        <v>60</v>
      </c>
      <c r="I97" s="212"/>
      <c r="J97" s="212"/>
      <c r="K97" s="212"/>
      <c r="L97" s="357"/>
    </row>
    <row r="98" spans="1:17">
      <c r="A98" s="205" t="s">
        <v>111</v>
      </c>
      <c r="B98" s="206" t="str">
        <f>'INPUT-Data(EUTIMES-HP)'!B3</f>
        <v>SCOAH2GC01</v>
      </c>
      <c r="C98" s="369" t="s">
        <v>112</v>
      </c>
      <c r="D98" s="156" t="s">
        <v>64</v>
      </c>
      <c r="E98" s="157" t="s">
        <v>65</v>
      </c>
      <c r="F98" s="156" t="s">
        <v>66</v>
      </c>
      <c r="G98" s="156"/>
      <c r="H98" s="156" t="s">
        <v>67</v>
      </c>
      <c r="M98"/>
      <c r="O98"/>
      <c r="P98"/>
      <c r="Q98"/>
    </row>
    <row r="99" ht="14.5" spans="1:17">
      <c r="A99" s="205"/>
      <c r="B99" s="206" t="s">
        <v>108</v>
      </c>
      <c r="C99" s="205"/>
      <c r="D99" s="156"/>
      <c r="E99" s="157"/>
      <c r="F99" s="156"/>
      <c r="G99" s="156"/>
      <c r="H99" s="156"/>
      <c r="M99" s="406"/>
      <c r="N99" s="406"/>
      <c r="O99" s="406"/>
      <c r="P99" s="406"/>
      <c r="Q99" s="406"/>
    </row>
    <row r="100" ht="14.5" spans="1:17">
      <c r="A100" s="205"/>
      <c r="B100" s="206" t="str">
        <f>'INPUT-Data(EUTIMES-HP)'!B5</f>
        <v>SCOAH2GCC01</v>
      </c>
      <c r="C100" s="369" t="s">
        <v>113</v>
      </c>
      <c r="D100" s="156" t="s">
        <v>64</v>
      </c>
      <c r="E100" s="157" t="s">
        <v>65</v>
      </c>
      <c r="F100" s="156" t="s">
        <v>66</v>
      </c>
      <c r="G100" s="156"/>
      <c r="H100" s="156" t="s">
        <v>67</v>
      </c>
      <c r="M100" s="406"/>
      <c r="N100" s="407"/>
      <c r="O100" s="407"/>
      <c r="P100" s="407"/>
      <c r="Q100" s="407"/>
    </row>
    <row r="101" spans="1:8">
      <c r="A101" s="205"/>
      <c r="B101" s="206" t="s">
        <v>108</v>
      </c>
      <c r="C101" s="205"/>
      <c r="D101" s="156"/>
      <c r="E101" s="157"/>
      <c r="F101" s="156"/>
      <c r="G101" s="156"/>
      <c r="H101" s="156"/>
    </row>
    <row r="102" spans="1:8">
      <c r="A102" s="205"/>
      <c r="B102" s="206" t="s">
        <v>108</v>
      </c>
      <c r="C102" s="205"/>
      <c r="D102" s="156"/>
      <c r="E102" s="157"/>
      <c r="F102" s="156"/>
      <c r="G102" s="156"/>
      <c r="H102" s="156"/>
    </row>
    <row r="103" spans="1:8">
      <c r="A103" s="205"/>
      <c r="B103" s="206" t="str">
        <f>'INPUT-Data(EUTIMES-HP)'!B8</f>
        <v>SBIOH2GC01</v>
      </c>
      <c r="C103" s="369" t="s">
        <v>114</v>
      </c>
      <c r="D103" s="156" t="s">
        <v>64</v>
      </c>
      <c r="E103" s="157" t="s">
        <v>65</v>
      </c>
      <c r="F103" s="156" t="s">
        <v>66</v>
      </c>
      <c r="G103" s="156"/>
      <c r="H103" s="156" t="s">
        <v>67</v>
      </c>
    </row>
    <row r="104" spans="1:8">
      <c r="A104" s="205"/>
      <c r="B104" s="206" t="str">
        <f>'INPUT-Data(EUTIMES-HP)'!B9</f>
        <v>SBIOH2GCC01</v>
      </c>
      <c r="C104" s="369" t="s">
        <v>115</v>
      </c>
      <c r="D104" s="156" t="s">
        <v>64</v>
      </c>
      <c r="E104" s="157" t="s">
        <v>65</v>
      </c>
      <c r="F104" s="156" t="s">
        <v>66</v>
      </c>
      <c r="G104" s="156"/>
      <c r="H104" s="156" t="s">
        <v>67</v>
      </c>
    </row>
    <row r="105" spans="1:2">
      <c r="A105" s="370"/>
      <c r="B105" s="110" t="s">
        <v>108</v>
      </c>
    </row>
    <row r="106" spans="1:8">
      <c r="A106" s="205"/>
      <c r="B106" s="206" t="s">
        <v>108</v>
      </c>
      <c r="C106" s="205"/>
      <c r="D106" s="156"/>
      <c r="E106" s="157"/>
      <c r="F106" s="156"/>
      <c r="G106" s="156"/>
      <c r="H106" s="156"/>
    </row>
    <row r="107" spans="1:8">
      <c r="A107" s="205"/>
      <c r="B107" s="206" t="str">
        <f>'INPUT-Data(EUTIMES-HP)'!B12</f>
        <v>SGASH2RC01</v>
      </c>
      <c r="C107" s="369" t="s">
        <v>116</v>
      </c>
      <c r="D107" s="156" t="s">
        <v>64</v>
      </c>
      <c r="E107" s="157" t="s">
        <v>65</v>
      </c>
      <c r="F107" s="156" t="s">
        <v>66</v>
      </c>
      <c r="G107" s="156"/>
      <c r="H107" s="156" t="s">
        <v>67</v>
      </c>
    </row>
    <row r="108" spans="1:8">
      <c r="A108" s="205"/>
      <c r="B108" s="206" t="s">
        <v>108</v>
      </c>
      <c r="C108" s="205"/>
      <c r="D108" s="156"/>
      <c r="E108" s="157"/>
      <c r="F108" s="156"/>
      <c r="G108" s="156"/>
      <c r="H108" s="156"/>
    </row>
    <row r="109" spans="1:8">
      <c r="A109" s="205"/>
      <c r="B109" s="206" t="str">
        <f>'INPUT-Data(EUTIMES-HP)'!B14</f>
        <v>SGASH2RCC01</v>
      </c>
      <c r="C109" s="369" t="s">
        <v>117</v>
      </c>
      <c r="D109" s="156" t="s">
        <v>64</v>
      </c>
      <c r="E109" s="157" t="s">
        <v>65</v>
      </c>
      <c r="F109" s="156" t="s">
        <v>66</v>
      </c>
      <c r="G109" s="156"/>
      <c r="H109" s="156" t="s">
        <v>67</v>
      </c>
    </row>
    <row r="110" spans="1:8">
      <c r="A110" s="205"/>
      <c r="B110" s="206" t="s">
        <v>108</v>
      </c>
      <c r="C110" s="205"/>
      <c r="D110" s="156"/>
      <c r="E110" s="157"/>
      <c r="F110" s="156"/>
      <c r="G110" s="156"/>
      <c r="H110" s="156"/>
    </row>
    <row r="111" spans="1:2">
      <c r="A111" s="205"/>
      <c r="B111" s="110" t="s">
        <v>108</v>
      </c>
    </row>
    <row r="112" spans="1:8">
      <c r="A112" s="205"/>
      <c r="B112" s="206" t="s">
        <v>108</v>
      </c>
      <c r="C112" s="205"/>
      <c r="D112" s="156"/>
      <c r="E112" s="157"/>
      <c r="F112" s="156"/>
      <c r="G112" s="156"/>
      <c r="H112" s="156"/>
    </row>
    <row r="113" spans="1:8">
      <c r="A113" s="205"/>
      <c r="B113" s="110" t="s">
        <v>108</v>
      </c>
      <c r="C113" s="205"/>
      <c r="D113" s="156"/>
      <c r="E113" s="157"/>
      <c r="F113" s="156"/>
      <c r="G113" s="156"/>
      <c r="H113" s="156"/>
    </row>
    <row r="114" spans="1:8">
      <c r="A114" s="205"/>
      <c r="B114" s="206" t="s">
        <v>108</v>
      </c>
      <c r="C114" s="205"/>
      <c r="D114" s="156"/>
      <c r="E114" s="157"/>
      <c r="F114" s="156"/>
      <c r="G114" s="156"/>
      <c r="H114" s="156"/>
    </row>
    <row r="115" spans="1:8">
      <c r="A115" s="205"/>
      <c r="B115" s="110" t="s">
        <v>108</v>
      </c>
      <c r="C115" s="205"/>
      <c r="D115" s="156"/>
      <c r="E115" s="157"/>
      <c r="F115" s="156"/>
      <c r="G115" s="156"/>
      <c r="H115" s="156"/>
    </row>
    <row r="116" spans="1:8">
      <c r="A116" s="370"/>
      <c r="B116" s="206" t="s">
        <v>108</v>
      </c>
      <c r="C116" s="370"/>
      <c r="D116" s="371"/>
      <c r="E116" s="349"/>
      <c r="F116" s="371"/>
      <c r="G116" s="371"/>
      <c r="H116" s="371"/>
    </row>
    <row r="117" spans="1:8">
      <c r="A117" s="205"/>
      <c r="B117" s="206" t="str">
        <f>'INPUT-Data(EUTIMES-HP)'!B22</f>
        <v>SELCH2EC01</v>
      </c>
      <c r="C117" s="369" t="s">
        <v>118</v>
      </c>
      <c r="D117" s="156" t="s">
        <v>64</v>
      </c>
      <c r="E117" s="157" t="s">
        <v>65</v>
      </c>
      <c r="F117" s="156" t="s">
        <v>66</v>
      </c>
      <c r="G117" s="156"/>
      <c r="H117" s="156" t="s">
        <v>67</v>
      </c>
    </row>
    <row r="118" spans="1:8">
      <c r="A118" s="205"/>
      <c r="B118" s="206" t="s">
        <v>108</v>
      </c>
      <c r="C118" s="205"/>
      <c r="D118" s="156"/>
      <c r="E118" s="157"/>
      <c r="F118" s="156"/>
      <c r="G118" s="156"/>
      <c r="H118" s="156"/>
    </row>
    <row r="119" ht="14.5" spans="1:17">
      <c r="A119" s="370"/>
      <c r="B119" s="206" t="s">
        <v>108</v>
      </c>
      <c r="C119" s="370"/>
      <c r="D119" s="371"/>
      <c r="E119" s="349"/>
      <c r="F119" s="371"/>
      <c r="G119" s="371"/>
      <c r="H119" s="371"/>
      <c r="I119" s="408"/>
      <c r="J119" s="408"/>
      <c r="K119" s="408"/>
      <c r="L119" s="408"/>
      <c r="M119" s="408"/>
      <c r="O119" s="408"/>
      <c r="P119" s="408"/>
      <c r="Q119" s="408"/>
    </row>
    <row r="120" ht="14.5" spans="1:17">
      <c r="A120" s="205"/>
      <c r="B120" s="206" t="s">
        <v>43</v>
      </c>
      <c r="C120" s="369" t="s">
        <v>119</v>
      </c>
      <c r="D120" s="156" t="s">
        <v>64</v>
      </c>
      <c r="E120" s="157" t="s">
        <v>65</v>
      </c>
      <c r="F120" s="156" t="s">
        <v>66</v>
      </c>
      <c r="G120" s="156"/>
      <c r="H120" s="156" t="s">
        <v>67</v>
      </c>
      <c r="I120" s="408"/>
      <c r="J120" s="408"/>
      <c r="K120" s="408"/>
      <c r="L120" s="408"/>
      <c r="M120" s="408"/>
      <c r="O120" s="408"/>
      <c r="P120" s="408"/>
      <c r="Q120" s="408"/>
    </row>
    <row r="122" s="188" customFormat="1" spans="1:18">
      <c r="A122" s="372"/>
      <c r="B122" s="372"/>
      <c r="C122" s="372"/>
      <c r="D122" s="373"/>
      <c r="E122" s="372"/>
      <c r="F122" s="373"/>
      <c r="G122" s="373"/>
      <c r="H122" s="373"/>
      <c r="N122" s="198"/>
      <c r="R122" s="198"/>
    </row>
    <row r="123" s="212" customFormat="1" spans="1:18">
      <c r="A123" s="372"/>
      <c r="B123" s="374" t="str">
        <f>'INPUT-Data(EUTIMES-HP)'!B10</f>
        <v>SGASH2KC01</v>
      </c>
      <c r="C123" s="375" t="str">
        <f>'INPUT-Data(EUTIMES-HP)'!C10</f>
        <v>H2 Production-Kvaerner Process, centralized</v>
      </c>
      <c r="D123" s="376" t="s">
        <v>64</v>
      </c>
      <c r="E123" s="374" t="s">
        <v>65</v>
      </c>
      <c r="F123" s="376" t="s">
        <v>66</v>
      </c>
      <c r="G123" s="376"/>
      <c r="H123" s="376" t="s">
        <v>67</v>
      </c>
      <c r="R123" s="198"/>
    </row>
    <row r="124" s="238" customFormat="1" spans="1:18">
      <c r="A124" s="377"/>
      <c r="B124" s="378" t="str">
        <f>'INPUT-Data(EUTIMES-HP)'!B16</f>
        <v>SGASSH2RC01</v>
      </c>
      <c r="C124" s="379" t="str">
        <f>'INPUT-Data(EUTIMES-HP)'!C16</f>
        <v>H2 Production-Solar Steam Reforming of Methane, centralized</v>
      </c>
      <c r="D124" s="380" t="s">
        <v>64</v>
      </c>
      <c r="E124" s="173" t="s">
        <v>65</v>
      </c>
      <c r="F124" s="380" t="s">
        <v>66</v>
      </c>
      <c r="G124" s="380"/>
      <c r="H124" s="380" t="s">
        <v>67</v>
      </c>
      <c r="R124" s="418"/>
    </row>
    <row r="125" s="238" customFormat="1" spans="1:18">
      <c r="A125" s="377"/>
      <c r="B125" s="377"/>
      <c r="C125" s="377"/>
      <c r="D125" s="377"/>
      <c r="E125" s="377"/>
      <c r="F125" s="377"/>
      <c r="G125" s="381"/>
      <c r="H125" s="377"/>
      <c r="R125" s="418"/>
    </row>
    <row r="126" ht="13" spans="1:8">
      <c r="A126" s="153" t="s">
        <v>68</v>
      </c>
      <c r="B126" s="158"/>
      <c r="C126" s="158"/>
      <c r="D126" s="158"/>
      <c r="E126" s="158"/>
      <c r="F126" s="158"/>
      <c r="G126" s="158"/>
      <c r="H126" s="158"/>
    </row>
    <row r="127" ht="13" spans="1:8">
      <c r="A127" s="159" t="s">
        <v>69</v>
      </c>
      <c r="B127" s="159" t="s">
        <v>70</v>
      </c>
      <c r="C127" s="159" t="s">
        <v>71</v>
      </c>
      <c r="D127" s="160" t="s">
        <v>72</v>
      </c>
      <c r="E127" s="160" t="s">
        <v>73</v>
      </c>
      <c r="F127" s="160" t="s">
        <v>74</v>
      </c>
      <c r="G127" s="160" t="s">
        <v>75</v>
      </c>
      <c r="H127" s="160" t="s">
        <v>76</v>
      </c>
    </row>
    <row r="128" ht="37.5" spans="1:13">
      <c r="A128" s="155" t="s">
        <v>77</v>
      </c>
      <c r="B128" s="155" t="s">
        <v>78</v>
      </c>
      <c r="C128" s="155" t="s">
        <v>79</v>
      </c>
      <c r="D128" s="155" t="s">
        <v>72</v>
      </c>
      <c r="E128" s="155" t="s">
        <v>80</v>
      </c>
      <c r="F128" s="155" t="s">
        <v>81</v>
      </c>
      <c r="G128" s="155" t="s">
        <v>82</v>
      </c>
      <c r="H128" s="155" t="s">
        <v>83</v>
      </c>
      <c r="I128" s="189"/>
      <c r="J128" s="189"/>
      <c r="K128" s="189"/>
      <c r="L128" s="189"/>
      <c r="M128" s="189"/>
    </row>
    <row r="129" spans="1:13">
      <c r="A129" s="157" t="s">
        <v>84</v>
      </c>
      <c r="B129" s="157" t="s">
        <v>44</v>
      </c>
      <c r="C129" s="157" t="s">
        <v>85</v>
      </c>
      <c r="D129" s="419" t="s">
        <v>64</v>
      </c>
      <c r="E129" s="157" t="s">
        <v>86</v>
      </c>
      <c r="F129" s="420" t="s">
        <v>87</v>
      </c>
      <c r="G129" s="157"/>
      <c r="H129" s="157"/>
      <c r="I129" s="189"/>
      <c r="J129" s="189"/>
      <c r="K129" s="189"/>
      <c r="L129" s="189"/>
      <c r="M129" s="189"/>
    </row>
    <row r="130" s="239" customFormat="1" ht="14.5" spans="1:18">
      <c r="A130" s="421"/>
      <c r="G130" s="419"/>
      <c r="H130" s="419"/>
      <c r="I130" s="422"/>
      <c r="J130" s="422"/>
      <c r="K130" s="422"/>
      <c r="L130" s="422"/>
      <c r="M130" s="422"/>
      <c r="R130"/>
    </row>
    <row r="131" ht="14.5" spans="1:13">
      <c r="A131" s="154"/>
      <c r="B131" s="157"/>
      <c r="C131" s="157"/>
      <c r="D131" s="419"/>
      <c r="E131" s="157"/>
      <c r="F131" s="420"/>
      <c r="G131" s="154"/>
      <c r="H131" s="154"/>
      <c r="I131" s="408"/>
      <c r="J131" s="408"/>
      <c r="K131" s="408"/>
      <c r="L131" s="408"/>
      <c r="M131" s="408"/>
    </row>
    <row r="132" s="188" customFormat="1" spans="1:18">
      <c r="A132" s="156"/>
      <c r="B132" s="156"/>
      <c r="C132" s="156"/>
      <c r="D132" s="157"/>
      <c r="E132" s="209"/>
      <c r="F132" s="156"/>
      <c r="G132" s="156"/>
      <c r="H132" s="156"/>
      <c r="N132" s="198"/>
      <c r="R132" s="198"/>
    </row>
    <row r="133" spans="1:8">
      <c r="A133" s="154"/>
      <c r="B133" s="154"/>
      <c r="C133" s="154"/>
      <c r="D133" s="154"/>
      <c r="E133" s="154"/>
      <c r="F133" s="154"/>
      <c r="G133" s="154"/>
      <c r="H133" s="154"/>
    </row>
    <row r="139" spans="15:17">
      <c r="O139" s="240"/>
      <c r="P139" s="240"/>
      <c r="Q139" s="240"/>
    </row>
    <row r="140" ht="13" spans="15:17">
      <c r="O140" s="241"/>
      <c r="P140" s="241"/>
      <c r="Q140" s="241"/>
    </row>
    <row r="141" spans="15:17">
      <c r="O141" s="242"/>
      <c r="P141" s="242"/>
      <c r="Q141" s="242"/>
    </row>
    <row r="142" spans="15:17">
      <c r="O142" s="242"/>
      <c r="P142" s="242"/>
      <c r="Q142" s="242"/>
    </row>
    <row r="143" spans="1:12">
      <c r="A143" s="189"/>
      <c r="B143" s="189"/>
      <c r="C143" s="189"/>
      <c r="D143" s="189"/>
      <c r="E143" s="189"/>
      <c r="F143" s="189"/>
      <c r="G143" s="189"/>
      <c r="H143" s="189"/>
      <c r="I143" s="189"/>
      <c r="J143" s="189"/>
      <c r="K143" s="189"/>
      <c r="L143" s="189"/>
    </row>
    <row r="144" spans="1:12">
      <c r="A144" s="189"/>
      <c r="B144" s="189"/>
      <c r="C144" s="189"/>
      <c r="D144" s="189"/>
      <c r="E144" s="189"/>
      <c r="F144" s="189"/>
      <c r="G144" s="189"/>
      <c r="H144" s="189"/>
      <c r="I144" s="189"/>
      <c r="J144" s="189"/>
      <c r="K144" s="189"/>
      <c r="L144" s="189"/>
    </row>
    <row r="145" spans="13:13">
      <c r="M145" s="240"/>
    </row>
    <row r="146" ht="13" spans="13:13">
      <c r="M146" s="241"/>
    </row>
    <row r="147" spans="13:13">
      <c r="M147" s="242"/>
    </row>
    <row r="148" spans="13:13">
      <c r="M148" s="242"/>
    </row>
    <row r="151" s="240" customFormat="1" spans="1:18">
      <c r="A151" s="110"/>
      <c r="B151" s="110"/>
      <c r="C151" s="110"/>
      <c r="D151" s="110"/>
      <c r="E151" s="110"/>
      <c r="F151" s="110"/>
      <c r="G151" s="110"/>
      <c r="H151" s="110"/>
      <c r="I151" s="110"/>
      <c r="J151" s="110"/>
      <c r="K151" s="110"/>
      <c r="L151" s="110"/>
      <c r="M151" s="110"/>
      <c r="O151" s="110"/>
      <c r="P151" s="110"/>
      <c r="Q151" s="110"/>
      <c r="R151"/>
    </row>
    <row r="152" s="241" customFormat="1" ht="15" customHeight="1" spans="1:18">
      <c r="A152" s="110"/>
      <c r="B152" s="110"/>
      <c r="C152" s="110"/>
      <c r="D152" s="110"/>
      <c r="E152" s="110"/>
      <c r="F152" s="110"/>
      <c r="G152" s="110"/>
      <c r="H152" s="110"/>
      <c r="I152" s="110"/>
      <c r="J152" s="110"/>
      <c r="K152" s="110"/>
      <c r="L152" s="110"/>
      <c r="M152" s="110"/>
      <c r="O152" s="110"/>
      <c r="P152" s="110"/>
      <c r="Q152" s="110"/>
      <c r="R152"/>
    </row>
    <row r="153" s="242" customFormat="1" spans="1:18">
      <c r="A153" s="110"/>
      <c r="B153" s="110"/>
      <c r="C153" s="110"/>
      <c r="D153" s="110"/>
      <c r="E153" s="110"/>
      <c r="F153" s="110"/>
      <c r="G153" s="110"/>
      <c r="H153" s="110"/>
      <c r="I153" s="110"/>
      <c r="J153" s="110"/>
      <c r="K153" s="110"/>
      <c r="L153" s="110"/>
      <c r="M153" s="110"/>
      <c r="O153" s="110"/>
      <c r="P153" s="110"/>
      <c r="Q153" s="110"/>
      <c r="R153"/>
    </row>
    <row r="154" s="242" customFormat="1" spans="1:18">
      <c r="A154" s="110"/>
      <c r="B154" s="110"/>
      <c r="C154" s="110"/>
      <c r="D154" s="110"/>
      <c r="E154" s="110"/>
      <c r="F154" s="110"/>
      <c r="G154" s="110"/>
      <c r="H154" s="110"/>
      <c r="I154" s="110"/>
      <c r="J154" s="110"/>
      <c r="K154" s="110"/>
      <c r="L154" s="110"/>
      <c r="M154" s="110"/>
      <c r="O154" s="110"/>
      <c r="P154" s="110"/>
      <c r="Q154" s="110"/>
      <c r="R154"/>
    </row>
    <row r="157" spans="9:12">
      <c r="I157" s="240"/>
      <c r="J157" s="240"/>
      <c r="K157" s="240"/>
      <c r="L157" s="240"/>
    </row>
    <row r="158" ht="13" spans="9:12">
      <c r="I158" s="241"/>
      <c r="J158" s="241"/>
      <c r="K158" s="241"/>
      <c r="L158" s="241"/>
    </row>
    <row r="159" spans="9:12">
      <c r="I159" s="242"/>
      <c r="J159" s="242"/>
      <c r="K159" s="242"/>
      <c r="L159" s="242"/>
    </row>
    <row r="160" spans="1:12">
      <c r="A160" s="242"/>
      <c r="B160" s="242"/>
      <c r="C160" s="242"/>
      <c r="D160" s="242"/>
      <c r="E160" s="242"/>
      <c r="F160" s="242"/>
      <c r="G160" s="242"/>
      <c r="H160" s="242"/>
      <c r="I160" s="242"/>
      <c r="J160" s="242"/>
      <c r="K160" s="242"/>
      <c r="L160" s="242"/>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3" zoomScaleNormal="53" topLeftCell="D1" workbookViewId="0">
      <selection activeCell="Q26" sqref="Q26"/>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120</v>
      </c>
      <c r="B1" t="s">
        <v>121</v>
      </c>
    </row>
    <row r="2" ht="14.5" spans="1:3">
      <c r="A2" t="s">
        <v>122</v>
      </c>
      <c r="B2" s="178" t="s">
        <v>123</v>
      </c>
      <c r="C2" s="178" t="s">
        <v>124</v>
      </c>
    </row>
    <row r="3" ht="100" spans="1:2">
      <c r="A3" t="s">
        <v>125</v>
      </c>
      <c r="B3" s="179" t="s">
        <v>126</v>
      </c>
    </row>
    <row r="4" ht="14.5" spans="1:2">
      <c r="A4" s="180" t="s">
        <v>127</v>
      </c>
      <c r="B4" s="181" t="s">
        <v>128</v>
      </c>
    </row>
    <row r="5" ht="23" spans="1:26">
      <c r="A5" s="109" t="s">
        <v>129</v>
      </c>
      <c r="B5" s="110"/>
      <c r="C5" s="110"/>
      <c r="D5" s="110"/>
      <c r="E5" s="110"/>
      <c r="F5" s="110"/>
      <c r="G5" s="110"/>
      <c r="H5" s="110"/>
      <c r="I5" s="110"/>
      <c r="J5" s="110"/>
      <c r="K5" s="110"/>
      <c r="L5" s="110"/>
      <c r="M5" s="110"/>
      <c r="N5" s="110"/>
      <c r="O5" s="110"/>
      <c r="P5" s="110"/>
      <c r="Q5" s="110"/>
      <c r="R5" s="110"/>
      <c r="S5" s="110"/>
      <c r="T5" s="110"/>
      <c r="U5" s="110"/>
      <c r="V5" s="110"/>
      <c r="W5" s="110"/>
      <c r="X5" s="110"/>
      <c r="Y5" s="110"/>
      <c r="Z5" s="110"/>
    </row>
    <row r="6" ht="15.5" spans="1:26">
      <c r="A6" s="182"/>
      <c r="B6" s="110"/>
      <c r="C6" s="110"/>
      <c r="D6" s="110"/>
      <c r="E6" s="110"/>
      <c r="F6" s="110"/>
      <c r="G6" s="110"/>
      <c r="H6" s="110"/>
      <c r="I6" s="110"/>
      <c r="J6" s="110"/>
      <c r="K6" s="110"/>
      <c r="L6" s="110"/>
      <c r="M6" s="110"/>
      <c r="N6" s="110"/>
      <c r="O6" s="110"/>
      <c r="P6" s="110"/>
      <c r="Q6" s="110"/>
      <c r="R6" s="188"/>
      <c r="S6" s="110"/>
      <c r="T6" s="110"/>
      <c r="U6" s="110"/>
      <c r="V6" s="110"/>
      <c r="W6" s="110"/>
      <c r="X6" s="110"/>
      <c r="Y6" s="110"/>
      <c r="Z6" s="110"/>
    </row>
    <row r="7" ht="13" spans="1:45">
      <c r="A7" s="110"/>
      <c r="B7" s="110"/>
      <c r="D7" s="111" t="s">
        <v>12</v>
      </c>
      <c r="E7" s="110"/>
      <c r="F7" s="112"/>
      <c r="G7" s="112"/>
      <c r="H7" s="112"/>
      <c r="I7" s="112"/>
      <c r="J7" s="110"/>
      <c r="K7" s="110"/>
      <c r="L7" s="110"/>
      <c r="M7" s="110"/>
      <c r="N7" s="110"/>
      <c r="O7" s="110"/>
      <c r="P7" s="110"/>
      <c r="Q7" s="110"/>
      <c r="R7" s="110"/>
      <c r="S7" s="110"/>
      <c r="T7" s="110"/>
      <c r="U7" s="110"/>
      <c r="V7" s="110"/>
      <c r="W7" s="110"/>
      <c r="X7" s="110"/>
      <c r="Y7" s="189"/>
      <c r="Z7" s="110"/>
      <c r="AA7" s="110"/>
      <c r="AC7" s="111" t="s">
        <v>12</v>
      </c>
      <c r="AD7" s="110"/>
      <c r="AE7" s="112"/>
      <c r="AF7" s="112"/>
      <c r="AG7" s="112"/>
      <c r="AH7" s="112"/>
      <c r="AI7" s="110"/>
      <c r="AJ7" s="110"/>
      <c r="AK7" s="110"/>
      <c r="AL7" s="110"/>
      <c r="AM7" s="110"/>
      <c r="AN7" s="110"/>
      <c r="AO7" s="110"/>
      <c r="AP7" s="110"/>
      <c r="AQ7" s="110"/>
      <c r="AR7" s="110"/>
      <c r="AS7" s="110"/>
    </row>
    <row r="8" ht="25" spans="1:45">
      <c r="A8" s="113" t="s">
        <v>14</v>
      </c>
      <c r="B8" s="113" t="s">
        <v>16</v>
      </c>
      <c r="C8" s="113" t="s">
        <v>130</v>
      </c>
      <c r="D8" s="113" t="s">
        <v>17</v>
      </c>
      <c r="E8" s="183" t="s">
        <v>131</v>
      </c>
      <c r="F8" s="184" t="s">
        <v>28</v>
      </c>
      <c r="G8" s="184" t="s">
        <v>132</v>
      </c>
      <c r="H8" s="184" t="s">
        <v>99</v>
      </c>
      <c r="I8" s="183" t="s">
        <v>41</v>
      </c>
      <c r="J8" s="183" t="s">
        <v>104</v>
      </c>
      <c r="K8" s="183" t="s">
        <v>23</v>
      </c>
      <c r="L8" s="183" t="s">
        <v>24</v>
      </c>
      <c r="M8" s="214" t="s">
        <v>133</v>
      </c>
      <c r="N8" s="214" t="s">
        <v>26</v>
      </c>
      <c r="O8" s="214" t="s">
        <v>27</v>
      </c>
      <c r="P8" s="184" t="s">
        <v>30</v>
      </c>
      <c r="Q8" s="183" t="s">
        <v>134</v>
      </c>
      <c r="R8" s="183" t="s">
        <v>135</v>
      </c>
      <c r="S8" s="184" t="s">
        <v>21</v>
      </c>
      <c r="T8" s="226" t="s">
        <v>136</v>
      </c>
      <c r="W8" s="110"/>
      <c r="X8" s="110"/>
      <c r="Y8" s="188"/>
      <c r="Z8" s="113" t="s">
        <v>14</v>
      </c>
      <c r="AA8" s="113" t="s">
        <v>16</v>
      </c>
      <c r="AB8" s="113" t="s">
        <v>130</v>
      </c>
      <c r="AC8" s="113" t="s">
        <v>17</v>
      </c>
      <c r="AD8" s="183" t="s">
        <v>131</v>
      </c>
      <c r="AE8" s="184" t="s">
        <v>28</v>
      </c>
      <c r="AF8" s="184" t="s">
        <v>132</v>
      </c>
      <c r="AG8" s="184" t="s">
        <v>99</v>
      </c>
      <c r="AH8" s="183" t="s">
        <v>41</v>
      </c>
      <c r="AI8" s="183" t="s">
        <v>104</v>
      </c>
      <c r="AJ8" s="183" t="s">
        <v>23</v>
      </c>
      <c r="AK8" s="183" t="s">
        <v>24</v>
      </c>
      <c r="AL8" s="214" t="s">
        <v>133</v>
      </c>
      <c r="AM8" s="214" t="s">
        <v>26</v>
      </c>
      <c r="AN8" s="214" t="s">
        <v>27</v>
      </c>
      <c r="AO8" s="184" t="s">
        <v>30</v>
      </c>
      <c r="AP8" s="183" t="s">
        <v>134</v>
      </c>
      <c r="AQ8" s="183" t="s">
        <v>135</v>
      </c>
      <c r="AR8" s="184" t="s">
        <v>21</v>
      </c>
      <c r="AS8" s="226" t="s">
        <v>136</v>
      </c>
    </row>
    <row r="9" ht="25.75" spans="1:45">
      <c r="A9" s="185" t="s">
        <v>31</v>
      </c>
      <c r="B9" s="185" t="s">
        <v>33</v>
      </c>
      <c r="C9" s="185" t="s">
        <v>137</v>
      </c>
      <c r="D9" s="185" t="s">
        <v>34</v>
      </c>
      <c r="E9" s="186"/>
      <c r="F9" s="187" t="s">
        <v>36</v>
      </c>
      <c r="G9" s="187" t="s">
        <v>138</v>
      </c>
      <c r="H9" s="187"/>
      <c r="I9" s="186"/>
      <c r="J9" s="215" t="s">
        <v>139</v>
      </c>
      <c r="K9" s="186"/>
      <c r="L9" s="186"/>
      <c r="M9" s="186"/>
      <c r="N9" s="186"/>
      <c r="O9" s="216"/>
      <c r="P9" s="187"/>
      <c r="Q9" s="186" t="s">
        <v>140</v>
      </c>
      <c r="R9" s="186" t="s">
        <v>141</v>
      </c>
      <c r="S9" s="187"/>
      <c r="T9" s="226"/>
      <c r="W9" s="110"/>
      <c r="X9" s="110"/>
      <c r="Y9" s="188"/>
      <c r="Z9" s="185" t="s">
        <v>31</v>
      </c>
      <c r="AA9" s="185" t="s">
        <v>33</v>
      </c>
      <c r="AB9" s="185" t="s">
        <v>137</v>
      </c>
      <c r="AC9" s="185" t="s">
        <v>34</v>
      </c>
      <c r="AD9" s="186"/>
      <c r="AE9" s="187" t="s">
        <v>36</v>
      </c>
      <c r="AF9" s="187" t="s">
        <v>138</v>
      </c>
      <c r="AG9" s="187"/>
      <c r="AH9" s="186"/>
      <c r="AI9" s="215" t="s">
        <v>139</v>
      </c>
      <c r="AJ9" s="186"/>
      <c r="AK9" s="186"/>
      <c r="AL9" s="186"/>
      <c r="AM9" s="186"/>
      <c r="AN9" s="216"/>
      <c r="AO9" s="187"/>
      <c r="AP9" s="186" t="s">
        <v>140</v>
      </c>
      <c r="AQ9" s="186" t="s">
        <v>141</v>
      </c>
      <c r="AR9" s="187"/>
      <c r="AS9" s="226"/>
    </row>
    <row r="10" ht="13" spans="1:45">
      <c r="A10" s="188" t="str">
        <f>B25</f>
        <v>STH2SUG</v>
      </c>
      <c r="B10" s="189" t="s">
        <v>44</v>
      </c>
      <c r="D10" s="189" t="str">
        <f>B10</f>
        <v>SYNH2CT</v>
      </c>
      <c r="E10" s="190">
        <v>2021</v>
      </c>
      <c r="F10" s="191">
        <v>30</v>
      </c>
      <c r="G10" s="192">
        <v>1</v>
      </c>
      <c r="H10" s="193"/>
      <c r="I10" s="190"/>
      <c r="J10" s="217">
        <f>0.08*277.78</f>
        <v>22.2224</v>
      </c>
      <c r="K10" s="218">
        <f>J10*0.8</f>
        <v>17.77792</v>
      </c>
      <c r="L10" s="218">
        <f>J10*0.7</f>
        <v>15.55568</v>
      </c>
      <c r="M10" s="219">
        <f>J10*2%</f>
        <v>0.444448</v>
      </c>
      <c r="N10" s="219">
        <f t="shared" ref="N10:O10" si="0">K10*2%</f>
        <v>0.3555584</v>
      </c>
      <c r="O10" s="219">
        <f t="shared" si="0"/>
        <v>0.3111136</v>
      </c>
      <c r="P10" s="220">
        <v>1</v>
      </c>
      <c r="Q10" s="227"/>
      <c r="R10" s="227"/>
      <c r="S10" s="228">
        <v>1</v>
      </c>
      <c r="T10" s="226"/>
      <c r="W10" s="110"/>
      <c r="X10" s="110"/>
      <c r="Y10" s="110"/>
      <c r="Z10" s="188" t="str">
        <f>AA25</f>
        <v>STH2SLH2</v>
      </c>
      <c r="AA10" s="189" t="str">
        <f>B12</f>
        <v>SYNH2CT</v>
      </c>
      <c r="AC10" s="189" t="str">
        <f>AA10</f>
        <v>SYNH2CT</v>
      </c>
      <c r="AD10" s="190">
        <v>2021</v>
      </c>
      <c r="AE10" s="191">
        <v>15</v>
      </c>
      <c r="AF10" s="231">
        <f>100%-0.025%*365/48</f>
        <v>0.998098958333333</v>
      </c>
      <c r="AG10" s="193"/>
      <c r="AH10" s="190"/>
      <c r="AI10" s="217">
        <f>105/33.3*1.35*277.78</f>
        <v>1182.44189189189</v>
      </c>
      <c r="AJ10" s="218">
        <f>AI10*0.8</f>
        <v>945.953513513513</v>
      </c>
      <c r="AK10" s="218">
        <f>AI10*0.7</f>
        <v>827.709324324324</v>
      </c>
      <c r="AL10" s="165">
        <f>AI10*2%</f>
        <v>23.6488378378378</v>
      </c>
      <c r="AM10" s="165">
        <f t="shared" ref="AM10" si="1">AJ10*2%</f>
        <v>18.9190702702703</v>
      </c>
      <c r="AN10" s="165">
        <f t="shared" ref="AN10" si="2">AK10*2%</f>
        <v>16.5541864864865</v>
      </c>
      <c r="AO10" s="220">
        <v>1</v>
      </c>
      <c r="AP10" s="227"/>
      <c r="AQ10" s="227"/>
      <c r="AR10" s="228">
        <v>1</v>
      </c>
      <c r="AS10" s="234">
        <f>AF10</f>
        <v>0.998098958333333</v>
      </c>
    </row>
    <row r="11" ht="13" spans="1:45">
      <c r="A11" s="188"/>
      <c r="B11" s="189"/>
      <c r="C11" s="194" t="s">
        <v>142</v>
      </c>
      <c r="D11" s="189"/>
      <c r="E11" s="190"/>
      <c r="F11" s="191"/>
      <c r="G11" s="195"/>
      <c r="H11" s="196">
        <v>1</v>
      </c>
      <c r="I11" s="190"/>
      <c r="J11" s="165"/>
      <c r="K11" s="165"/>
      <c r="L11" s="165"/>
      <c r="M11" s="190"/>
      <c r="N11" s="190"/>
      <c r="O11" s="190"/>
      <c r="P11" s="221"/>
      <c r="Q11" s="227"/>
      <c r="R11" s="227"/>
      <c r="S11" s="228"/>
      <c r="T11" s="226"/>
      <c r="W11" s="110"/>
      <c r="X11" s="110"/>
      <c r="Y11" s="110"/>
      <c r="Z11" s="188"/>
      <c r="AA11" s="189"/>
      <c r="AB11" s="194" t="str">
        <f>AC14</f>
        <v>AUX_STH2SLH2</v>
      </c>
      <c r="AC11" s="189"/>
      <c r="AD11" s="190"/>
      <c r="AE11" s="191"/>
      <c r="AF11" s="195"/>
      <c r="AG11" s="196">
        <v>1</v>
      </c>
      <c r="AH11" s="190"/>
      <c r="AI11" s="165"/>
      <c r="AJ11" s="165"/>
      <c r="AK11" s="165"/>
      <c r="AL11" s="190"/>
      <c r="AM11" s="190"/>
      <c r="AN11" s="190"/>
      <c r="AO11" s="221"/>
      <c r="AP11" s="227"/>
      <c r="AQ11" s="227"/>
      <c r="AR11" s="228"/>
      <c r="AS11" s="226"/>
    </row>
    <row r="12" ht="13" spans="1:45">
      <c r="A12" s="188" t="str">
        <f>B26</f>
        <v>STH2SGT</v>
      </c>
      <c r="B12" s="189" t="s">
        <v>44</v>
      </c>
      <c r="D12" s="189" t="str">
        <f>B12</f>
        <v>SYNH2CT</v>
      </c>
      <c r="E12" s="190">
        <v>2021</v>
      </c>
      <c r="F12" s="191">
        <v>15</v>
      </c>
      <c r="G12" s="192">
        <v>0.85</v>
      </c>
      <c r="H12" s="197"/>
      <c r="I12" s="222"/>
      <c r="J12" s="217">
        <f>35*277.78*1.35</f>
        <v>13125.105</v>
      </c>
      <c r="K12" s="218">
        <f>J12*0.8</f>
        <v>10500.084</v>
      </c>
      <c r="L12" s="218">
        <f>J12*0.7</f>
        <v>9187.5735</v>
      </c>
      <c r="M12" s="165">
        <f>J12*2%</f>
        <v>262.5021</v>
      </c>
      <c r="N12" s="165">
        <f t="shared" ref="N12" si="3">K12*2%</f>
        <v>210.00168</v>
      </c>
      <c r="O12" s="165">
        <f t="shared" ref="O12" si="4">L12*2%</f>
        <v>183.75147</v>
      </c>
      <c r="P12" s="220">
        <v>1</v>
      </c>
      <c r="Q12" s="212"/>
      <c r="R12" s="212"/>
      <c r="S12" s="228">
        <v>1</v>
      </c>
      <c r="T12" s="226"/>
      <c r="W12" s="110"/>
      <c r="X12" s="110"/>
      <c r="Y12" s="110"/>
      <c r="Z12" s="188" t="str">
        <f>AA26</f>
        <v>STH2SNH3</v>
      </c>
      <c r="AA12" s="189" t="str">
        <f>AA10</f>
        <v>SYNH2CT</v>
      </c>
      <c r="AC12" s="189" t="str">
        <f>AA12</f>
        <v>SYNH2CT</v>
      </c>
      <c r="AD12" s="190">
        <v>2021</v>
      </c>
      <c r="AE12" s="191">
        <v>23</v>
      </c>
      <c r="AF12" s="192">
        <v>0.92</v>
      </c>
      <c r="AG12" s="197"/>
      <c r="AH12" s="222"/>
      <c r="AI12" s="217">
        <f>93/1000*1.5*277.78</f>
        <v>38.75031</v>
      </c>
      <c r="AJ12" s="218">
        <f>AI12*0.8</f>
        <v>31.000248</v>
      </c>
      <c r="AK12" s="218">
        <f>AI12*0.7</f>
        <v>27.125217</v>
      </c>
      <c r="AL12" s="165">
        <f>AI12*2%</f>
        <v>0.7750062</v>
      </c>
      <c r="AM12" s="165">
        <f t="shared" ref="AM12" si="5">AJ12*2%</f>
        <v>0.62000496</v>
      </c>
      <c r="AN12" s="165">
        <f t="shared" ref="AN12" si="6">AK12*2%</f>
        <v>0.54250434</v>
      </c>
      <c r="AO12" s="220">
        <v>1</v>
      </c>
      <c r="AP12" s="212"/>
      <c r="AQ12" s="212"/>
      <c r="AR12" s="228">
        <v>1</v>
      </c>
      <c r="AS12" s="235">
        <f>AF12</f>
        <v>0.92</v>
      </c>
    </row>
    <row r="13" ht="13" spans="1:45">
      <c r="A13" s="188"/>
      <c r="B13" s="189"/>
      <c r="C13" s="194" t="s">
        <v>143</v>
      </c>
      <c r="D13" s="189"/>
      <c r="E13" s="190"/>
      <c r="F13" s="191"/>
      <c r="G13" s="195"/>
      <c r="H13" s="196">
        <v>1</v>
      </c>
      <c r="I13" s="190"/>
      <c r="M13" s="190"/>
      <c r="N13" s="190"/>
      <c r="O13" s="190"/>
      <c r="P13" s="221"/>
      <c r="Q13" s="212"/>
      <c r="R13" s="212"/>
      <c r="S13" s="228"/>
      <c r="T13" s="226"/>
      <c r="W13" s="110"/>
      <c r="X13" s="110"/>
      <c r="Y13" s="110"/>
      <c r="Z13" s="188"/>
      <c r="AA13" s="189"/>
      <c r="AB13" s="194" t="str">
        <f>AC15</f>
        <v>AUX_STH2SNH3</v>
      </c>
      <c r="AC13" s="189"/>
      <c r="AD13" s="190"/>
      <c r="AE13" s="191"/>
      <c r="AF13" s="195"/>
      <c r="AG13" s="196">
        <v>1</v>
      </c>
      <c r="AH13" s="190"/>
      <c r="AL13" s="190"/>
      <c r="AM13" s="190"/>
      <c r="AN13" s="190"/>
      <c r="AO13" s="221"/>
      <c r="AP13" s="212"/>
      <c r="AQ13" s="212"/>
      <c r="AR13" s="228"/>
      <c r="AS13" s="226"/>
    </row>
    <row r="14" ht="13" spans="1:45">
      <c r="A14" s="189" t="s">
        <v>144</v>
      </c>
      <c r="B14" s="189" t="s">
        <v>145</v>
      </c>
      <c r="D14" s="194" t="s">
        <v>142</v>
      </c>
      <c r="E14" s="198">
        <f>E10</f>
        <v>2021</v>
      </c>
      <c r="F14" s="199">
        <f>F10</f>
        <v>30</v>
      </c>
      <c r="G14" s="200"/>
      <c r="H14" s="199"/>
      <c r="I14" s="201"/>
      <c r="J14" s="223"/>
      <c r="K14" s="223"/>
      <c r="L14" s="223"/>
      <c r="P14" s="224">
        <f>P10</f>
        <v>1</v>
      </c>
      <c r="R14" s="202"/>
      <c r="S14" s="199">
        <v>1</v>
      </c>
      <c r="T14" s="229">
        <v>1</v>
      </c>
      <c r="W14" s="110"/>
      <c r="X14" s="110"/>
      <c r="Y14" s="110"/>
      <c r="Z14" s="232" t="s">
        <v>146</v>
      </c>
      <c r="AA14" s="189" t="s">
        <v>145</v>
      </c>
      <c r="AC14" s="233" t="s">
        <v>147</v>
      </c>
      <c r="AD14" s="198">
        <f>AD10</f>
        <v>2021</v>
      </c>
      <c r="AE14" s="199">
        <f>AE10</f>
        <v>15</v>
      </c>
      <c r="AF14" s="200"/>
      <c r="AG14" s="199"/>
      <c r="AH14" s="201"/>
      <c r="AI14" s="223"/>
      <c r="AJ14" s="223"/>
      <c r="AK14" s="223"/>
      <c r="AO14" s="224">
        <f>AO10</f>
        <v>1</v>
      </c>
      <c r="AQ14" s="202"/>
      <c r="AR14" s="199">
        <v>1</v>
      </c>
      <c r="AS14" s="229">
        <v>1</v>
      </c>
    </row>
    <row r="15" ht="13" spans="1:45">
      <c r="A15" s="189" t="s">
        <v>148</v>
      </c>
      <c r="B15" s="189" t="s">
        <v>145</v>
      </c>
      <c r="D15" s="194" t="s">
        <v>143</v>
      </c>
      <c r="E15" s="198">
        <f>E12</f>
        <v>2021</v>
      </c>
      <c r="F15" s="199">
        <f>F12</f>
        <v>15</v>
      </c>
      <c r="G15" s="200"/>
      <c r="H15" s="199"/>
      <c r="I15" s="201"/>
      <c r="J15" s="223"/>
      <c r="K15" s="223"/>
      <c r="L15" s="223"/>
      <c r="P15" s="224">
        <f>P12</f>
        <v>1</v>
      </c>
      <c r="R15" s="202"/>
      <c r="S15" s="199">
        <v>1</v>
      </c>
      <c r="T15" s="229">
        <v>1</v>
      </c>
      <c r="W15" s="110"/>
      <c r="X15" s="110"/>
      <c r="Y15" s="110"/>
      <c r="Z15" s="232" t="s">
        <v>149</v>
      </c>
      <c r="AA15" s="189" t="s">
        <v>145</v>
      </c>
      <c r="AC15" s="233" t="s">
        <v>150</v>
      </c>
      <c r="AD15" s="198">
        <f>AD12</f>
        <v>2021</v>
      </c>
      <c r="AE15" s="199">
        <f>AE12</f>
        <v>23</v>
      </c>
      <c r="AF15" s="200"/>
      <c r="AG15" s="199"/>
      <c r="AH15" s="201"/>
      <c r="AI15" s="223"/>
      <c r="AJ15" s="223"/>
      <c r="AK15" s="223"/>
      <c r="AO15" s="224">
        <f>AO12</f>
        <v>1</v>
      </c>
      <c r="AQ15" s="202"/>
      <c r="AR15" s="199">
        <v>1</v>
      </c>
      <c r="AS15" s="229">
        <v>1</v>
      </c>
    </row>
    <row r="16" spans="23:25">
      <c r="W16" s="110"/>
      <c r="X16" s="110"/>
      <c r="Y16" s="110"/>
    </row>
    <row r="17" spans="23:25">
      <c r="W17" s="110"/>
      <c r="X17" s="110"/>
      <c r="Y17" s="110"/>
    </row>
    <row r="18" ht="13" spans="1:45">
      <c r="A18" s="189"/>
      <c r="B18" s="189"/>
      <c r="D18" s="194"/>
      <c r="E18" s="198"/>
      <c r="F18" s="199"/>
      <c r="G18" s="200"/>
      <c r="H18" s="199"/>
      <c r="I18" s="201"/>
      <c r="J18" s="223"/>
      <c r="K18" s="223"/>
      <c r="L18" s="223"/>
      <c r="P18" s="224"/>
      <c r="R18" s="202"/>
      <c r="S18" s="199"/>
      <c r="T18" s="229"/>
      <c r="W18" s="110"/>
      <c r="X18" s="110"/>
      <c r="Y18" s="110"/>
      <c r="Z18" s="189"/>
      <c r="AA18" s="189"/>
      <c r="AC18" s="194"/>
      <c r="AD18" s="198"/>
      <c r="AE18" s="199"/>
      <c r="AF18" s="200"/>
      <c r="AG18" s="199"/>
      <c r="AH18" s="201"/>
      <c r="AI18" s="223"/>
      <c r="AJ18" s="223"/>
      <c r="AK18" s="223"/>
      <c r="AO18" s="224"/>
      <c r="AQ18" s="202"/>
      <c r="AR18" s="199"/>
      <c r="AS18" s="229"/>
    </row>
    <row r="19" spans="1:34">
      <c r="A19" s="201"/>
      <c r="B19" s="201"/>
      <c r="C19" s="201"/>
      <c r="D19" s="201"/>
      <c r="E19" s="202"/>
      <c r="F19" s="203"/>
      <c r="G19" s="201"/>
      <c r="H19" s="201"/>
      <c r="I19" s="201"/>
      <c r="U19" s="202"/>
      <c r="V19" s="110"/>
      <c r="W19" s="110"/>
      <c r="X19" s="110"/>
      <c r="Y19" s="110"/>
      <c r="Z19" s="201"/>
      <c r="AA19" s="201"/>
      <c r="AB19" s="201"/>
      <c r="AC19" s="201"/>
      <c r="AD19" s="202"/>
      <c r="AE19" s="203"/>
      <c r="AF19" s="201"/>
      <c r="AG19" s="201"/>
      <c r="AH19" s="201"/>
    </row>
    <row r="20" spans="1:34">
      <c r="A20" s="201"/>
      <c r="B20" s="201"/>
      <c r="C20" s="201"/>
      <c r="D20" s="201"/>
      <c r="E20" s="201"/>
      <c r="F20" s="203"/>
      <c r="G20" s="201"/>
      <c r="H20" s="201"/>
      <c r="I20" s="201"/>
      <c r="U20" s="202"/>
      <c r="V20" s="110"/>
      <c r="W20" s="110"/>
      <c r="X20" s="110"/>
      <c r="Y20" s="110"/>
      <c r="Z20" s="201"/>
      <c r="AA20" s="201"/>
      <c r="AB20" s="201"/>
      <c r="AC20" s="201"/>
      <c r="AD20" s="201"/>
      <c r="AE20" s="203"/>
      <c r="AF20" s="201"/>
      <c r="AG20" s="201"/>
      <c r="AH20" s="201"/>
    </row>
    <row r="21" spans="1:34">
      <c r="A21" s="201"/>
      <c r="B21" s="201"/>
      <c r="C21" s="201"/>
      <c r="D21" s="201"/>
      <c r="E21" s="201"/>
      <c r="F21" s="203"/>
      <c r="G21" s="201"/>
      <c r="H21" s="201"/>
      <c r="I21" s="201"/>
      <c r="U21" s="202"/>
      <c r="V21" s="110"/>
      <c r="W21" s="110"/>
      <c r="X21" s="110"/>
      <c r="Y21" s="110"/>
      <c r="Z21" s="201"/>
      <c r="AA21" s="201"/>
      <c r="AB21" s="201"/>
      <c r="AC21" s="201"/>
      <c r="AD21" s="201"/>
      <c r="AE21" s="203"/>
      <c r="AF21" s="201"/>
      <c r="AG21" s="201"/>
      <c r="AH21" s="201"/>
    </row>
    <row r="22" ht="13" spans="1:45">
      <c r="A22" s="153" t="s">
        <v>46</v>
      </c>
      <c r="B22" s="153"/>
      <c r="C22" s="154"/>
      <c r="D22" s="154"/>
      <c r="E22" s="154"/>
      <c r="F22" s="154"/>
      <c r="G22" s="154"/>
      <c r="H22" s="154"/>
      <c r="I22" s="110"/>
      <c r="J22" s="110"/>
      <c r="K22" s="110"/>
      <c r="L22" s="110"/>
      <c r="M22" s="110"/>
      <c r="N22" s="110"/>
      <c r="O22" s="110"/>
      <c r="P22" s="110"/>
      <c r="Q22" s="110"/>
      <c r="R22" s="110"/>
      <c r="S22" s="110"/>
      <c r="T22" s="110"/>
      <c r="U22" s="110"/>
      <c r="V22" s="110"/>
      <c r="W22" s="110"/>
      <c r="X22" s="110"/>
      <c r="Y22" s="110"/>
      <c r="Z22" s="153" t="s">
        <v>46</v>
      </c>
      <c r="AA22" s="153"/>
      <c r="AB22" s="154"/>
      <c r="AC22" s="154"/>
      <c r="AD22" s="154"/>
      <c r="AE22" s="154"/>
      <c r="AF22" s="154"/>
      <c r="AG22" s="154"/>
      <c r="AH22" s="110"/>
      <c r="AI22" s="110"/>
      <c r="AJ22" s="110"/>
      <c r="AK22" s="110"/>
      <c r="AL22" s="110"/>
      <c r="AM22" s="110"/>
      <c r="AN22" s="110"/>
      <c r="AO22" s="110"/>
      <c r="AP22" s="110"/>
      <c r="AQ22" s="110"/>
      <c r="AR22" s="110"/>
      <c r="AS22" s="110"/>
    </row>
    <row r="23" ht="13" spans="1:45">
      <c r="A23" s="114" t="s">
        <v>47</v>
      </c>
      <c r="B23" s="114" t="s">
        <v>14</v>
      </c>
      <c r="C23" s="114" t="s">
        <v>48</v>
      </c>
      <c r="D23" s="114" t="s">
        <v>49</v>
      </c>
      <c r="E23" s="114" t="s">
        <v>50</v>
      </c>
      <c r="F23" s="114" t="s">
        <v>51</v>
      </c>
      <c r="G23" s="114" t="s">
        <v>52</v>
      </c>
      <c r="H23" s="114" t="s">
        <v>53</v>
      </c>
      <c r="I23" s="110"/>
      <c r="J23" s="110"/>
      <c r="K23" s="110"/>
      <c r="L23" s="110"/>
      <c r="M23" s="110"/>
      <c r="N23" s="110"/>
      <c r="O23" s="110"/>
      <c r="P23" s="110"/>
      <c r="Q23" s="110"/>
      <c r="R23" s="110"/>
      <c r="S23" s="110"/>
      <c r="T23" s="110"/>
      <c r="U23" s="110"/>
      <c r="V23" s="110"/>
      <c r="W23" s="110"/>
      <c r="X23" s="110"/>
      <c r="Y23" s="110"/>
      <c r="Z23" s="114" t="s">
        <v>47</v>
      </c>
      <c r="AA23" s="114" t="s">
        <v>14</v>
      </c>
      <c r="AB23" s="114" t="s">
        <v>48</v>
      </c>
      <c r="AC23" s="114" t="s">
        <v>49</v>
      </c>
      <c r="AD23" s="114" t="s">
        <v>50</v>
      </c>
      <c r="AE23" s="114" t="s">
        <v>51</v>
      </c>
      <c r="AF23" s="114" t="s">
        <v>52</v>
      </c>
      <c r="AG23" s="114" t="s">
        <v>53</v>
      </c>
      <c r="AH23" s="110"/>
      <c r="AI23" s="110"/>
      <c r="AJ23" s="110"/>
      <c r="AK23" s="110"/>
      <c r="AL23" s="110"/>
      <c r="AM23" s="110"/>
      <c r="AN23" s="110"/>
      <c r="AO23" s="110"/>
      <c r="AP23" s="110"/>
      <c r="AQ23" s="110"/>
      <c r="AR23" s="110"/>
      <c r="AS23" s="110"/>
    </row>
    <row r="24" ht="38.25" spans="1:45">
      <c r="A24" s="204" t="s">
        <v>54</v>
      </c>
      <c r="B24" s="204" t="s">
        <v>55</v>
      </c>
      <c r="C24" s="204" t="s">
        <v>32</v>
      </c>
      <c r="D24" s="204" t="s">
        <v>56</v>
      </c>
      <c r="E24" s="204" t="s">
        <v>57</v>
      </c>
      <c r="F24" s="204" t="s">
        <v>58</v>
      </c>
      <c r="G24" s="204" t="s">
        <v>59</v>
      </c>
      <c r="H24" s="204" t="s">
        <v>60</v>
      </c>
      <c r="I24" s="110"/>
      <c r="J24" s="110"/>
      <c r="K24" s="110"/>
      <c r="L24" s="110"/>
      <c r="M24" s="110"/>
      <c r="N24" s="110"/>
      <c r="O24" s="110"/>
      <c r="P24" s="110"/>
      <c r="Q24" s="110"/>
      <c r="R24" s="110"/>
      <c r="S24" s="110"/>
      <c r="T24" s="110"/>
      <c r="U24" s="110"/>
      <c r="V24" s="110"/>
      <c r="W24" s="110"/>
      <c r="X24" s="110"/>
      <c r="Y24" s="110"/>
      <c r="Z24" s="204" t="s">
        <v>54</v>
      </c>
      <c r="AA24" s="204" t="s">
        <v>55</v>
      </c>
      <c r="AB24" s="204" t="s">
        <v>32</v>
      </c>
      <c r="AC24" s="204" t="s">
        <v>56</v>
      </c>
      <c r="AD24" s="204" t="s">
        <v>57</v>
      </c>
      <c r="AE24" s="204" t="s">
        <v>58</v>
      </c>
      <c r="AF24" s="204" t="s">
        <v>59</v>
      </c>
      <c r="AG24" s="204" t="s">
        <v>60</v>
      </c>
      <c r="AH24" s="110"/>
      <c r="AI24" s="110"/>
      <c r="AJ24" s="110"/>
      <c r="AK24" s="110"/>
      <c r="AL24" s="110"/>
      <c r="AM24" s="110"/>
      <c r="AN24" s="110"/>
      <c r="AO24" s="110"/>
      <c r="AP24" s="110"/>
      <c r="AQ24" s="110"/>
      <c r="AR24" s="110"/>
      <c r="AS24" s="110"/>
    </row>
    <row r="25" spans="1:45">
      <c r="A25" s="205" t="s">
        <v>151</v>
      </c>
      <c r="B25" s="206" t="s">
        <v>152</v>
      </c>
      <c r="C25" s="207" t="s">
        <v>153</v>
      </c>
      <c r="D25" s="156" t="s">
        <v>64</v>
      </c>
      <c r="E25" s="208" t="s">
        <v>64</v>
      </c>
      <c r="F25" s="156" t="s">
        <v>154</v>
      </c>
      <c r="G25" s="209" t="str">
        <f>D10</f>
        <v>SYNH2CT</v>
      </c>
      <c r="H25" s="157"/>
      <c r="I25" s="110"/>
      <c r="J25" s="110"/>
      <c r="K25" s="110"/>
      <c r="L25" s="110"/>
      <c r="M25" s="110"/>
      <c r="N25" s="110"/>
      <c r="O25" s="110"/>
      <c r="P25" s="110"/>
      <c r="Q25" s="110"/>
      <c r="R25" s="110"/>
      <c r="S25" s="110"/>
      <c r="T25" s="110"/>
      <c r="U25" s="110"/>
      <c r="V25" s="110"/>
      <c r="W25" s="110"/>
      <c r="X25" s="110"/>
      <c r="Y25" s="110"/>
      <c r="Z25" s="205" t="s">
        <v>151</v>
      </c>
      <c r="AA25" s="207" t="s">
        <v>155</v>
      </c>
      <c r="AB25" s="207" t="s">
        <v>153</v>
      </c>
      <c r="AC25" s="156" t="s">
        <v>64</v>
      </c>
      <c r="AD25" s="208" t="s">
        <v>64</v>
      </c>
      <c r="AE25" s="156" t="s">
        <v>154</v>
      </c>
      <c r="AF25" s="209" t="str">
        <f>AC10</f>
        <v>SYNH2CT</v>
      </c>
      <c r="AG25" s="157"/>
      <c r="AH25" s="110"/>
      <c r="AI25" s="110"/>
      <c r="AJ25" s="110"/>
      <c r="AK25" s="110"/>
      <c r="AL25" s="110"/>
      <c r="AM25" s="110"/>
      <c r="AN25" s="110"/>
      <c r="AO25" s="110"/>
      <c r="AP25" s="110"/>
      <c r="AQ25" s="110"/>
      <c r="AR25" s="110"/>
      <c r="AS25" s="110"/>
    </row>
    <row r="26" spans="1:45">
      <c r="A26" s="205" t="s">
        <v>151</v>
      </c>
      <c r="B26" s="206" t="s">
        <v>156</v>
      </c>
      <c r="C26" s="207" t="s">
        <v>157</v>
      </c>
      <c r="D26" s="156" t="s">
        <v>64</v>
      </c>
      <c r="E26" s="208" t="s">
        <v>64</v>
      </c>
      <c r="F26" s="156" t="s">
        <v>154</v>
      </c>
      <c r="G26" s="209" t="str">
        <f>D12</f>
        <v>SYNH2CT</v>
      </c>
      <c r="H26" s="206"/>
      <c r="I26" s="189"/>
      <c r="J26" s="110"/>
      <c r="K26" s="110"/>
      <c r="L26" s="110"/>
      <c r="M26" s="110"/>
      <c r="N26" s="110"/>
      <c r="O26" s="110"/>
      <c r="P26" s="110"/>
      <c r="Q26" s="110"/>
      <c r="R26" s="110"/>
      <c r="S26" s="110"/>
      <c r="T26" s="110"/>
      <c r="U26" s="110"/>
      <c r="V26" s="110"/>
      <c r="W26" s="110"/>
      <c r="X26" s="110"/>
      <c r="Y26" s="110"/>
      <c r="Z26" s="205" t="s">
        <v>151</v>
      </c>
      <c r="AA26" s="207" t="s">
        <v>158</v>
      </c>
      <c r="AB26" s="207" t="s">
        <v>157</v>
      </c>
      <c r="AC26" s="156" t="s">
        <v>64</v>
      </c>
      <c r="AD26" s="208" t="s">
        <v>64</v>
      </c>
      <c r="AE26" s="156" t="s">
        <v>154</v>
      </c>
      <c r="AF26" s="209" t="str">
        <f>AC12</f>
        <v>SYNH2CT</v>
      </c>
      <c r="AG26" s="206"/>
      <c r="AH26" s="189"/>
      <c r="AI26" s="110"/>
      <c r="AJ26" s="110"/>
      <c r="AK26" s="110"/>
      <c r="AL26" s="110"/>
      <c r="AM26" s="110"/>
      <c r="AN26" s="110"/>
      <c r="AO26" s="110"/>
      <c r="AP26" s="110"/>
      <c r="AQ26" s="110"/>
      <c r="AR26" s="110"/>
      <c r="AS26" s="110"/>
    </row>
    <row r="27" spans="1:45">
      <c r="A27" s="205" t="s">
        <v>111</v>
      </c>
      <c r="B27" s="206" t="str">
        <f>A14</f>
        <v>P_STH2SUG</v>
      </c>
      <c r="C27" s="206" t="s">
        <v>159</v>
      </c>
      <c r="D27" s="156" t="s">
        <v>64</v>
      </c>
      <c r="E27" s="208" t="s">
        <v>64</v>
      </c>
      <c r="F27" s="156" t="s">
        <v>154</v>
      </c>
      <c r="G27" s="209"/>
      <c r="H27" s="119"/>
      <c r="I27" s="110"/>
      <c r="J27" s="110"/>
      <c r="K27" s="110"/>
      <c r="L27" s="110"/>
      <c r="M27" s="110"/>
      <c r="N27" s="110"/>
      <c r="O27" s="110"/>
      <c r="P27" s="110"/>
      <c r="Q27" s="110"/>
      <c r="R27" s="110"/>
      <c r="S27" s="110"/>
      <c r="T27" s="110"/>
      <c r="U27" s="110"/>
      <c r="V27" s="110"/>
      <c r="W27" s="110"/>
      <c r="X27" s="110"/>
      <c r="Y27" s="110"/>
      <c r="Z27" s="205" t="s">
        <v>111</v>
      </c>
      <c r="AA27" s="206" t="str">
        <f>Z14</f>
        <v>P_STH2SLH2</v>
      </c>
      <c r="AB27" s="206" t="s">
        <v>159</v>
      </c>
      <c r="AC27" s="156" t="s">
        <v>64</v>
      </c>
      <c r="AD27" s="208" t="s">
        <v>64</v>
      </c>
      <c r="AE27" s="156" t="s">
        <v>154</v>
      </c>
      <c r="AF27" s="209"/>
      <c r="AG27" s="119"/>
      <c r="AH27" s="110"/>
      <c r="AI27" s="110"/>
      <c r="AJ27" s="110"/>
      <c r="AK27" s="110"/>
      <c r="AL27" s="110"/>
      <c r="AM27" s="110"/>
      <c r="AN27" s="110"/>
      <c r="AO27" s="110"/>
      <c r="AP27" s="110"/>
      <c r="AQ27" s="110"/>
      <c r="AR27" s="110"/>
      <c r="AS27" s="110"/>
    </row>
    <row r="28" spans="1:45">
      <c r="A28" s="205" t="s">
        <v>111</v>
      </c>
      <c r="B28" s="206" t="str">
        <f>A15</f>
        <v>P_STH2SGT</v>
      </c>
      <c r="C28" s="206" t="s">
        <v>160</v>
      </c>
      <c r="D28" s="156" t="s">
        <v>64</v>
      </c>
      <c r="E28" s="208" t="s">
        <v>64</v>
      </c>
      <c r="F28" s="156" t="s">
        <v>154</v>
      </c>
      <c r="G28" s="209"/>
      <c r="H28" s="119"/>
      <c r="I28" s="110"/>
      <c r="J28" s="110"/>
      <c r="K28" s="110"/>
      <c r="L28" s="110"/>
      <c r="M28" s="110"/>
      <c r="N28" s="110"/>
      <c r="O28" s="110"/>
      <c r="P28" s="110"/>
      <c r="Q28" s="110"/>
      <c r="R28" s="110"/>
      <c r="S28" s="110"/>
      <c r="T28" s="110"/>
      <c r="U28" s="110"/>
      <c r="V28" s="110"/>
      <c r="W28" s="110"/>
      <c r="X28" s="110"/>
      <c r="Y28" s="110"/>
      <c r="Z28" s="205" t="s">
        <v>111</v>
      </c>
      <c r="AA28" s="206" t="str">
        <f>Z15</f>
        <v>P_STH2SNH3</v>
      </c>
      <c r="AB28" s="206" t="s">
        <v>160</v>
      </c>
      <c r="AC28" s="156" t="s">
        <v>64</v>
      </c>
      <c r="AD28" s="208" t="s">
        <v>64</v>
      </c>
      <c r="AE28" s="156" t="s">
        <v>154</v>
      </c>
      <c r="AF28" s="209"/>
      <c r="AG28" s="119"/>
      <c r="AH28" s="110"/>
      <c r="AI28" s="110"/>
      <c r="AJ28" s="110"/>
      <c r="AK28" s="110"/>
      <c r="AL28" s="110"/>
      <c r="AM28" s="110"/>
      <c r="AN28" s="110"/>
      <c r="AO28" s="110"/>
      <c r="AP28" s="110"/>
      <c r="AQ28" s="110"/>
      <c r="AR28" s="110"/>
      <c r="AS28" s="110"/>
    </row>
    <row r="29" spans="7:45">
      <c r="G29" s="209"/>
      <c r="H29" s="119"/>
      <c r="I29" s="110"/>
      <c r="J29" s="110"/>
      <c r="K29" s="110"/>
      <c r="L29" s="110"/>
      <c r="M29" s="110"/>
      <c r="N29" s="110"/>
      <c r="O29" s="110"/>
      <c r="P29" s="110"/>
      <c r="Q29" s="110"/>
      <c r="R29" s="110"/>
      <c r="S29" s="110"/>
      <c r="T29" s="110"/>
      <c r="U29" s="110"/>
      <c r="V29" s="110"/>
      <c r="W29" s="110"/>
      <c r="X29" s="110"/>
      <c r="Y29" s="110"/>
      <c r="AF29" s="209"/>
      <c r="AG29" s="119"/>
      <c r="AH29" s="110"/>
      <c r="AI29" s="110"/>
      <c r="AJ29" s="110"/>
      <c r="AK29" s="110"/>
      <c r="AL29" s="110"/>
      <c r="AM29" s="110"/>
      <c r="AN29" s="110"/>
      <c r="AO29" s="110"/>
      <c r="AP29" s="110"/>
      <c r="AQ29" s="110"/>
      <c r="AR29" s="110"/>
      <c r="AS29" s="110"/>
    </row>
    <row r="30" spans="1:45">
      <c r="A30" s="205"/>
      <c r="B30" s="206"/>
      <c r="C30" s="206"/>
      <c r="D30" s="156"/>
      <c r="E30" s="208"/>
      <c r="F30" s="156"/>
      <c r="G30" s="209"/>
      <c r="H30" s="119"/>
      <c r="I30" s="110"/>
      <c r="J30" s="110"/>
      <c r="K30" s="110"/>
      <c r="L30" s="110"/>
      <c r="M30" s="110"/>
      <c r="N30" s="110"/>
      <c r="O30" s="110"/>
      <c r="P30" s="110"/>
      <c r="Q30" s="110"/>
      <c r="R30" s="110"/>
      <c r="S30" s="110"/>
      <c r="T30" s="110"/>
      <c r="U30" s="110"/>
      <c r="V30" s="110"/>
      <c r="W30" s="110"/>
      <c r="X30" s="110"/>
      <c r="Y30" s="110"/>
      <c r="Z30" s="205"/>
      <c r="AA30" s="206"/>
      <c r="AB30" s="206"/>
      <c r="AC30" s="156"/>
      <c r="AD30" s="208"/>
      <c r="AE30" s="156"/>
      <c r="AF30" s="209"/>
      <c r="AG30" s="119"/>
      <c r="AH30" s="110"/>
      <c r="AI30" s="110"/>
      <c r="AJ30" s="110"/>
      <c r="AK30" s="110"/>
      <c r="AL30" s="110"/>
      <c r="AM30" s="110"/>
      <c r="AN30" s="110"/>
      <c r="AO30" s="110"/>
      <c r="AP30" s="110"/>
      <c r="AQ30" s="110"/>
      <c r="AR30" s="110"/>
      <c r="AS30" s="110"/>
    </row>
    <row r="31" spans="1:45">
      <c r="A31" s="210"/>
      <c r="B31" s="189"/>
      <c r="C31" s="189"/>
      <c r="D31" s="188"/>
      <c r="E31" s="211"/>
      <c r="F31" s="188"/>
      <c r="G31" s="212"/>
      <c r="I31" s="110"/>
      <c r="J31" s="110"/>
      <c r="K31" s="110"/>
      <c r="L31" s="110"/>
      <c r="M31" s="110"/>
      <c r="N31" s="110"/>
      <c r="O31" s="110"/>
      <c r="P31" s="110"/>
      <c r="Q31" s="110"/>
      <c r="R31" s="110"/>
      <c r="S31" s="110"/>
      <c r="T31" s="110"/>
      <c r="U31" s="110"/>
      <c r="V31" s="110"/>
      <c r="W31" s="110"/>
      <c r="X31" s="110"/>
      <c r="Y31" s="110"/>
      <c r="Z31" s="210"/>
      <c r="AA31" s="189"/>
      <c r="AB31" s="189"/>
      <c r="AC31" s="188"/>
      <c r="AD31" s="211"/>
      <c r="AE31" s="188"/>
      <c r="AF31" s="212"/>
      <c r="AH31" s="110"/>
      <c r="AI31" s="110"/>
      <c r="AJ31" s="110"/>
      <c r="AK31" s="110"/>
      <c r="AL31" s="110"/>
      <c r="AM31" s="110"/>
      <c r="AN31" s="110"/>
      <c r="AO31" s="110"/>
      <c r="AP31" s="110"/>
      <c r="AQ31" s="110"/>
      <c r="AR31" s="110"/>
      <c r="AS31" s="110"/>
    </row>
    <row r="32" spans="2:45">
      <c r="B32" s="201"/>
      <c r="C32" s="201"/>
      <c r="D32" s="211"/>
      <c r="E32" s="211"/>
      <c r="I32" s="110"/>
      <c r="J32" s="110"/>
      <c r="K32" s="110"/>
      <c r="L32" s="110"/>
      <c r="M32" s="110"/>
      <c r="N32" s="110"/>
      <c r="O32" s="110"/>
      <c r="P32" s="110"/>
      <c r="Q32" s="110"/>
      <c r="R32" s="110"/>
      <c r="S32" s="110"/>
      <c r="T32" s="110"/>
      <c r="U32" s="110"/>
      <c r="V32" s="110"/>
      <c r="W32" s="110"/>
      <c r="X32" s="110"/>
      <c r="Y32" s="110"/>
      <c r="AA32" s="201"/>
      <c r="AB32" s="201"/>
      <c r="AC32" s="211"/>
      <c r="AD32" s="211"/>
      <c r="AH32" s="110"/>
      <c r="AI32" s="110"/>
      <c r="AJ32" s="110"/>
      <c r="AK32" s="110"/>
      <c r="AL32" s="110"/>
      <c r="AM32" s="110"/>
      <c r="AN32" s="110"/>
      <c r="AO32" s="110"/>
      <c r="AP32" s="110"/>
      <c r="AQ32" s="110"/>
      <c r="AR32" s="110"/>
      <c r="AS32" s="110"/>
    </row>
    <row r="33" spans="1:45">
      <c r="A33" s="110"/>
      <c r="B33" s="110"/>
      <c r="C33" s="110"/>
      <c r="D33" s="110"/>
      <c r="E33" s="110"/>
      <c r="F33" s="110"/>
      <c r="G33" s="110"/>
      <c r="H33" s="110"/>
      <c r="I33" s="110"/>
      <c r="J33" s="110"/>
      <c r="K33" s="110"/>
      <c r="L33" s="110"/>
      <c r="M33" s="110"/>
      <c r="N33" s="110"/>
      <c r="O33" s="110"/>
      <c r="P33" s="110"/>
      <c r="Q33" s="110"/>
      <c r="R33" s="110"/>
      <c r="S33" s="110"/>
      <c r="T33" s="110"/>
      <c r="U33" s="110"/>
      <c r="V33" s="110"/>
      <c r="W33" s="110"/>
      <c r="X33" s="230"/>
      <c r="Y33" s="230"/>
      <c r="Z33" s="110"/>
      <c r="AA33" s="110"/>
      <c r="AB33" s="110"/>
      <c r="AC33" s="110"/>
      <c r="AD33" s="110"/>
      <c r="AE33" s="110"/>
      <c r="AF33" s="110"/>
      <c r="AG33" s="110"/>
      <c r="AH33" s="110"/>
      <c r="AI33" s="110"/>
      <c r="AJ33" s="110"/>
      <c r="AK33" s="110"/>
      <c r="AL33" s="110"/>
      <c r="AM33" s="110"/>
      <c r="AN33" s="110"/>
      <c r="AO33" s="110"/>
      <c r="AP33" s="110"/>
      <c r="AQ33" s="110"/>
      <c r="AR33" s="110"/>
      <c r="AS33" s="110"/>
    </row>
    <row r="34" ht="13" spans="1:45">
      <c r="A34" s="153" t="s">
        <v>68</v>
      </c>
      <c r="B34" s="158"/>
      <c r="C34" s="158"/>
      <c r="D34" s="158"/>
      <c r="E34" s="158"/>
      <c r="F34" s="158"/>
      <c r="G34" s="158"/>
      <c r="H34" s="158"/>
      <c r="I34" s="110"/>
      <c r="J34" s="110"/>
      <c r="K34" s="110"/>
      <c r="L34" s="110"/>
      <c r="M34" s="110"/>
      <c r="N34" s="110"/>
      <c r="O34" s="110"/>
      <c r="P34" s="110"/>
      <c r="Q34" s="110"/>
      <c r="R34" s="110"/>
      <c r="S34" s="110"/>
      <c r="T34" s="110"/>
      <c r="U34" s="110"/>
      <c r="V34" s="110"/>
      <c r="W34" s="110"/>
      <c r="X34" s="110"/>
      <c r="Y34" s="110"/>
      <c r="Z34" s="153" t="s">
        <v>68</v>
      </c>
      <c r="AA34" s="158"/>
      <c r="AB34" s="158"/>
      <c r="AC34" s="158"/>
      <c r="AD34" s="158"/>
      <c r="AE34" s="158"/>
      <c r="AF34" s="158"/>
      <c r="AG34" s="158"/>
      <c r="AH34" s="110"/>
      <c r="AI34" s="110"/>
      <c r="AJ34" s="110"/>
      <c r="AK34" s="110"/>
      <c r="AL34" s="110"/>
      <c r="AM34" s="110"/>
      <c r="AN34" s="110"/>
      <c r="AO34" s="110"/>
      <c r="AP34" s="110"/>
      <c r="AQ34" s="110"/>
      <c r="AR34" s="110"/>
      <c r="AS34" s="110"/>
    </row>
    <row r="35" ht="13" spans="1:33">
      <c r="A35" s="159" t="s">
        <v>69</v>
      </c>
      <c r="B35" s="159" t="s">
        <v>70</v>
      </c>
      <c r="C35" s="159" t="s">
        <v>71</v>
      </c>
      <c r="D35" s="160" t="s">
        <v>72</v>
      </c>
      <c r="E35" s="160" t="s">
        <v>73</v>
      </c>
      <c r="F35" s="160" t="s">
        <v>74</v>
      </c>
      <c r="G35" s="160" t="s">
        <v>75</v>
      </c>
      <c r="H35" s="160" t="s">
        <v>76</v>
      </c>
      <c r="Z35" s="159" t="s">
        <v>69</v>
      </c>
      <c r="AA35" s="159" t="s">
        <v>70</v>
      </c>
      <c r="AB35" s="159" t="s">
        <v>71</v>
      </c>
      <c r="AC35" s="160" t="s">
        <v>72</v>
      </c>
      <c r="AD35" s="160" t="s">
        <v>73</v>
      </c>
      <c r="AE35" s="160" t="s">
        <v>74</v>
      </c>
      <c r="AF35" s="160" t="s">
        <v>75</v>
      </c>
      <c r="AG35" s="160" t="s">
        <v>76</v>
      </c>
    </row>
    <row r="36" ht="38.25" spans="1:33">
      <c r="A36" s="213" t="s">
        <v>77</v>
      </c>
      <c r="B36" s="213" t="s">
        <v>78</v>
      </c>
      <c r="C36" s="213" t="s">
        <v>79</v>
      </c>
      <c r="D36" s="213" t="s">
        <v>72</v>
      </c>
      <c r="E36" s="213" t="s">
        <v>80</v>
      </c>
      <c r="F36" s="213" t="s">
        <v>81</v>
      </c>
      <c r="G36" s="213" t="s">
        <v>82</v>
      </c>
      <c r="H36" s="213" t="s">
        <v>83</v>
      </c>
      <c r="Z36" s="213" t="s">
        <v>77</v>
      </c>
      <c r="AA36" s="213" t="s">
        <v>78</v>
      </c>
      <c r="AB36" s="213" t="s">
        <v>79</v>
      </c>
      <c r="AC36" s="213" t="s">
        <v>72</v>
      </c>
      <c r="AD36" s="213" t="s">
        <v>80</v>
      </c>
      <c r="AE36" s="213" t="s">
        <v>81</v>
      </c>
      <c r="AF36" s="213" t="s">
        <v>82</v>
      </c>
      <c r="AG36" s="213" t="s">
        <v>83</v>
      </c>
    </row>
    <row r="37" spans="1:33">
      <c r="A37" s="206" t="s">
        <v>84</v>
      </c>
      <c r="B37" s="157" t="str">
        <f>D14</f>
        <v>AUX_STH2SUG</v>
      </c>
      <c r="C37" s="157" t="s">
        <v>161</v>
      </c>
      <c r="D37" s="119" t="s">
        <v>64</v>
      </c>
      <c r="E37" s="118" t="s">
        <v>86</v>
      </c>
      <c r="F37" s="119" t="s">
        <v>87</v>
      </c>
      <c r="G37" s="119"/>
      <c r="H37" s="119"/>
      <c r="Z37" s="206" t="s">
        <v>84</v>
      </c>
      <c r="AA37" s="157" t="str">
        <f>AC14</f>
        <v>AUX_STH2SLH2</v>
      </c>
      <c r="AB37" s="157" t="s">
        <v>161</v>
      </c>
      <c r="AC37" s="119" t="s">
        <v>64</v>
      </c>
      <c r="AD37" s="118" t="s">
        <v>86</v>
      </c>
      <c r="AE37" s="119" t="s">
        <v>87</v>
      </c>
      <c r="AF37" s="119"/>
      <c r="AG37" s="119"/>
    </row>
    <row r="38" spans="1:33">
      <c r="A38" s="206" t="s">
        <v>84</v>
      </c>
      <c r="B38" s="157" t="str">
        <f>D15</f>
        <v>AUX_STH2SGT</v>
      </c>
      <c r="C38" s="157" t="s">
        <v>162</v>
      </c>
      <c r="D38" s="119" t="s">
        <v>64</v>
      </c>
      <c r="E38" s="118" t="s">
        <v>86</v>
      </c>
      <c r="F38" s="119" t="s">
        <v>87</v>
      </c>
      <c r="G38" s="119"/>
      <c r="H38" s="119"/>
      <c r="Z38" s="206" t="s">
        <v>84</v>
      </c>
      <c r="AA38" s="157" t="str">
        <f>AC15</f>
        <v>AUX_STH2SNH3</v>
      </c>
      <c r="AB38" s="157" t="s">
        <v>162</v>
      </c>
      <c r="AC38" s="119" t="s">
        <v>64</v>
      </c>
      <c r="AD38" s="118" t="s">
        <v>86</v>
      </c>
      <c r="AE38" s="119" t="s">
        <v>87</v>
      </c>
      <c r="AF38" s="119"/>
      <c r="AG38" s="119"/>
    </row>
    <row r="39" spans="1:8">
      <c r="A39" s="206"/>
      <c r="B39" s="157"/>
      <c r="C39" s="157"/>
      <c r="D39" s="119"/>
      <c r="E39" s="118"/>
      <c r="F39" s="119"/>
      <c r="G39" s="119"/>
      <c r="H39" s="119"/>
    </row>
    <row r="44" spans="1:10">
      <c r="A44" s="206"/>
      <c r="B44" s="119"/>
      <c r="C44" s="119"/>
      <c r="D44" s="119"/>
      <c r="E44" s="118"/>
      <c r="F44" s="119"/>
      <c r="G44" s="119"/>
      <c r="H44" s="119"/>
      <c r="J44" s="225"/>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topLeftCell="R7" workbookViewId="0">
      <selection activeCell="AC2" sqref="AC2"/>
    </sheetView>
  </sheetViews>
  <sheetFormatPr defaultColWidth="9" defaultRowHeight="12.5"/>
  <cols>
    <col min="1" max="6" width="9" style="166"/>
    <col min="7" max="7" width="92.5454545454545" style="166" customWidth="1"/>
    <col min="8" max="8" width="26.5454545454545" style="166" customWidth="1"/>
    <col min="9" max="17" width="9" style="166"/>
    <col min="21" max="25" width="12.8181818181818"/>
    <col min="27" max="29" width="12.8181818181818"/>
  </cols>
  <sheetData>
    <row r="1" spans="1:29">
      <c r="A1" s="166" t="s">
        <v>163</v>
      </c>
      <c r="T1" s="108"/>
      <c r="U1" s="108"/>
      <c r="V1" s="108"/>
      <c r="W1" s="108"/>
      <c r="X1" s="108"/>
      <c r="Y1" s="108"/>
      <c r="Z1" s="108"/>
      <c r="AA1" s="108"/>
      <c r="AB1" s="108"/>
      <c r="AC1" s="108"/>
    </row>
    <row r="2" spans="19:29">
      <c r="S2" s="177" t="s">
        <v>164</v>
      </c>
      <c r="T2">
        <v>2020</v>
      </c>
      <c r="U2" s="108">
        <f>21.7/1000000/(33.3/277.78)*10^6</f>
        <v>181.015795795796</v>
      </c>
      <c r="V2" s="108">
        <f>5.4/1000000/(33.3/277.78)*10^6</f>
        <v>45.0454054054054</v>
      </c>
      <c r="W2" s="108">
        <f>10.6/1000000/(33.3/277.78)*10^6</f>
        <v>88.4224624624625</v>
      </c>
      <c r="X2" s="108">
        <f>5.3/1000000/(33.3/277.78)*10^6</f>
        <v>44.2112312312312</v>
      </c>
      <c r="Y2" s="108">
        <f>1.3/1000000/(33.3/277.78)*10^6</f>
        <v>10.8442642642643</v>
      </c>
      <c r="Z2" s="108"/>
      <c r="AA2" s="108">
        <f>23.1/1000000/(33.3/277.78)*10^6</f>
        <v>192.694234234234</v>
      </c>
      <c r="AB2" s="108">
        <f>26.6/1000000/(33.3/277.78)*10^6</f>
        <v>221.89033033033</v>
      </c>
      <c r="AC2" s="108">
        <f>22.1/1000000/(33.3/277.78)*10^6</f>
        <v>184.352492492493</v>
      </c>
    </row>
    <row r="3" spans="1:29">
      <c r="A3" s="167" t="s">
        <v>165</v>
      </c>
      <c r="H3" s="166">
        <f>33.3/277777777.77778</f>
        <v>1.19879999999999e-7</v>
      </c>
      <c r="T3">
        <v>2030</v>
      </c>
      <c r="U3" s="108">
        <f>22.7/1000000/(33.3/277.78)*10^6</f>
        <v>189.357537537538</v>
      </c>
      <c r="V3" s="108">
        <f>4.4/1000000/(33.3/277.78)*10^6</f>
        <v>36.7036636636637</v>
      </c>
      <c r="W3" s="108">
        <f>10.9/1000000/(33.3/277.78)*10^6</f>
        <v>90.924984984985</v>
      </c>
      <c r="X3" s="108">
        <f>5.2/1000000/(33.3/277.78)*10^6</f>
        <v>43.3770570570571</v>
      </c>
      <c r="Y3" s="108">
        <f>0.7/1000000/(33.3/277.78)*10^6</f>
        <v>5.83921921921922</v>
      </c>
      <c r="Z3" s="108"/>
      <c r="AA3" s="108">
        <f>4.8/1000000/(33.3/277.78)*10^6</f>
        <v>40.0403603603604</v>
      </c>
      <c r="AB3" s="108">
        <f>4.9/1000000/(33.3/277.78)*10^6</f>
        <v>40.8745345345345</v>
      </c>
      <c r="AC3" s="108">
        <f>6.1/1000000/(33.3/277.78)*10^6</f>
        <v>50.8846246246246</v>
      </c>
    </row>
    <row r="4" spans="20:29">
      <c r="T4">
        <v>2050</v>
      </c>
      <c r="U4" s="108">
        <f>23/1000000/(33.3/277.78)*10^6</f>
        <v>191.86006006006</v>
      </c>
      <c r="V4" s="108">
        <f>4.1/1000000/(33.3/277.78)*10^6</f>
        <v>34.2011411411411</v>
      </c>
      <c r="W4" s="108">
        <f>11/1000000/(33.3/277.78)*10^6</f>
        <v>91.7591591591592</v>
      </c>
      <c r="X4" s="108">
        <f>5.2/1000000/(33.3/277.78)*10^6</f>
        <v>43.3770570570571</v>
      </c>
      <c r="Y4" s="108">
        <f>0.5/1000000/(33.3/277.78)*10^6</f>
        <v>4.17087087087087</v>
      </c>
      <c r="Z4" s="108"/>
      <c r="AA4" s="108">
        <f>0/1000000/(33.3/277.78)*10^6</f>
        <v>0</v>
      </c>
      <c r="AB4" s="108">
        <f>0/1000000/(33.3/277.78)*10^6</f>
        <v>0</v>
      </c>
      <c r="AC4" s="108">
        <f>1.8/1000000/(33.3/277.78)*10^6</f>
        <v>15.0151351351351</v>
      </c>
    </row>
    <row r="7" ht="67" customHeight="1" spans="5:9">
      <c r="E7" s="166" t="s">
        <v>166</v>
      </c>
      <c r="G7" s="168" t="s">
        <v>167</v>
      </c>
      <c r="H7" s="168" t="s">
        <v>168</v>
      </c>
      <c r="I7" s="166" t="s">
        <v>169</v>
      </c>
    </row>
    <row r="8" ht="14.5" spans="2:11">
      <c r="B8" s="169"/>
      <c r="C8" s="170"/>
      <c r="D8" s="171"/>
      <c r="E8" s="171"/>
      <c r="F8" s="171"/>
      <c r="G8" s="171"/>
      <c r="H8" s="171"/>
      <c r="I8" s="171"/>
      <c r="J8" s="171"/>
      <c r="K8" s="171"/>
    </row>
    <row r="9" ht="26.75" spans="2:11">
      <c r="B9" s="172" t="s">
        <v>70</v>
      </c>
      <c r="C9" s="173" t="s">
        <v>170</v>
      </c>
      <c r="D9" s="173" t="s">
        <v>171</v>
      </c>
      <c r="E9" s="173" t="s">
        <v>44</v>
      </c>
      <c r="F9" s="174"/>
      <c r="G9" s="174"/>
      <c r="H9" s="174"/>
      <c r="I9" s="174"/>
      <c r="J9" s="174"/>
      <c r="K9" s="174"/>
    </row>
    <row r="10" ht="26" spans="2:11">
      <c r="B10" s="175" t="s">
        <v>45</v>
      </c>
      <c r="C10" s="176">
        <v>88.42176</v>
      </c>
      <c r="D10" s="176">
        <f>C10</f>
        <v>88.42176</v>
      </c>
      <c r="E10" s="176">
        <f>D10</f>
        <v>88.42176</v>
      </c>
      <c r="F10" s="176"/>
      <c r="G10" s="176"/>
      <c r="H10" s="176"/>
      <c r="I10" s="176"/>
      <c r="J10" s="176"/>
      <c r="K10" s="176"/>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60" zoomScaleNormal="60" workbookViewId="0">
      <pane xSplit="2" topLeftCell="C1" activePane="topRight" state="frozen"/>
      <selection/>
      <selection pane="topRight" activeCell="C17" sqref="C17"/>
    </sheetView>
  </sheetViews>
  <sheetFormatPr defaultColWidth="9" defaultRowHeight="12.5"/>
  <cols>
    <col min="2" max="2" width="14.5454545454545" customWidth="1"/>
    <col min="3" max="3" width="105.272727272727"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8"/>
  </cols>
  <sheetData>
    <row r="3" ht="23" spans="1:4">
      <c r="A3" s="109" t="s">
        <v>172</v>
      </c>
      <c r="D3" s="109" t="s">
        <v>173</v>
      </c>
    </row>
    <row r="6" ht="13" spans="2:20">
      <c r="B6" s="110"/>
      <c r="C6" s="110"/>
      <c r="D6" s="110"/>
      <c r="E6" s="110"/>
      <c r="F6" s="111"/>
      <c r="G6" s="110"/>
      <c r="H6" s="112"/>
      <c r="I6" s="112"/>
      <c r="J6" s="110"/>
      <c r="K6" s="110"/>
      <c r="L6" s="110"/>
      <c r="S6" s="110"/>
      <c r="T6" s="142"/>
    </row>
    <row r="7" ht="26" spans="2:21">
      <c r="B7" s="113" t="s">
        <v>14</v>
      </c>
      <c r="C7" s="114" t="s">
        <v>15</v>
      </c>
      <c r="D7" s="113" t="s">
        <v>16</v>
      </c>
      <c r="E7" s="113" t="s">
        <v>130</v>
      </c>
      <c r="F7" s="113" t="s">
        <v>17</v>
      </c>
      <c r="G7" s="115" t="s">
        <v>99</v>
      </c>
      <c r="H7" s="115" t="s">
        <v>41</v>
      </c>
      <c r="I7" s="115" t="s">
        <v>21</v>
      </c>
      <c r="J7" s="115" t="s">
        <v>104</v>
      </c>
      <c r="K7" s="115" t="s">
        <v>174</v>
      </c>
      <c r="L7" s="115" t="s">
        <v>175</v>
      </c>
      <c r="M7" s="115" t="s">
        <v>133</v>
      </c>
      <c r="N7" s="115" t="s">
        <v>176</v>
      </c>
      <c r="O7" s="115" t="s">
        <v>177</v>
      </c>
      <c r="P7" s="115" t="s">
        <v>9</v>
      </c>
      <c r="Q7" s="115" t="s">
        <v>178</v>
      </c>
      <c r="R7" s="115" t="s">
        <v>179</v>
      </c>
      <c r="S7" s="115" t="s">
        <v>28</v>
      </c>
      <c r="T7" s="143" t="s">
        <v>29</v>
      </c>
      <c r="U7" s="143" t="s">
        <v>30</v>
      </c>
    </row>
    <row r="8" ht="25" spans="2:21">
      <c r="B8" s="116" t="s">
        <v>31</v>
      </c>
      <c r="C8" s="116" t="s">
        <v>32</v>
      </c>
      <c r="D8" s="116" t="s">
        <v>33</v>
      </c>
      <c r="E8" s="116"/>
      <c r="F8" s="116" t="s">
        <v>34</v>
      </c>
      <c r="G8" s="117"/>
      <c r="H8" s="117"/>
      <c r="I8" s="117"/>
      <c r="J8" s="117" t="s">
        <v>180</v>
      </c>
      <c r="K8" s="117" t="s">
        <v>180</v>
      </c>
      <c r="L8" s="117" t="s">
        <v>180</v>
      </c>
      <c r="M8" s="117" t="s">
        <v>180</v>
      </c>
      <c r="N8" s="117" t="s">
        <v>180</v>
      </c>
      <c r="O8" s="117" t="s">
        <v>180</v>
      </c>
      <c r="P8" s="117" t="s">
        <v>181</v>
      </c>
      <c r="Q8" s="117" t="s">
        <v>181</v>
      </c>
      <c r="R8" s="117" t="s">
        <v>181</v>
      </c>
      <c r="S8" s="117" t="s">
        <v>36</v>
      </c>
      <c r="T8" s="144"/>
      <c r="U8" s="144"/>
    </row>
    <row r="9" spans="2:23">
      <c r="B9" s="118" t="s">
        <v>182</v>
      </c>
      <c r="C9" s="119" t="str">
        <f>'INPUT-Data(EUTIMES-HD)'!C3</f>
        <v>Fuel Tech - H2 Delivery from centralized production (COMP+USTOR+TR+LIQ+LSTORB+RTS+REFLL(large))</v>
      </c>
      <c r="D9" s="119" t="s">
        <v>170</v>
      </c>
      <c r="E9" s="119"/>
      <c r="G9" s="120">
        <f>'INPUT-Data(EUTIMES-HD)'!J3</f>
        <v>1</v>
      </c>
      <c r="H9" s="121"/>
      <c r="I9" s="139">
        <f>'INPUT-Data(EUTIMES-HD)'!N3</f>
        <v>0.75</v>
      </c>
      <c r="J9" s="125">
        <f>'INPUT-Data(EUTIMES-HD)'!O3</f>
        <v>38.7130049443045</v>
      </c>
      <c r="K9" s="125">
        <f>J9-(3*(J9-L9)/4)</f>
        <v>30.2230402977164</v>
      </c>
      <c r="L9" s="125">
        <f>'INPUT-Data(EUTIMES-HD)'!P3</f>
        <v>27.393052082187</v>
      </c>
      <c r="M9" s="125">
        <f>'INPUT-Data(EUTIMES-HD)'!Q3</f>
        <v>2.02398119397593</v>
      </c>
      <c r="N9" s="125">
        <f>M9-(3*(M9-O9)/4)</f>
        <v>1.5748013912038</v>
      </c>
      <c r="O9" s="125">
        <f>'INPUT-Data(EUTIMES-HD)'!R3</f>
        <v>1.42507479027975</v>
      </c>
      <c r="P9" s="125">
        <f>'INPUT-Data(EUTIMES-HD)'!S3</f>
        <v>0.947440990831614</v>
      </c>
      <c r="Q9" s="125">
        <f>P9-(3*(P9-R9)/4)</f>
        <v>0.725979638589048</v>
      </c>
      <c r="R9" s="125">
        <f>'INPUT-Data(EUTIMES-HD)'!T3</f>
        <v>0.652159187841526</v>
      </c>
      <c r="S9" s="120">
        <f>'INPUT-Data(EUTIMES-HD)'!U3</f>
        <v>20</v>
      </c>
      <c r="T9" s="145">
        <v>2021</v>
      </c>
      <c r="U9" s="146">
        <v>1</v>
      </c>
      <c r="W9" t="s">
        <v>183</v>
      </c>
    </row>
    <row r="10" spans="2:20">
      <c r="B10" s="118"/>
      <c r="C10" s="119"/>
      <c r="D10" s="119" t="s">
        <v>37</v>
      </c>
      <c r="E10" s="119"/>
      <c r="F10" s="119"/>
      <c r="G10" s="122">
        <f>'INPUT-Data(EUTIMES-HD)'!K3</f>
        <v>0.236</v>
      </c>
      <c r="H10" s="121"/>
      <c r="I10" s="139"/>
      <c r="J10" s="125"/>
      <c r="K10" s="125"/>
      <c r="L10" s="125"/>
      <c r="M10" s="125"/>
      <c r="N10" s="125"/>
      <c r="O10" s="125"/>
      <c r="P10" s="125"/>
      <c r="Q10" s="125"/>
      <c r="R10" s="125"/>
      <c r="S10" s="120"/>
      <c r="T10" s="145"/>
    </row>
    <row r="11" ht="13" spans="2:20">
      <c r="B11" s="118"/>
      <c r="C11" s="119"/>
      <c r="D11" s="123" t="s">
        <v>184</v>
      </c>
      <c r="E11" s="119"/>
      <c r="F11" s="119"/>
      <c r="G11" s="124">
        <f>IF('INPUT-Data(EUTIMES-HD)'!L3=0,"",'INPUT-Data(EUTIMES-HD)'!L3)</f>
        <v>0.003</v>
      </c>
      <c r="H11" s="121"/>
      <c r="I11" s="139"/>
      <c r="J11" s="125"/>
      <c r="K11" s="125"/>
      <c r="L11" s="125"/>
      <c r="M11" s="125"/>
      <c r="N11" s="125"/>
      <c r="O11" s="125"/>
      <c r="P11" s="125"/>
      <c r="Q11" s="125"/>
      <c r="R11" s="125"/>
      <c r="S11" s="120"/>
      <c r="T11" s="145"/>
    </row>
    <row r="12" spans="2:20">
      <c r="B12" s="118"/>
      <c r="C12" s="119"/>
      <c r="D12" s="119"/>
      <c r="E12" s="119"/>
      <c r="F12" s="119" t="s">
        <v>185</v>
      </c>
      <c r="G12" s="125"/>
      <c r="H12" s="126">
        <f>'INPUT-Data(EUTIMES-HD)'!M3</f>
        <v>1</v>
      </c>
      <c r="I12" s="139"/>
      <c r="J12" s="125"/>
      <c r="K12" s="125"/>
      <c r="L12" s="125"/>
      <c r="M12" s="125"/>
      <c r="N12" s="125"/>
      <c r="O12" s="125"/>
      <c r="P12" s="125"/>
      <c r="Q12" s="125"/>
      <c r="R12" s="125"/>
      <c r="S12" s="120"/>
      <c r="T12" s="145"/>
    </row>
    <row r="13" spans="2:23">
      <c r="B13" s="127" t="s">
        <v>186</v>
      </c>
      <c r="C13" s="128" t="str">
        <f>'INPUT-Data(EUTIMES-HD)'!C4</f>
        <v>Fuel Tech - H2 Delivery from centralized production (COMP+USTOR+TR+LIQ+LSTORB+RTS+REFLG(large))</v>
      </c>
      <c r="D13" s="128" t="s">
        <v>170</v>
      </c>
      <c r="E13" s="128"/>
      <c r="F13" s="129"/>
      <c r="G13" s="130">
        <f>'INPUT-Data(EUTIMES-HD)'!J4</f>
        <v>1</v>
      </c>
      <c r="H13" s="131"/>
      <c r="I13" s="140">
        <f>'INPUT-Data(EUTIMES-HD)'!N4</f>
        <v>0.75</v>
      </c>
      <c r="J13" s="134">
        <f>'INPUT-Data(EUTIMES-HD)'!O4</f>
        <v>65.6895353947647</v>
      </c>
      <c r="K13" s="134">
        <f>J13-(3*(J13-L13)/4)</f>
        <v>50.7677530996833</v>
      </c>
      <c r="L13" s="134">
        <f>'INPUT-Data(EUTIMES-HD)'!P4</f>
        <v>45.7938256679895</v>
      </c>
      <c r="M13" s="134">
        <f>'INPUT-Data(EUTIMES-HD)'!Q4</f>
        <v>2.72397842658076</v>
      </c>
      <c r="N13" s="134">
        <f>M13-(3*(M13-O13)/4)</f>
        <v>2.10790338267181</v>
      </c>
      <c r="O13" s="134">
        <f>'INPUT-Data(EUTIMES-HD)'!R4</f>
        <v>1.90254503470216</v>
      </c>
      <c r="P13" s="134">
        <f>'INPUT-Data(EUTIMES-HD)'!S4</f>
        <v>0.343334506253001</v>
      </c>
      <c r="Q13" s="134">
        <f>P13-(3*(P13-R13)/4)</f>
        <v>0.265905862598269</v>
      </c>
      <c r="R13" s="134">
        <f>'INPUT-Data(EUTIMES-HD)'!T4</f>
        <v>0.240096314713359</v>
      </c>
      <c r="S13" s="130">
        <f>'INPUT-Data(EUTIMES-HD)'!U4</f>
        <v>20</v>
      </c>
      <c r="T13" s="145">
        <v>2021</v>
      </c>
      <c r="U13" s="146">
        <v>1</v>
      </c>
      <c r="W13" t="s">
        <v>183</v>
      </c>
    </row>
    <row r="14" spans="2:20">
      <c r="B14" s="127"/>
      <c r="C14" s="128"/>
      <c r="D14" s="128" t="s">
        <v>37</v>
      </c>
      <c r="E14" s="128"/>
      <c r="F14" s="128"/>
      <c r="G14" s="132">
        <f>'INPUT-Data(EUTIMES-HD)'!K4</f>
        <v>0.2602</v>
      </c>
      <c r="H14" s="131"/>
      <c r="I14" s="140"/>
      <c r="J14" s="134"/>
      <c r="K14" s="134"/>
      <c r="L14" s="134"/>
      <c r="M14" s="134"/>
      <c r="N14" s="134"/>
      <c r="O14" s="134"/>
      <c r="P14" s="134"/>
      <c r="Q14" s="134"/>
      <c r="R14" s="134"/>
      <c r="S14" s="130"/>
      <c r="T14" s="145"/>
    </row>
    <row r="15" ht="13" spans="2:20">
      <c r="B15" s="127"/>
      <c r="C15" s="128"/>
      <c r="D15" s="123" t="s">
        <v>184</v>
      </c>
      <c r="E15" s="128"/>
      <c r="F15" s="128"/>
      <c r="G15" s="133">
        <f>IF('INPUT-Data(EUTIMES-HD)'!L4=0,"",'INPUT-Data(EUTIMES-HD)'!L4)</f>
        <v>0.003</v>
      </c>
      <c r="H15" s="131"/>
      <c r="I15" s="140"/>
      <c r="J15" s="134"/>
      <c r="K15" s="134"/>
      <c r="L15" s="134"/>
      <c r="M15" s="134"/>
      <c r="N15" s="134"/>
      <c r="O15" s="134"/>
      <c r="P15" s="134"/>
      <c r="Q15" s="134"/>
      <c r="R15" s="134"/>
      <c r="S15" s="130"/>
      <c r="T15" s="145"/>
    </row>
    <row r="16" spans="2:20">
      <c r="B16" s="127"/>
      <c r="C16" s="128"/>
      <c r="D16" s="128"/>
      <c r="E16" s="128"/>
      <c r="F16" s="128" t="s">
        <v>187</v>
      </c>
      <c r="G16" s="134"/>
      <c r="H16" s="131">
        <f>'INPUT-Data(EUTIMES-HD)'!M4</f>
        <v>1</v>
      </c>
      <c r="I16" s="140"/>
      <c r="J16" s="134"/>
      <c r="K16" s="134"/>
      <c r="L16" s="134"/>
      <c r="M16" s="134"/>
      <c r="N16" s="134"/>
      <c r="O16" s="134"/>
      <c r="P16" s="134"/>
      <c r="Q16" s="134"/>
      <c r="R16" s="134"/>
      <c r="S16" s="130"/>
      <c r="T16" s="145"/>
    </row>
    <row r="17" spans="2:23">
      <c r="B17" s="119" t="str">
        <f>'INPUT-Data(EUTIMES-HD)'!B5</f>
        <v>TRALH2C02</v>
      </c>
      <c r="C17" s="119" t="str">
        <f>'INPUT-Data(EUTIMES-HD)'!C5</f>
        <v>Fuel Tech - H2 Delivery from centralized production (COMP+TR+LIQ+LSTORB+RTS+REFLL(large))</v>
      </c>
      <c r="D17" s="119" t="s">
        <v>44</v>
      </c>
      <c r="E17" s="119"/>
      <c r="G17" s="120">
        <f>'INPUT-Data(EUTIMES-HD)'!J5</f>
        <v>1</v>
      </c>
      <c r="H17" s="126"/>
      <c r="I17" s="139">
        <f>'INPUT-Data(EUTIMES-HD)'!N5</f>
        <v>0.75</v>
      </c>
      <c r="J17" s="125">
        <f>'INPUT-Data(EUTIMES-HD)'!O5</f>
        <v>38.7130049443045</v>
      </c>
      <c r="K17" s="125">
        <f>J17-(3*(J17-L17)/4)</f>
        <v>30.2230402977164</v>
      </c>
      <c r="L17" s="125">
        <f>'INPUT-Data(EUTIMES-HD)'!P5</f>
        <v>27.393052082187</v>
      </c>
      <c r="M17" s="125">
        <f>'INPUT-Data(EUTIMES-HD)'!Q5</f>
        <v>2.02398119397593</v>
      </c>
      <c r="N17" s="125">
        <f>M17-(3*(M17-O17)/4)</f>
        <v>1.5748013912038</v>
      </c>
      <c r="O17" s="125">
        <f>'INPUT-Data(EUTIMES-HD)'!R5</f>
        <v>1.42507479027975</v>
      </c>
      <c r="P17" s="125">
        <f>'INPUT-Data(EUTIMES-HD)'!S5</f>
        <v>0.947440990831614</v>
      </c>
      <c r="Q17" s="125">
        <f>P17-(3*(P17-R17)/4)</f>
        <v>0.725979638589048</v>
      </c>
      <c r="R17" s="125">
        <f>'INPUT-Data(EUTIMES-HD)'!T5</f>
        <v>0.652159187841526</v>
      </c>
      <c r="S17" s="120">
        <f>'INPUT-Data(EUTIMES-HD)'!U5</f>
        <v>20</v>
      </c>
      <c r="T17" s="145">
        <v>2021</v>
      </c>
      <c r="U17" s="146">
        <v>1</v>
      </c>
      <c r="W17" t="s">
        <v>188</v>
      </c>
    </row>
    <row r="18" spans="2:20">
      <c r="B18" s="119"/>
      <c r="C18" s="119"/>
      <c r="D18" s="119" t="s">
        <v>37</v>
      </c>
      <c r="E18" s="119"/>
      <c r="F18" s="119"/>
      <c r="G18" s="122">
        <f>'INPUT-Data(EUTIMES-HD)'!K5</f>
        <v>0.236</v>
      </c>
      <c r="H18" s="126"/>
      <c r="I18" s="139"/>
      <c r="J18" s="125"/>
      <c r="K18" s="125"/>
      <c r="L18" s="125"/>
      <c r="M18" s="125"/>
      <c r="N18" s="125"/>
      <c r="O18" s="125"/>
      <c r="P18" s="125"/>
      <c r="Q18" s="125"/>
      <c r="R18" s="125"/>
      <c r="S18" s="120"/>
      <c r="T18" s="145"/>
    </row>
    <row r="19" ht="13" spans="2:20">
      <c r="B19" s="119"/>
      <c r="C19" s="119"/>
      <c r="D19" s="123" t="s">
        <v>184</v>
      </c>
      <c r="E19" s="119"/>
      <c r="F19" s="119"/>
      <c r="G19" s="124">
        <f>IF('INPUT-Data(EUTIMES-HD)'!L5=0,"",'INPUT-Data(EUTIMES-HD)'!L5)</f>
        <v>0.003</v>
      </c>
      <c r="H19" s="126"/>
      <c r="I19" s="139"/>
      <c r="J19" s="125"/>
      <c r="K19" s="125"/>
      <c r="L19" s="125"/>
      <c r="M19" s="125"/>
      <c r="N19" s="125"/>
      <c r="O19" s="125"/>
      <c r="P19" s="125"/>
      <c r="Q19" s="125"/>
      <c r="R19" s="125"/>
      <c r="S19" s="120"/>
      <c r="T19" s="145"/>
    </row>
    <row r="20" spans="2:20">
      <c r="B20" s="119"/>
      <c r="C20" s="119"/>
      <c r="D20" s="119"/>
      <c r="E20" s="119"/>
      <c r="F20" s="119" t="s">
        <v>185</v>
      </c>
      <c r="G20" s="125"/>
      <c r="H20" s="126">
        <f>'INPUT-Data(EUTIMES-HD)'!M5</f>
        <v>1</v>
      </c>
      <c r="I20" s="139"/>
      <c r="J20" s="125"/>
      <c r="K20" s="125"/>
      <c r="L20" s="125"/>
      <c r="M20" s="125"/>
      <c r="N20" s="125"/>
      <c r="O20" s="125"/>
      <c r="P20" s="125"/>
      <c r="Q20" s="125"/>
      <c r="R20" s="125"/>
      <c r="S20" s="120"/>
      <c r="T20" s="145"/>
    </row>
    <row r="21" spans="2:23">
      <c r="B21" s="128" t="str">
        <f>'INPUT-Data(EUTIMES-HD)'!B6</f>
        <v>TRAGH2C02</v>
      </c>
      <c r="C21" s="128" t="str">
        <f>'INPUT-Data(EUTIMES-HD)'!C6</f>
        <v>Fuel Tech - H2 Delivery from centralized production (COMP+TR+LIQ+LSTORB+RTS+REFLG(large))</v>
      </c>
      <c r="D21" s="128" t="s">
        <v>44</v>
      </c>
      <c r="E21" s="128"/>
      <c r="F21" s="129"/>
      <c r="G21" s="130">
        <f>'INPUT-Data(EUTIMES-HD)'!J6</f>
        <v>1</v>
      </c>
      <c r="H21" s="131"/>
      <c r="I21" s="140">
        <f>'INPUT-Data(EUTIMES-HD)'!N6</f>
        <v>0.75</v>
      </c>
      <c r="J21" s="134">
        <f>'INPUT-Data(EUTIMES-HD)'!O6</f>
        <v>65.6895353947647</v>
      </c>
      <c r="K21" s="134">
        <f>J21-(3*(J21-L21)/4)</f>
        <v>50.7677530996833</v>
      </c>
      <c r="L21" s="134">
        <f>'INPUT-Data(EUTIMES-HD)'!P6</f>
        <v>45.7938256679895</v>
      </c>
      <c r="M21" s="134">
        <f>'INPUT-Data(EUTIMES-HD)'!Q6</f>
        <v>2.72397842658076</v>
      </c>
      <c r="N21" s="134">
        <f>M21-(3*(M21-O21)/4)</f>
        <v>2.10790338267181</v>
      </c>
      <c r="O21" s="134">
        <f>'INPUT-Data(EUTIMES-HD)'!R6</f>
        <v>1.90254503470216</v>
      </c>
      <c r="P21" s="134">
        <f>'INPUT-Data(EUTIMES-HD)'!S6</f>
        <v>0.343334506253001</v>
      </c>
      <c r="Q21" s="134">
        <f>P21-(3*(P21-R21)/4)</f>
        <v>0.265905862598269</v>
      </c>
      <c r="R21" s="134">
        <f>'INPUT-Data(EUTIMES-HD)'!T6</f>
        <v>0.240096314713359</v>
      </c>
      <c r="S21" s="130">
        <f>'INPUT-Data(EUTIMES-HD)'!U6</f>
        <v>20</v>
      </c>
      <c r="T21" s="145">
        <v>2021</v>
      </c>
      <c r="U21" s="146">
        <v>1</v>
      </c>
      <c r="W21" t="s">
        <v>188</v>
      </c>
    </row>
    <row r="22" spans="2:20">
      <c r="B22" s="128"/>
      <c r="C22" s="128"/>
      <c r="D22" s="128" t="s">
        <v>37</v>
      </c>
      <c r="E22" s="128"/>
      <c r="F22" s="128"/>
      <c r="G22" s="132">
        <f>'INPUT-Data(EUTIMES-HD)'!K6</f>
        <v>0.2602</v>
      </c>
      <c r="H22" s="131"/>
      <c r="I22" s="140"/>
      <c r="J22" s="134"/>
      <c r="K22" s="134"/>
      <c r="L22" s="134"/>
      <c r="M22" s="134"/>
      <c r="N22" s="134"/>
      <c r="O22" s="134"/>
      <c r="P22" s="134"/>
      <c r="Q22" s="134"/>
      <c r="R22" s="134"/>
      <c r="S22" s="130"/>
      <c r="T22" s="145"/>
    </row>
    <row r="23" ht="13" spans="2:20">
      <c r="B23" s="128"/>
      <c r="C23" s="128"/>
      <c r="D23" s="123" t="s">
        <v>184</v>
      </c>
      <c r="E23" s="128"/>
      <c r="F23" s="128"/>
      <c r="G23" s="133">
        <f>IF('INPUT-Data(EUTIMES-HD)'!L6=0,"",'INPUT-Data(EUTIMES-HD)'!L6)</f>
        <v>0.003</v>
      </c>
      <c r="H23" s="131"/>
      <c r="I23" s="140"/>
      <c r="J23" s="134"/>
      <c r="K23" s="134"/>
      <c r="L23" s="134"/>
      <c r="M23" s="134"/>
      <c r="N23" s="134"/>
      <c r="O23" s="134"/>
      <c r="P23" s="134"/>
      <c r="Q23" s="134"/>
      <c r="R23" s="134"/>
      <c r="S23" s="130"/>
      <c r="T23" s="145"/>
    </row>
    <row r="24" spans="2:20">
      <c r="B24" s="128"/>
      <c r="C24" s="128"/>
      <c r="D24" s="128"/>
      <c r="E24" s="128"/>
      <c r="F24" s="128" t="s">
        <v>187</v>
      </c>
      <c r="G24" s="134"/>
      <c r="H24" s="131">
        <f>'INPUT-Data(EUTIMES-HD)'!M6</f>
        <v>1</v>
      </c>
      <c r="I24" s="140"/>
      <c r="J24" s="134"/>
      <c r="K24" s="134"/>
      <c r="L24" s="134"/>
      <c r="M24" s="134"/>
      <c r="N24" s="134"/>
      <c r="O24" s="134"/>
      <c r="P24" s="134"/>
      <c r="Q24" s="134"/>
      <c r="R24" s="134"/>
      <c r="S24" s="130"/>
      <c r="T24" s="145"/>
    </row>
    <row r="25" spans="2:23">
      <c r="B25" s="119" t="str">
        <f>'INPUT-Data(EUTIMES-HD)'!B7</f>
        <v>INDGH2C01</v>
      </c>
      <c r="C25" s="119" t="str">
        <f>'INPUT-Data(EUTIMES-HD)'!C7</f>
        <v>Fuel Tech - H2 Delivery from centralized production (COMP+TR+DP - Industrial)</v>
      </c>
      <c r="D25" s="119" t="s">
        <v>44</v>
      </c>
      <c r="E25" s="119"/>
      <c r="G25" s="120">
        <f>'INPUT-Data(EUTIMES-HD)'!J7</f>
        <v>1</v>
      </c>
      <c r="H25" s="126"/>
      <c r="I25" s="139">
        <f>'INPUT-Data(EUTIMES-HD)'!N7</f>
        <v>0.7</v>
      </c>
      <c r="J25" s="125">
        <f>'INPUT-Data(EUTIMES-HD)'!O7</f>
        <v>34.0384408615258</v>
      </c>
      <c r="K25" s="125">
        <f>J25-(3*(J25-L25)/4)</f>
        <v>31.2275679681129</v>
      </c>
      <c r="L25" s="125">
        <f>'INPUT-Data(EUTIMES-HD)'!P7</f>
        <v>30.2906103369753</v>
      </c>
      <c r="M25" s="125">
        <f>'INPUT-Data(EUTIMES-HD)'!Q7</f>
        <v>1.78135170014138</v>
      </c>
      <c r="N25" s="125">
        <f>M25-(3*(M25-O25)/4)</f>
        <v>1.62032341090441</v>
      </c>
      <c r="O25" s="125">
        <f>'INPUT-Data(EUTIMES-HD)'!R7</f>
        <v>1.56664731449208</v>
      </c>
      <c r="P25" s="125">
        <f>'INPUT-Data(EUTIMES-HD)'!S7</f>
        <v>0.360000020229396</v>
      </c>
      <c r="Q25" s="125">
        <f>P25-(3*(P25-R25)/4)</f>
        <v>0.32643760420854</v>
      </c>
      <c r="R25" s="125">
        <f>'INPUT-Data(EUTIMES-HD)'!T7</f>
        <v>0.315250132201588</v>
      </c>
      <c r="S25" s="120">
        <f>'INPUT-Data(EUTIMES-HD)'!U7</f>
        <v>20</v>
      </c>
      <c r="T25" s="145">
        <v>2021</v>
      </c>
      <c r="U25" s="146">
        <v>1</v>
      </c>
      <c r="W25" t="s">
        <v>189</v>
      </c>
    </row>
    <row r="26" spans="2:20">
      <c r="B26" s="119"/>
      <c r="C26" s="119"/>
      <c r="D26" s="119" t="s">
        <v>37</v>
      </c>
      <c r="E26" s="119"/>
      <c r="F26" s="119"/>
      <c r="G26" s="122">
        <f>'INPUT-Data(EUTIMES-HD)'!K7</f>
        <v>0.066</v>
      </c>
      <c r="H26" s="126"/>
      <c r="I26" s="139"/>
      <c r="J26" s="125"/>
      <c r="K26" s="125"/>
      <c r="L26" s="125"/>
      <c r="M26" s="125"/>
      <c r="N26" s="125"/>
      <c r="O26" s="125"/>
      <c r="P26" s="125"/>
      <c r="Q26" s="125"/>
      <c r="R26" s="125"/>
      <c r="S26" s="120"/>
      <c r="T26" s="145"/>
    </row>
    <row r="27" spans="2:20">
      <c r="B27" s="119"/>
      <c r="C27" s="119"/>
      <c r="D27" s="119"/>
      <c r="E27" s="119"/>
      <c r="F27" s="119" t="s">
        <v>190</v>
      </c>
      <c r="G27" s="125"/>
      <c r="H27" s="126">
        <f>'INPUT-Data(EUTIMES-HD)'!M4</f>
        <v>1</v>
      </c>
      <c r="I27" s="139"/>
      <c r="J27" s="125"/>
      <c r="K27" s="125"/>
      <c r="L27" s="125"/>
      <c r="M27" s="125"/>
      <c r="N27" s="125"/>
      <c r="O27" s="125"/>
      <c r="P27" s="125"/>
      <c r="Q27" s="125"/>
      <c r="R27" s="125"/>
      <c r="S27" s="120"/>
      <c r="T27" s="145"/>
    </row>
    <row r="28" spans="2:23">
      <c r="B28" s="119" t="str">
        <f>'INPUT-Data(EUTIMES-HD)'!B8</f>
        <v>RSDGH2C01</v>
      </c>
      <c r="C28" s="119" t="str">
        <f>'INPUT-Data(EUTIMES-HD)'!C8</f>
        <v>Fuel Tech - H2 Delivery from centralized production (COMP+TR+DP - Residential)</v>
      </c>
      <c r="D28" s="119" t="s">
        <v>44</v>
      </c>
      <c r="E28" s="119"/>
      <c r="G28" s="120">
        <f>'INPUT-Data(EUTIMES-HD)'!J8</f>
        <v>1</v>
      </c>
      <c r="H28" s="126"/>
      <c r="I28" s="139">
        <f>'INPUT-Data(EUTIMES-HD)'!N8</f>
        <v>0.7</v>
      </c>
      <c r="J28" s="125">
        <f>'INPUT-Data(EUTIMES-HD)'!O8</f>
        <v>34.0384408615258</v>
      </c>
      <c r="K28" s="125">
        <f>J28-(3*(J28-L28)/4)</f>
        <v>31.2275679681129</v>
      </c>
      <c r="L28" s="125">
        <f>'INPUT-Data(EUTIMES-HD)'!P8</f>
        <v>30.2906103369753</v>
      </c>
      <c r="M28" s="125">
        <f>'INPUT-Data(EUTIMES-HD)'!Q8</f>
        <v>1.78135170014138</v>
      </c>
      <c r="N28" s="125">
        <f>M28-(3*(M28-O28)/4)</f>
        <v>1.62032341090441</v>
      </c>
      <c r="O28" s="125">
        <f>'INPUT-Data(EUTIMES-HD)'!R8</f>
        <v>1.56664731449208</v>
      </c>
      <c r="P28" s="125">
        <f>'INPUT-Data(EUTIMES-HD)'!S8</f>
        <v>0.360000020229396</v>
      </c>
      <c r="Q28" s="125">
        <f>P28-(3*(P28-R28)/4)</f>
        <v>0.32643760420854</v>
      </c>
      <c r="R28" s="125">
        <f>'INPUT-Data(EUTIMES-HD)'!T8</f>
        <v>0.315250132201588</v>
      </c>
      <c r="S28" s="120">
        <f>'INPUT-Data(EUTIMES-HD)'!U8</f>
        <v>20</v>
      </c>
      <c r="T28" s="145">
        <v>2021</v>
      </c>
      <c r="U28" s="146">
        <v>1</v>
      </c>
      <c r="W28" t="s">
        <v>189</v>
      </c>
    </row>
    <row r="29" spans="2:20">
      <c r="B29" s="119"/>
      <c r="C29" s="119"/>
      <c r="D29" s="119" t="s">
        <v>37</v>
      </c>
      <c r="E29" s="119"/>
      <c r="F29" s="119"/>
      <c r="G29" s="122">
        <f>'INPUT-Data(EUTIMES-HD)'!K8</f>
        <v>0.066</v>
      </c>
      <c r="H29" s="126"/>
      <c r="I29" s="139"/>
      <c r="J29" s="125"/>
      <c r="K29" s="125"/>
      <c r="L29" s="125"/>
      <c r="M29" s="125"/>
      <c r="N29" s="125"/>
      <c r="O29" s="125"/>
      <c r="P29" s="125"/>
      <c r="Q29" s="125"/>
      <c r="R29" s="125"/>
      <c r="S29" s="120"/>
      <c r="T29" s="145"/>
    </row>
    <row r="30" spans="2:20">
      <c r="B30" s="119"/>
      <c r="C30" s="119"/>
      <c r="D30" s="119"/>
      <c r="E30" s="119"/>
      <c r="F30" s="119" t="s">
        <v>191</v>
      </c>
      <c r="G30" s="125"/>
      <c r="H30" s="126">
        <f>'INPUT-Data(EUTIMES-HD)'!M8</f>
        <v>1</v>
      </c>
      <c r="I30" s="139"/>
      <c r="J30" s="125"/>
      <c r="K30" s="125"/>
      <c r="L30" s="125"/>
      <c r="M30" s="125"/>
      <c r="N30" s="125"/>
      <c r="O30" s="125"/>
      <c r="P30" s="125"/>
      <c r="Q30" s="125"/>
      <c r="R30" s="125"/>
      <c r="S30" s="120"/>
      <c r="T30" s="145"/>
    </row>
    <row r="31" spans="2:23">
      <c r="B31" s="128" t="str">
        <f>'INPUT-Data(EUTIMES-HD)'!B9</f>
        <v>TRAGH2C03</v>
      </c>
      <c r="C31" s="128" t="str">
        <f>'INPUT-Data(EUTIMES-HD)'!C9</f>
        <v>Fuel Tech - H2 Delivery from centralized production (COMP+TR+DP+REFGG(large))</v>
      </c>
      <c r="D31" s="128" t="s">
        <v>44</v>
      </c>
      <c r="E31" s="128"/>
      <c r="F31" s="129"/>
      <c r="G31" s="130">
        <f>'INPUT-Data(EUTIMES-HD)'!J9</f>
        <v>1</v>
      </c>
      <c r="H31" s="131"/>
      <c r="I31" s="140">
        <f>'INPUT-Data(EUTIMES-HD)'!N9</f>
        <v>0.7</v>
      </c>
      <c r="J31" s="134">
        <f>'INPUT-Data(EUTIMES-HD)'!O9</f>
        <v>80.5483137934968</v>
      </c>
      <c r="K31" s="134">
        <f>J31-(3*(J31-L31)/4)</f>
        <v>66.6484306916592</v>
      </c>
      <c r="L31" s="134">
        <f>'INPUT-Data(EUTIMES-HD)'!P9</f>
        <v>62.01513632438</v>
      </c>
      <c r="M31" s="134">
        <f>'INPUT-Data(EUTIMES-HD)'!Q9</f>
        <v>5.78284963073464</v>
      </c>
      <c r="N31" s="134">
        <f>M31-(3*(M31-O31)/4)</f>
        <v>4.66777333826528</v>
      </c>
      <c r="O31" s="134">
        <f>'INPUT-Data(EUTIMES-HD)'!R9</f>
        <v>4.2960812407755</v>
      </c>
      <c r="P31" s="134">
        <f>'INPUT-Data(EUTIMES-HD)'!S9</f>
        <v>0.549317120815002</v>
      </c>
      <c r="Q31" s="134">
        <f>P31-(3*(P31-R31)/4)</f>
        <v>0.47061720755579</v>
      </c>
      <c r="R31" s="134">
        <f>'INPUT-Data(EUTIMES-HD)'!T9</f>
        <v>0.444383903136052</v>
      </c>
      <c r="S31" s="130">
        <f>'INPUT-Data(EUTIMES-HD)'!U9</f>
        <v>20</v>
      </c>
      <c r="T31" s="145">
        <v>2021</v>
      </c>
      <c r="U31" s="146">
        <v>1</v>
      </c>
      <c r="W31" t="s">
        <v>189</v>
      </c>
    </row>
    <row r="32" spans="2:20">
      <c r="B32" s="128"/>
      <c r="C32" s="128"/>
      <c r="D32" s="128" t="s">
        <v>37</v>
      </c>
      <c r="E32" s="128"/>
      <c r="F32" s="128"/>
      <c r="G32" s="132">
        <f>'INPUT-Data(EUTIMES-HD)'!K9</f>
        <v>0.0902</v>
      </c>
      <c r="H32" s="131"/>
      <c r="I32" s="140"/>
      <c r="J32" s="134"/>
      <c r="K32" s="134"/>
      <c r="L32" s="134"/>
      <c r="M32" s="134"/>
      <c r="N32" s="134"/>
      <c r="O32" s="134"/>
      <c r="P32" s="134"/>
      <c r="Q32" s="134"/>
      <c r="R32" s="134"/>
      <c r="S32" s="130"/>
      <c r="T32" s="145"/>
    </row>
    <row r="33" spans="2:20">
      <c r="B33" s="128"/>
      <c r="C33" s="128"/>
      <c r="D33" s="128"/>
      <c r="E33" s="128"/>
      <c r="F33" s="128" t="s">
        <v>187</v>
      </c>
      <c r="G33" s="134"/>
      <c r="H33" s="131">
        <f>'INPUT-Data(EUTIMES-HD)'!M9</f>
        <v>1</v>
      </c>
      <c r="I33" s="140"/>
      <c r="J33" s="134"/>
      <c r="K33" s="134"/>
      <c r="L33" s="134"/>
      <c r="M33" s="134"/>
      <c r="N33" s="134"/>
      <c r="O33" s="134"/>
      <c r="P33" s="134"/>
      <c r="Q33" s="134"/>
      <c r="R33" s="134"/>
      <c r="S33" s="130"/>
      <c r="T33" s="145"/>
    </row>
    <row r="34" spans="2:23">
      <c r="B34" s="119" t="str">
        <f>'INPUT-Data(EUTIMES-HD)'!B10</f>
        <v>TRAGH2C04</v>
      </c>
      <c r="C34" s="119" t="str">
        <f>'INPUT-Data(EUTIMES-HD)'!C10</f>
        <v>Fuel Tech - H2 Delivery from centralized production (COMP+USTOR+TR+GSTORB+RTS+REFGG (small))</v>
      </c>
      <c r="D34" s="119" t="s">
        <v>170</v>
      </c>
      <c r="E34" s="119"/>
      <c r="G34" s="120">
        <f>'INPUT-Data(EUTIMES-HD)'!J10</f>
        <v>1</v>
      </c>
      <c r="H34" s="126"/>
      <c r="I34" s="139">
        <f>'INPUT-Data(EUTIMES-HD)'!N10</f>
        <v>0.8</v>
      </c>
      <c r="J34" s="125">
        <f>'INPUT-Data(EUTIMES-HD)'!O10</f>
        <v>65.997865718856</v>
      </c>
      <c r="K34" s="125">
        <f>J34-(3*(J34-L34)/4)</f>
        <v>51.8698206964563</v>
      </c>
      <c r="L34" s="125">
        <f>'INPUT-Data(EUTIMES-HD)'!P10</f>
        <v>47.1604723556564</v>
      </c>
      <c r="M34" s="125">
        <f>'INPUT-Data(EUTIMES-HD)'!Q10</f>
        <v>5.02041031618602</v>
      </c>
      <c r="N34" s="125">
        <f>M34-(3*(M34-O34)/4)</f>
        <v>3.90176322283852</v>
      </c>
      <c r="O34" s="125">
        <f>'INPUT-Data(EUTIMES-HD)'!R10</f>
        <v>3.52888085838935</v>
      </c>
      <c r="P34" s="125">
        <f>'INPUT-Data(EUTIMES-HD)'!S10</f>
        <v>0.270052285355869</v>
      </c>
      <c r="Q34" s="125">
        <f>P34-(3*(P34-R34)/4)</f>
        <v>0.212119527039659</v>
      </c>
      <c r="R34" s="125">
        <f>'INPUT-Data(EUTIMES-HD)'!T10</f>
        <v>0.192808607600923</v>
      </c>
      <c r="S34" s="120">
        <f>'INPUT-Data(EUTIMES-HD)'!U10</f>
        <v>20</v>
      </c>
      <c r="T34" s="145">
        <v>2021</v>
      </c>
      <c r="U34" s="146">
        <v>1</v>
      </c>
      <c r="W34" t="s">
        <v>192</v>
      </c>
    </row>
    <row r="35" spans="2:20">
      <c r="B35" s="119"/>
      <c r="C35" s="119"/>
      <c r="D35" s="119" t="s">
        <v>37</v>
      </c>
      <c r="E35" s="119"/>
      <c r="F35" s="119"/>
      <c r="G35" s="122">
        <f>'INPUT-Data(EUTIMES-HD)'!K10</f>
        <v>0.07332</v>
      </c>
      <c r="H35" s="126"/>
      <c r="I35" s="139"/>
      <c r="J35" s="125"/>
      <c r="K35" s="125"/>
      <c r="L35" s="125"/>
      <c r="M35" s="125"/>
      <c r="N35" s="125"/>
      <c r="O35" s="125"/>
      <c r="P35" s="125"/>
      <c r="Q35" s="125"/>
      <c r="R35" s="125"/>
      <c r="S35" s="120"/>
      <c r="T35" s="145"/>
    </row>
    <row r="36" ht="13" spans="2:20">
      <c r="B36" s="119"/>
      <c r="C36" s="119"/>
      <c r="D36" s="123" t="s">
        <v>184</v>
      </c>
      <c r="E36" s="119"/>
      <c r="F36" s="119"/>
      <c r="G36" s="124">
        <f>IF('INPUT-Data(EUTIMES-HD)'!L10=0,"",'INPUT-Data(EUTIMES-HD)'!L10)</f>
        <v>0.003</v>
      </c>
      <c r="I36" s="139"/>
      <c r="J36" s="125"/>
      <c r="K36" s="125"/>
      <c r="L36" s="125"/>
      <c r="M36" s="125"/>
      <c r="N36" s="125"/>
      <c r="O36" s="125"/>
      <c r="P36" s="125"/>
      <c r="Q36" s="125"/>
      <c r="R36" s="125"/>
      <c r="S36" s="120"/>
      <c r="T36" s="145"/>
    </row>
    <row r="37" spans="2:20">
      <c r="B37" s="119"/>
      <c r="C37" s="119"/>
      <c r="D37" s="119"/>
      <c r="E37" s="119"/>
      <c r="F37" s="119" t="s">
        <v>187</v>
      </c>
      <c r="G37" s="125"/>
      <c r="H37" s="126">
        <f>'INPUT-Data(EUTIMES-HD)'!M10</f>
        <v>1</v>
      </c>
      <c r="I37" s="139"/>
      <c r="J37" s="125"/>
      <c r="K37" s="125"/>
      <c r="L37" s="125"/>
      <c r="M37" s="125"/>
      <c r="N37" s="125"/>
      <c r="O37" s="125"/>
      <c r="P37" s="125"/>
      <c r="Q37" s="125"/>
      <c r="R37" s="125"/>
      <c r="S37" s="120"/>
      <c r="T37" s="145"/>
    </row>
    <row r="38" spans="2:23">
      <c r="B38" s="127" t="s">
        <v>193</v>
      </c>
      <c r="C38" s="128" t="str">
        <f>'INPUT-Data(EUTIMES-HD)'!C11</f>
        <v>Fuel Tech - H2 Delivery from centralized production (COMP+USTOR+TR+DP - Residential)</v>
      </c>
      <c r="D38" s="128" t="s">
        <v>170</v>
      </c>
      <c r="E38" s="128"/>
      <c r="F38" s="129"/>
      <c r="G38" s="130">
        <f>'INPUT-Data(EUTIMES-HD)'!J11</f>
        <v>1</v>
      </c>
      <c r="H38" s="131"/>
      <c r="I38" s="140">
        <f>'INPUT-Data(EUTIMES-HD)'!N11</f>
        <v>0.7</v>
      </c>
      <c r="J38" s="134">
        <f>'INPUT-Data(EUTIMES-HD)'!O11</f>
        <v>34.0384408615258</v>
      </c>
      <c r="K38" s="134">
        <f>J38-(3*(J38-L38)/4)</f>
        <v>31.2275679681129</v>
      </c>
      <c r="L38" s="134">
        <f>'INPUT-Data(EUTIMES-HD)'!P11</f>
        <v>30.2906103369753</v>
      </c>
      <c r="M38" s="134">
        <f>'INPUT-Data(EUTIMES-HD)'!Q11</f>
        <v>1.78135170014138</v>
      </c>
      <c r="N38" s="134">
        <f>M38-(3*(M38-O38)/4)</f>
        <v>1.62032341090441</v>
      </c>
      <c r="O38" s="134">
        <f>'INPUT-Data(EUTIMES-HD)'!R11</f>
        <v>1.56664731449208</v>
      </c>
      <c r="P38" s="134">
        <f>'INPUT-Data(EUTIMES-HD)'!S11</f>
        <v>0.360000020229396</v>
      </c>
      <c r="Q38" s="134">
        <f>P38-(3*(P38-R38)/4)</f>
        <v>0.32643760420854</v>
      </c>
      <c r="R38" s="134">
        <f>'INPUT-Data(EUTIMES-HD)'!T11</f>
        <v>0.315250132201588</v>
      </c>
      <c r="S38" s="130">
        <f>'INPUT-Data(EUTIMES-HD)'!U11</f>
        <v>20</v>
      </c>
      <c r="T38" s="145">
        <v>2021</v>
      </c>
      <c r="U38" s="146">
        <v>1</v>
      </c>
      <c r="W38" t="s">
        <v>189</v>
      </c>
    </row>
    <row r="39" spans="2:20">
      <c r="B39" s="127"/>
      <c r="C39" s="128"/>
      <c r="D39" s="128" t="s">
        <v>37</v>
      </c>
      <c r="E39" s="128"/>
      <c r="F39" s="128"/>
      <c r="G39" s="132">
        <f>'INPUT-Data(EUTIMES-HD)'!K11</f>
        <v>0.066</v>
      </c>
      <c r="H39" s="131"/>
      <c r="I39" s="140"/>
      <c r="J39" s="134"/>
      <c r="K39" s="134"/>
      <c r="L39" s="134"/>
      <c r="M39" s="134"/>
      <c r="N39" s="134"/>
      <c r="O39" s="134"/>
      <c r="P39" s="134"/>
      <c r="Q39" s="134"/>
      <c r="R39" s="134"/>
      <c r="S39" s="130"/>
      <c r="T39" s="145"/>
    </row>
    <row r="40" spans="2:20">
      <c r="B40" s="127"/>
      <c r="C40" s="128"/>
      <c r="D40" s="128"/>
      <c r="E40" s="128"/>
      <c r="F40" s="128" t="s">
        <v>191</v>
      </c>
      <c r="G40" s="134"/>
      <c r="H40" s="131">
        <f>'INPUT-Data(EUTIMES-HD)'!M11</f>
        <v>1</v>
      </c>
      <c r="I40" s="140"/>
      <c r="J40" s="134"/>
      <c r="K40" s="134"/>
      <c r="L40" s="134"/>
      <c r="M40" s="134"/>
      <c r="N40" s="134"/>
      <c r="O40" s="134"/>
      <c r="P40" s="134"/>
      <c r="Q40" s="134"/>
      <c r="R40" s="134"/>
      <c r="S40" s="130"/>
      <c r="T40" s="145"/>
    </row>
    <row r="41" spans="2:23">
      <c r="B41" s="118" t="s">
        <v>194</v>
      </c>
      <c r="C41" s="119" t="str">
        <f>'INPUT-Data(EUTIMES-HD)'!C12</f>
        <v>Fuel Tech - H2 Delivery from centralized production (COMP+USTOR+TR+DP+REFGG(large))</v>
      </c>
      <c r="D41" s="119" t="s">
        <v>170</v>
      </c>
      <c r="E41" s="119"/>
      <c r="G41" s="120">
        <f>'INPUT-Data(EUTIMES-HD)'!J12</f>
        <v>1</v>
      </c>
      <c r="H41" s="126"/>
      <c r="I41" s="139">
        <f>'INPUT-Data(EUTIMES-HD)'!N12</f>
        <v>0.7</v>
      </c>
      <c r="J41" s="125">
        <f>'INPUT-Data(EUTIMES-HD)'!O12</f>
        <v>80.5483137934968</v>
      </c>
      <c r="K41" s="125">
        <f>J41-(3*(J41-L41)/4)</f>
        <v>66.6484306916592</v>
      </c>
      <c r="L41" s="125">
        <f>'INPUT-Data(EUTIMES-HD)'!P12</f>
        <v>62.01513632438</v>
      </c>
      <c r="M41" s="125">
        <f>'INPUT-Data(EUTIMES-HD)'!Q12</f>
        <v>5.78284963073464</v>
      </c>
      <c r="N41" s="125">
        <f>M41-(3*(M41-O41)/4)</f>
        <v>4.66777333826528</v>
      </c>
      <c r="O41" s="125">
        <f>'INPUT-Data(EUTIMES-HD)'!R12</f>
        <v>4.2960812407755</v>
      </c>
      <c r="P41" s="125">
        <f>'INPUT-Data(EUTIMES-HD)'!S12</f>
        <v>0.549317120815002</v>
      </c>
      <c r="Q41" s="125">
        <f>P41-(3*(P41-R41)/4)</f>
        <v>0.47061720755579</v>
      </c>
      <c r="R41" s="125">
        <f>'INPUT-Data(EUTIMES-HD)'!T12</f>
        <v>0.444383903136052</v>
      </c>
      <c r="S41" s="120">
        <f>'INPUT-Data(EUTIMES-HD)'!U12</f>
        <v>20</v>
      </c>
      <c r="T41" s="145">
        <v>2021</v>
      </c>
      <c r="U41" s="146">
        <v>1</v>
      </c>
      <c r="W41" t="s">
        <v>189</v>
      </c>
    </row>
    <row r="42" spans="2:20">
      <c r="B42" s="118"/>
      <c r="C42" s="119"/>
      <c r="D42" s="119" t="s">
        <v>37</v>
      </c>
      <c r="E42" s="119"/>
      <c r="F42" s="119"/>
      <c r="G42" s="122">
        <f>'INPUT-Data(EUTIMES-HD)'!K12</f>
        <v>0.0902</v>
      </c>
      <c r="H42" s="126"/>
      <c r="I42" s="139"/>
      <c r="J42" s="125"/>
      <c r="K42" s="125"/>
      <c r="L42" s="125"/>
      <c r="M42" s="125"/>
      <c r="N42" s="125"/>
      <c r="O42" s="125"/>
      <c r="P42" s="125"/>
      <c r="Q42" s="125"/>
      <c r="R42" s="125"/>
      <c r="S42" s="120"/>
      <c r="T42" s="145"/>
    </row>
    <row r="43" spans="2:20">
      <c r="B43" s="135"/>
      <c r="C43" s="136"/>
      <c r="D43" s="136"/>
      <c r="E43" s="136"/>
      <c r="F43" s="136" t="s">
        <v>187</v>
      </c>
      <c r="G43" s="137"/>
      <c r="H43" s="138">
        <f>'INPUT-Data(EUTIMES-HD)'!M12</f>
        <v>1</v>
      </c>
      <c r="I43" s="141"/>
      <c r="J43" s="137"/>
      <c r="K43" s="137"/>
      <c r="L43" s="137"/>
      <c r="M43" s="137"/>
      <c r="N43" s="137"/>
      <c r="O43" s="137"/>
      <c r="P43" s="137"/>
      <c r="Q43" s="137"/>
      <c r="R43" s="137"/>
      <c r="S43" s="147"/>
      <c r="T43" s="145"/>
    </row>
    <row r="44" spans="2:23">
      <c r="B44" s="128" t="str">
        <f>'INPUT-Data(EUTIMES-HD)'!B13</f>
        <v>RSDGASH2C01</v>
      </c>
      <c r="C44" s="128" t="str">
        <f>'INPUT-Data(EUTIMES-HD)'!C13</f>
        <v>Fuel Tech - H2 Delivery from centralized production to blending (COMP+USTOR+TR+BLENDING+(nocosNATGASINF))-RSD</v>
      </c>
      <c r="D44" s="128" t="s">
        <v>110</v>
      </c>
      <c r="E44" s="128"/>
      <c r="F44" s="129"/>
      <c r="G44" s="131">
        <v>0.95</v>
      </c>
      <c r="H44" s="131"/>
      <c r="I44" s="140">
        <f>'INPUT-Data(EUTIMES-HD)'!N13</f>
        <v>0.7</v>
      </c>
      <c r="J44" s="134">
        <f>'INPUT-Data(EUTIMES-HD)'!O13</f>
        <v>5.87452918152583</v>
      </c>
      <c r="K44" s="134">
        <f>J44-(3*(J44-L44)/4)</f>
        <v>5.15802780716941</v>
      </c>
      <c r="L44" s="134">
        <f>'INPUT-Data(EUTIMES-HD)'!P13</f>
        <v>4.91919401571727</v>
      </c>
      <c r="M44" s="134">
        <f>'INPUT-Data(EUTIMES-HD)'!Q13</f>
        <v>0.373156116141375</v>
      </c>
      <c r="N44" s="134">
        <f>M44-(3*(M44-O44)/4)</f>
        <v>0.316846402857229</v>
      </c>
      <c r="O44" s="134">
        <f>'INPUT-Data(EUTIMES-HD)'!R13</f>
        <v>0.298076498429181</v>
      </c>
      <c r="P44" s="134">
        <f>'INPUT-Data(EUTIMES-HD)'!S13</f>
        <v>0.0783609034293958</v>
      </c>
      <c r="Q44" s="134">
        <f>P44-(3*(P44-R44)/4)</f>
        <v>0.0657422025991046</v>
      </c>
      <c r="R44" s="134">
        <f>'INPUT-Data(EUTIMES-HD)'!T13</f>
        <v>0.0615359689890075</v>
      </c>
      <c r="S44" s="130">
        <f>'INPUT-Data(EUTIMES-HD)'!U13</f>
        <v>20</v>
      </c>
      <c r="T44" s="145">
        <v>2021</v>
      </c>
      <c r="U44" s="146">
        <v>1</v>
      </c>
      <c r="W44" t="s">
        <v>189</v>
      </c>
    </row>
    <row r="45" spans="2:20">
      <c r="B45" s="128"/>
      <c r="C45" s="128"/>
      <c r="D45" s="128" t="s">
        <v>170</v>
      </c>
      <c r="E45" s="128"/>
      <c r="F45" s="128"/>
      <c r="G45" s="132">
        <v>0.05</v>
      </c>
      <c r="H45" s="131"/>
      <c r="I45" s="140"/>
      <c r="J45" s="134"/>
      <c r="K45" s="134"/>
      <c r="L45" s="134"/>
      <c r="M45" s="134"/>
      <c r="N45" s="134"/>
      <c r="O45" s="134"/>
      <c r="P45" s="134"/>
      <c r="Q45" s="134"/>
      <c r="R45" s="134"/>
      <c r="S45" s="130"/>
      <c r="T45" s="145"/>
    </row>
    <row r="46" spans="2:23">
      <c r="B46" s="128"/>
      <c r="C46" s="128"/>
      <c r="D46" s="128"/>
      <c r="E46" s="128" t="s">
        <v>37</v>
      </c>
      <c r="F46" s="128"/>
      <c r="G46" s="134">
        <f>'INPUT-Data(EUTIMES-HD)'!L13</f>
        <v>0.0902</v>
      </c>
      <c r="H46" s="131"/>
      <c r="I46" s="140"/>
      <c r="J46" s="134"/>
      <c r="K46" s="134"/>
      <c r="L46" s="134"/>
      <c r="M46" s="134"/>
      <c r="N46" s="134"/>
      <c r="O46" s="134"/>
      <c r="P46" s="134"/>
      <c r="Q46" s="134"/>
      <c r="R46" s="134"/>
      <c r="S46" s="130"/>
      <c r="T46" s="145"/>
      <c r="W46" s="148" t="s">
        <v>195</v>
      </c>
    </row>
    <row r="47" spans="2:23">
      <c r="B47" s="128"/>
      <c r="C47" s="128"/>
      <c r="D47" s="128"/>
      <c r="E47" s="128"/>
      <c r="F47" s="128" t="s">
        <v>196</v>
      </c>
      <c r="G47" s="134"/>
      <c r="H47" s="131">
        <v>1</v>
      </c>
      <c r="I47" s="140"/>
      <c r="J47" s="134"/>
      <c r="K47" s="134"/>
      <c r="L47" s="134"/>
      <c r="M47" s="134"/>
      <c r="N47" s="134"/>
      <c r="O47" s="134"/>
      <c r="P47" s="134"/>
      <c r="Q47" s="134"/>
      <c r="R47" s="134"/>
      <c r="S47" s="130"/>
      <c r="T47" s="145"/>
      <c r="W47" s="148" t="s">
        <v>197</v>
      </c>
    </row>
    <row r="48" spans="2:23">
      <c r="B48" s="119" t="str">
        <f>'INPUT-Data(EUTIMES-HD)'!B14</f>
        <v>COMGASH2C01</v>
      </c>
      <c r="C48" s="119" t="str">
        <f>'INPUT-Data(EUTIMES-HD)'!C14</f>
        <v>Fuel Tech - H2 Delivery from centralized production to blending (COMP+USTOR+TR+BLENDING+(nocosNATGASINF))-COM</v>
      </c>
      <c r="D48" s="119" t="s">
        <v>110</v>
      </c>
      <c r="E48" s="119"/>
      <c r="G48" s="126">
        <f>G44</f>
        <v>0.95</v>
      </c>
      <c r="H48" s="126"/>
      <c r="I48" s="139">
        <f>'INPUT-Data(EUTIMES-HD)'!N14</f>
        <v>0.7</v>
      </c>
      <c r="J48" s="125">
        <f>'INPUT-Data(EUTIMES-HD)'!O14</f>
        <v>5.87452918152583</v>
      </c>
      <c r="K48" s="125">
        <f>J48-(3*(J48-L48)/4)</f>
        <v>5.15802780716941</v>
      </c>
      <c r="L48" s="125">
        <f>'INPUT-Data(EUTIMES-HD)'!P14</f>
        <v>4.91919401571727</v>
      </c>
      <c r="M48" s="125">
        <f>'INPUT-Data(EUTIMES-HD)'!Q14</f>
        <v>0.373156116141375</v>
      </c>
      <c r="N48" s="125">
        <f>M48-(3*(M48-O48)/4)</f>
        <v>0.316846402857229</v>
      </c>
      <c r="O48" s="125">
        <f>'INPUT-Data(EUTIMES-HD)'!R14</f>
        <v>0.298076498429181</v>
      </c>
      <c r="P48" s="125">
        <f>'INPUT-Data(EUTIMES-HD)'!S14</f>
        <v>0.0783609034293958</v>
      </c>
      <c r="Q48" s="125">
        <f>P48-(3*(P48-R48)/4)</f>
        <v>0.0657422025991046</v>
      </c>
      <c r="R48" s="125">
        <f>'INPUT-Data(EUTIMES-HD)'!T14</f>
        <v>0.0615359689890075</v>
      </c>
      <c r="S48" s="120">
        <f>'INPUT-Data(EUTIMES-HD)'!U14</f>
        <v>20</v>
      </c>
      <c r="T48" s="145">
        <v>2021</v>
      </c>
      <c r="U48" s="146">
        <v>1</v>
      </c>
      <c r="W48" t="s">
        <v>189</v>
      </c>
    </row>
    <row r="49" spans="2:20">
      <c r="B49" s="119"/>
      <c r="C49" s="119"/>
      <c r="D49" s="119" t="s">
        <v>170</v>
      </c>
      <c r="E49" s="119"/>
      <c r="F49" s="119"/>
      <c r="G49" s="126">
        <f>G45</f>
        <v>0.05</v>
      </c>
      <c r="H49" s="126"/>
      <c r="I49" s="139"/>
      <c r="J49" s="125"/>
      <c r="K49" s="125"/>
      <c r="L49" s="125"/>
      <c r="M49" s="125"/>
      <c r="N49" s="125"/>
      <c r="O49" s="125"/>
      <c r="P49" s="125"/>
      <c r="Q49" s="125"/>
      <c r="R49" s="125"/>
      <c r="S49" s="120"/>
      <c r="T49" s="145"/>
    </row>
    <row r="50" spans="2:23">
      <c r="B50" s="119"/>
      <c r="C50" s="119"/>
      <c r="E50" s="119" t="s">
        <v>37</v>
      </c>
      <c r="F50" s="119"/>
      <c r="G50" s="125">
        <f>'INPUT-Data(EUTIMES-HD)'!L14</f>
        <v>0.0902</v>
      </c>
      <c r="I50" s="139"/>
      <c r="J50" s="125"/>
      <c r="K50" s="125"/>
      <c r="L50" s="125"/>
      <c r="M50" s="125"/>
      <c r="N50" s="125"/>
      <c r="O50" s="125"/>
      <c r="P50" s="125"/>
      <c r="Q50" s="125"/>
      <c r="R50" s="125"/>
      <c r="S50" s="120"/>
      <c r="T50" s="145"/>
      <c r="W50" s="148" t="s">
        <v>195</v>
      </c>
    </row>
    <row r="51" spans="2:23">
      <c r="B51" s="119"/>
      <c r="C51" s="119"/>
      <c r="D51" s="119"/>
      <c r="E51" s="119"/>
      <c r="F51" s="119" t="s">
        <v>198</v>
      </c>
      <c r="G51" s="125"/>
      <c r="H51" s="126">
        <v>1</v>
      </c>
      <c r="I51" s="139"/>
      <c r="J51" s="125"/>
      <c r="K51" s="125"/>
      <c r="L51" s="125"/>
      <c r="M51" s="125"/>
      <c r="N51" s="125"/>
      <c r="O51" s="125"/>
      <c r="P51" s="125"/>
      <c r="Q51" s="125"/>
      <c r="R51" s="125"/>
      <c r="S51" s="120"/>
      <c r="T51" s="145"/>
      <c r="W51" s="148" t="s">
        <v>197</v>
      </c>
    </row>
    <row r="52" spans="2:23">
      <c r="B52" s="128" t="str">
        <f>'INPUT-Data(EUTIMES-HD)'!B15</f>
        <v>AGRGASH2C01</v>
      </c>
      <c r="C52" s="128" t="str">
        <f>'INPUT-Data(EUTIMES-HD)'!C15</f>
        <v>Fuel Tech - H2 Delivery from centralized production to blending (COMP+USTOR+TR+BLENDING+(nocosNATGASINF))-AGR</v>
      </c>
      <c r="D52" s="128" t="s">
        <v>110</v>
      </c>
      <c r="E52" s="128"/>
      <c r="F52" s="128"/>
      <c r="G52" s="131">
        <f>G48</f>
        <v>0.95</v>
      </c>
      <c r="H52" s="131"/>
      <c r="I52" s="140">
        <f>'INPUT-Data(EUTIMES-HD)'!N15</f>
        <v>0.7</v>
      </c>
      <c r="J52" s="134">
        <f>'INPUT-Data(EUTIMES-HD)'!O15</f>
        <v>5.87452918152583</v>
      </c>
      <c r="K52" s="134">
        <f>J52-(3*(J52-L52)/4)</f>
        <v>5.15802780716941</v>
      </c>
      <c r="L52" s="134">
        <f>'INPUT-Data(EUTIMES-HD)'!P15</f>
        <v>4.91919401571727</v>
      </c>
      <c r="M52" s="134">
        <f>'INPUT-Data(EUTIMES-HD)'!Q15</f>
        <v>0.373156116141375</v>
      </c>
      <c r="N52" s="134">
        <f>M52-(3*(M52-O52)/4)</f>
        <v>0.316846402857229</v>
      </c>
      <c r="O52" s="134">
        <f>'INPUT-Data(EUTIMES-HD)'!R15</f>
        <v>0.298076498429181</v>
      </c>
      <c r="P52" s="134">
        <f>'INPUT-Data(EUTIMES-HD)'!S15</f>
        <v>0.0783609034293958</v>
      </c>
      <c r="Q52" s="134">
        <f>P52-(3*(P52-R52)/4)</f>
        <v>0.0657422025991046</v>
      </c>
      <c r="R52" s="134">
        <f>'INPUT-Data(EUTIMES-HD)'!T15</f>
        <v>0.0615359689890075</v>
      </c>
      <c r="S52" s="130">
        <f>'INPUT-Data(EUTIMES-HD)'!U15</f>
        <v>20</v>
      </c>
      <c r="T52" s="145">
        <v>2021</v>
      </c>
      <c r="U52" s="146">
        <v>1</v>
      </c>
      <c r="W52" t="s">
        <v>189</v>
      </c>
    </row>
    <row r="53" spans="2:20">
      <c r="B53" s="128"/>
      <c r="C53" s="128"/>
      <c r="D53" s="128" t="s">
        <v>170</v>
      </c>
      <c r="E53" s="128"/>
      <c r="F53" s="128"/>
      <c r="G53" s="131">
        <f>G49</f>
        <v>0.05</v>
      </c>
      <c r="H53" s="131"/>
      <c r="I53" s="140"/>
      <c r="J53" s="134"/>
      <c r="K53" s="134"/>
      <c r="L53" s="134"/>
      <c r="M53" s="134"/>
      <c r="N53" s="134"/>
      <c r="O53" s="134"/>
      <c r="P53" s="134"/>
      <c r="Q53" s="134"/>
      <c r="R53" s="134"/>
      <c r="S53" s="130"/>
      <c r="T53" s="145"/>
    </row>
    <row r="54" spans="2:23">
      <c r="B54" s="128"/>
      <c r="C54" s="128"/>
      <c r="D54" s="128"/>
      <c r="E54" s="128" t="s">
        <v>37</v>
      </c>
      <c r="F54" s="128"/>
      <c r="G54" s="134">
        <f>'INPUT-Data(EUTIMES-HD)'!L15</f>
        <v>0.0902</v>
      </c>
      <c r="H54" s="131"/>
      <c r="I54" s="140"/>
      <c r="J54" s="134"/>
      <c r="K54" s="134"/>
      <c r="L54" s="134"/>
      <c r="M54" s="134"/>
      <c r="N54" s="134"/>
      <c r="O54" s="134"/>
      <c r="P54" s="134"/>
      <c r="Q54" s="134"/>
      <c r="R54" s="134"/>
      <c r="S54" s="130"/>
      <c r="T54" s="145"/>
      <c r="W54" s="148" t="s">
        <v>195</v>
      </c>
    </row>
    <row r="55" spans="2:23">
      <c r="B55" s="128"/>
      <c r="C55" s="128"/>
      <c r="D55" s="128"/>
      <c r="E55" s="128"/>
      <c r="F55" s="128" t="s">
        <v>199</v>
      </c>
      <c r="G55" s="134"/>
      <c r="H55" s="131">
        <v>1</v>
      </c>
      <c r="I55" s="140"/>
      <c r="J55" s="134"/>
      <c r="K55" s="134"/>
      <c r="L55" s="134"/>
      <c r="M55" s="134"/>
      <c r="N55" s="134"/>
      <c r="O55" s="134"/>
      <c r="P55" s="134"/>
      <c r="Q55" s="134"/>
      <c r="R55" s="134"/>
      <c r="S55" s="130"/>
      <c r="T55" s="145"/>
      <c r="W55" s="148" t="s">
        <v>197</v>
      </c>
    </row>
    <row r="56" spans="2:23">
      <c r="B56" s="119" t="str">
        <f>'INPUT-Data(EUTIMES-HD)'!B16</f>
        <v>TRAGASH2C01</v>
      </c>
      <c r="C56" s="119" t="str">
        <f>'INPUT-Data(EUTIMES-HD)'!C16</f>
        <v>Fuel Tech - H2 Delivery from centralized production to blending (COMP+USTOR+TR+BLENDING+(nocosNATGASINF))-TRA</v>
      </c>
      <c r="D56" s="119" t="s">
        <v>110</v>
      </c>
      <c r="E56" s="119"/>
      <c r="G56" s="126">
        <f>G52</f>
        <v>0.95</v>
      </c>
      <c r="H56" s="126"/>
      <c r="I56" s="139">
        <f>'INPUT-Data(EUTIMES-HD)'!N16</f>
        <v>0.7</v>
      </c>
      <c r="J56" s="125">
        <f>'INPUT-Data(EUTIMES-HD)'!O16</f>
        <v>5.87452918152583</v>
      </c>
      <c r="K56" s="125">
        <f>J56-(3*(J56-L56)/4)</f>
        <v>5.15802780716941</v>
      </c>
      <c r="L56" s="125">
        <f>'INPUT-Data(EUTIMES-HD)'!P16</f>
        <v>4.91919401571727</v>
      </c>
      <c r="M56" s="125">
        <f>'INPUT-Data(EUTIMES-HD)'!Q16</f>
        <v>0.373156116141375</v>
      </c>
      <c r="N56" s="125">
        <f>M56-(3*(M56-O56)/4)</f>
        <v>0.316846402857229</v>
      </c>
      <c r="O56" s="125">
        <f>'INPUT-Data(EUTIMES-HD)'!R16</f>
        <v>0.298076498429181</v>
      </c>
      <c r="P56" s="125">
        <f>'INPUT-Data(EUTIMES-HD)'!S16</f>
        <v>0.0783609034293958</v>
      </c>
      <c r="Q56" s="125">
        <f>P56-(3*(P56-R56)/4)</f>
        <v>0.0657422025991046</v>
      </c>
      <c r="R56" s="125">
        <f>'INPUT-Data(EUTIMES-HD)'!T16</f>
        <v>0.0615359689890075</v>
      </c>
      <c r="S56" s="120">
        <f>'INPUT-Data(EUTIMES-HD)'!U16</f>
        <v>20</v>
      </c>
      <c r="T56" s="145">
        <v>2021</v>
      </c>
      <c r="U56" s="146">
        <v>1</v>
      </c>
      <c r="W56" t="s">
        <v>189</v>
      </c>
    </row>
    <row r="57" spans="2:20">
      <c r="B57" s="119"/>
      <c r="C57" s="119"/>
      <c r="D57" s="119" t="s">
        <v>170</v>
      </c>
      <c r="E57" s="119"/>
      <c r="F57" s="119"/>
      <c r="G57" s="126">
        <f>G53</f>
        <v>0.05</v>
      </c>
      <c r="H57" s="126"/>
      <c r="I57" s="139"/>
      <c r="J57" s="125"/>
      <c r="K57" s="125"/>
      <c r="L57" s="125"/>
      <c r="M57" s="125"/>
      <c r="N57" s="125"/>
      <c r="O57" s="125"/>
      <c r="P57" s="125"/>
      <c r="Q57" s="125"/>
      <c r="R57" s="125"/>
      <c r="S57" s="120"/>
      <c r="T57" s="145"/>
    </row>
    <row r="58" spans="2:23">
      <c r="B58" s="119"/>
      <c r="C58" s="119"/>
      <c r="E58" s="119" t="s">
        <v>37</v>
      </c>
      <c r="F58" s="119"/>
      <c r="G58" s="125">
        <f>'INPUT-Data(EUTIMES-HD)'!L16</f>
        <v>0.0902</v>
      </c>
      <c r="I58" s="139"/>
      <c r="J58" s="125"/>
      <c r="K58" s="125"/>
      <c r="L58" s="125"/>
      <c r="M58" s="125"/>
      <c r="N58" s="125"/>
      <c r="O58" s="125"/>
      <c r="P58" s="125"/>
      <c r="Q58" s="125"/>
      <c r="R58" s="125"/>
      <c r="S58" s="120"/>
      <c r="T58" s="145"/>
      <c r="W58" s="148" t="s">
        <v>195</v>
      </c>
    </row>
    <row r="59" spans="2:23">
      <c r="B59" s="119"/>
      <c r="C59" s="119"/>
      <c r="D59" s="119"/>
      <c r="E59" s="119"/>
      <c r="F59" s="119" t="s">
        <v>200</v>
      </c>
      <c r="G59" s="125"/>
      <c r="H59" s="126">
        <v>1</v>
      </c>
      <c r="I59" s="139"/>
      <c r="J59" s="125"/>
      <c r="K59" s="125"/>
      <c r="L59" s="125"/>
      <c r="M59" s="125"/>
      <c r="N59" s="125"/>
      <c r="O59" s="125"/>
      <c r="P59" s="125"/>
      <c r="Q59" s="125"/>
      <c r="R59" s="125"/>
      <c r="S59" s="120"/>
      <c r="T59" s="145"/>
      <c r="W59" s="148" t="s">
        <v>197</v>
      </c>
    </row>
    <row r="60" spans="2:23">
      <c r="B60" s="128" t="str">
        <f>'INPUT-Data(EUTIMES-HD)'!B17</f>
        <v>INDGASH2C01</v>
      </c>
      <c r="C60" s="128" t="str">
        <f>'INPUT-Data(EUTIMES-HD)'!C17</f>
        <v>Fuel Tech - H2 Delivery from centralized production to blending (COMP+USTOR+TR+BLENDING+(nocosNATGASINF))-IND</v>
      </c>
      <c r="D60" s="128" t="s">
        <v>110</v>
      </c>
      <c r="E60" s="128"/>
      <c r="F60" s="129"/>
      <c r="G60" s="131">
        <f>G56</f>
        <v>0.95</v>
      </c>
      <c r="H60" s="131"/>
      <c r="I60" s="140">
        <f>'INPUT-Data(EUTIMES-HD)'!N17</f>
        <v>0.7</v>
      </c>
      <c r="J60" s="134">
        <f>'INPUT-Data(EUTIMES-HD)'!O17</f>
        <v>5.87452918152583</v>
      </c>
      <c r="K60" s="134">
        <f>J60-(3*(J60-L60)/4)</f>
        <v>5.15802780716941</v>
      </c>
      <c r="L60" s="134">
        <f>'INPUT-Data(EUTIMES-HD)'!P17</f>
        <v>4.91919401571727</v>
      </c>
      <c r="M60" s="134">
        <f>'INPUT-Data(EUTIMES-HD)'!Q17</f>
        <v>0.373156116141375</v>
      </c>
      <c r="N60" s="134">
        <f>M60-(3*(M60-O60)/4)</f>
        <v>0.316846402857229</v>
      </c>
      <c r="O60" s="134">
        <f>'INPUT-Data(EUTIMES-HD)'!R17</f>
        <v>0.298076498429181</v>
      </c>
      <c r="P60" s="134">
        <f>'INPUT-Data(EUTIMES-HD)'!S17</f>
        <v>0.0783609034293958</v>
      </c>
      <c r="Q60" s="134">
        <f>P60-(3*(P60-R60)/4)</f>
        <v>0.0657422025991046</v>
      </c>
      <c r="R60" s="134">
        <f>'INPUT-Data(EUTIMES-HD)'!T17</f>
        <v>0.0615359689890075</v>
      </c>
      <c r="S60" s="130">
        <f>'INPUT-Data(EUTIMES-HD)'!U17</f>
        <v>20</v>
      </c>
      <c r="T60" s="145">
        <v>2021</v>
      </c>
      <c r="U60" s="146">
        <v>1</v>
      </c>
      <c r="W60" t="s">
        <v>189</v>
      </c>
    </row>
    <row r="61" spans="2:20">
      <c r="B61" s="128"/>
      <c r="C61" s="128"/>
      <c r="D61" s="128" t="s">
        <v>170</v>
      </c>
      <c r="E61" s="128"/>
      <c r="F61" s="128"/>
      <c r="G61" s="131">
        <f>G57</f>
        <v>0.05</v>
      </c>
      <c r="H61" s="131"/>
      <c r="I61" s="140"/>
      <c r="J61" s="134"/>
      <c r="K61" s="134"/>
      <c r="L61" s="134"/>
      <c r="M61" s="134"/>
      <c r="N61" s="134"/>
      <c r="O61" s="134"/>
      <c r="P61" s="134"/>
      <c r="Q61" s="134"/>
      <c r="R61" s="134"/>
      <c r="S61" s="130"/>
      <c r="T61" s="145"/>
    </row>
    <row r="62" spans="2:23">
      <c r="B62" s="128"/>
      <c r="C62" s="128"/>
      <c r="D62" s="128"/>
      <c r="E62" s="128" t="s">
        <v>37</v>
      </c>
      <c r="F62" s="128"/>
      <c r="G62" s="134">
        <f>'INPUT-Data(EUTIMES-HD)'!L17</f>
        <v>0.0902</v>
      </c>
      <c r="H62" s="131"/>
      <c r="I62" s="140"/>
      <c r="J62" s="134"/>
      <c r="K62" s="134"/>
      <c r="L62" s="134"/>
      <c r="M62" s="134"/>
      <c r="N62" s="134"/>
      <c r="O62" s="134"/>
      <c r="P62" s="134"/>
      <c r="Q62" s="134"/>
      <c r="R62" s="134"/>
      <c r="S62" s="130"/>
      <c r="T62" s="145"/>
      <c r="W62" s="148" t="s">
        <v>195</v>
      </c>
    </row>
    <row r="63" spans="2:23">
      <c r="B63" s="128"/>
      <c r="C63" s="128"/>
      <c r="D63" s="128"/>
      <c r="E63" s="128"/>
      <c r="F63" s="128" t="s">
        <v>201</v>
      </c>
      <c r="G63" s="134"/>
      <c r="H63" s="131">
        <v>1</v>
      </c>
      <c r="I63" s="140"/>
      <c r="J63" s="134"/>
      <c r="K63" s="134"/>
      <c r="L63" s="134"/>
      <c r="M63" s="134"/>
      <c r="N63" s="134"/>
      <c r="O63" s="134"/>
      <c r="P63" s="134"/>
      <c r="Q63" s="134"/>
      <c r="R63" s="134"/>
      <c r="S63" s="130"/>
      <c r="T63" s="145"/>
      <c r="W63" s="148" t="s">
        <v>197</v>
      </c>
    </row>
    <row r="64" spans="2:23">
      <c r="B64" s="119" t="str">
        <f>'INPUT-Data(EUTIMES-HD)'!B18</f>
        <v>ELCGASH2C01</v>
      </c>
      <c r="C64" s="119" t="str">
        <f>'INPUT-Data(EUTIMES-HD)'!C18</f>
        <v>Fuel Tech - H2 Delivery from centralized production to blending (COMP+USTOR+TR+BLENDING+(nocosNATGASINF))-ELC</v>
      </c>
      <c r="D64" s="119" t="s">
        <v>110</v>
      </c>
      <c r="E64" s="119"/>
      <c r="G64" s="126">
        <f>G60</f>
        <v>0.95</v>
      </c>
      <c r="H64" s="126"/>
      <c r="I64" s="139">
        <f>'INPUT-Data(EUTIMES-HD)'!N18</f>
        <v>0.7</v>
      </c>
      <c r="J64" s="125">
        <f>'INPUT-Data(EUTIMES-HD)'!O18</f>
        <v>5.87452918152583</v>
      </c>
      <c r="K64" s="125">
        <f>J64-(3*(J64-L64)/4)</f>
        <v>5.15802780716941</v>
      </c>
      <c r="L64" s="125">
        <f>'INPUT-Data(EUTIMES-HD)'!P18</f>
        <v>4.91919401571727</v>
      </c>
      <c r="M64" s="125">
        <f>'INPUT-Data(EUTIMES-HD)'!Q18</f>
        <v>0.373156116141375</v>
      </c>
      <c r="N64" s="125">
        <f>M64-(3*(M64-O64)/4)</f>
        <v>0.316846402857229</v>
      </c>
      <c r="O64" s="125">
        <f>'INPUT-Data(EUTIMES-HD)'!R18</f>
        <v>0.298076498429181</v>
      </c>
      <c r="P64" s="125">
        <f>'INPUT-Data(EUTIMES-HD)'!S18</f>
        <v>0.0783609034293958</v>
      </c>
      <c r="Q64" s="125">
        <f>P64-(3*(P64-R64)/4)</f>
        <v>0.0657422025991046</v>
      </c>
      <c r="R64" s="125">
        <f>'INPUT-Data(EUTIMES-HD)'!T18</f>
        <v>0.0615359689890075</v>
      </c>
      <c r="S64" s="120">
        <f>'INPUT-Data(EUTIMES-HD)'!U18</f>
        <v>20</v>
      </c>
      <c r="T64" s="145">
        <v>2021</v>
      </c>
      <c r="U64" s="146">
        <v>1</v>
      </c>
      <c r="W64" t="s">
        <v>189</v>
      </c>
    </row>
    <row r="65" spans="2:20">
      <c r="B65" s="119"/>
      <c r="C65" s="119"/>
      <c r="D65" s="119" t="s">
        <v>170</v>
      </c>
      <c r="E65" s="119"/>
      <c r="F65" s="119"/>
      <c r="G65" s="126">
        <f>G61</f>
        <v>0.05</v>
      </c>
      <c r="H65" s="126"/>
      <c r="I65" s="139"/>
      <c r="J65" s="125"/>
      <c r="K65" s="125"/>
      <c r="L65" s="125"/>
      <c r="M65" s="125"/>
      <c r="N65" s="125"/>
      <c r="O65" s="125"/>
      <c r="P65" s="125"/>
      <c r="Q65" s="125"/>
      <c r="R65" s="125"/>
      <c r="S65" s="120"/>
      <c r="T65" s="145"/>
    </row>
    <row r="66" spans="2:23">
      <c r="B66" s="119"/>
      <c r="C66" s="119"/>
      <c r="E66" s="119" t="s">
        <v>37</v>
      </c>
      <c r="F66" s="119"/>
      <c r="G66" s="125">
        <f>'INPUT-Data(EUTIMES-HD)'!L18</f>
        <v>0.0902</v>
      </c>
      <c r="I66" s="139"/>
      <c r="J66" s="125"/>
      <c r="K66" s="125"/>
      <c r="L66" s="125"/>
      <c r="M66" s="125"/>
      <c r="N66" s="125"/>
      <c r="O66" s="125"/>
      <c r="P66" s="125"/>
      <c r="Q66" s="125"/>
      <c r="R66" s="125"/>
      <c r="S66" s="120"/>
      <c r="T66" s="145"/>
      <c r="W66" s="148" t="s">
        <v>195</v>
      </c>
    </row>
    <row r="67" spans="2:23">
      <c r="B67" s="119"/>
      <c r="C67" s="119"/>
      <c r="D67" s="119"/>
      <c r="E67" s="119"/>
      <c r="F67" s="119" t="s">
        <v>202</v>
      </c>
      <c r="G67" s="125"/>
      <c r="H67" s="126">
        <v>1</v>
      </c>
      <c r="I67" s="139"/>
      <c r="J67" s="125"/>
      <c r="K67" s="125"/>
      <c r="L67" s="125"/>
      <c r="M67" s="125"/>
      <c r="N67" s="125"/>
      <c r="O67" s="125"/>
      <c r="P67" s="125"/>
      <c r="Q67" s="125"/>
      <c r="R67" s="125"/>
      <c r="S67" s="120"/>
      <c r="T67" s="145"/>
      <c r="W67" s="148" t="s">
        <v>197</v>
      </c>
    </row>
    <row r="68" spans="2:23">
      <c r="B68" s="128" t="str">
        <f>'INPUT-Data(EUTIMES-HD)'!B19</f>
        <v>SUPGASH2C01</v>
      </c>
      <c r="C68" s="128" t="str">
        <f>'INPUT-Data(EUTIMES-HD)'!C19</f>
        <v>Fuel Tech - H2 Delivery from centralized production to blending (COMP+USTOR+TR+BLENDING+(nocosNATGASINF))-SUP</v>
      </c>
      <c r="D68" s="128" t="s">
        <v>110</v>
      </c>
      <c r="E68" s="128"/>
      <c r="F68" s="129"/>
      <c r="G68" s="131">
        <f>G64</f>
        <v>0.95</v>
      </c>
      <c r="H68" s="131"/>
      <c r="I68" s="140">
        <f>'INPUT-Data(EUTIMES-HD)'!N19</f>
        <v>0.7</v>
      </c>
      <c r="J68" s="134">
        <f>'INPUT-Data(EUTIMES-HD)'!O19</f>
        <v>5.87452918152583</v>
      </c>
      <c r="K68" s="134">
        <f>J68-(3*(J68-L68)/4)</f>
        <v>5.15802780716941</v>
      </c>
      <c r="L68" s="134">
        <f>'INPUT-Data(EUTIMES-HD)'!P19</f>
        <v>4.91919401571727</v>
      </c>
      <c r="M68" s="134">
        <f>'INPUT-Data(EUTIMES-HD)'!Q19</f>
        <v>0.373156116141375</v>
      </c>
      <c r="N68" s="134">
        <f>M68-(3*(M68-O68)/4)</f>
        <v>0.316846402857229</v>
      </c>
      <c r="O68" s="134">
        <f>'INPUT-Data(EUTIMES-HD)'!R19</f>
        <v>0.298076498429181</v>
      </c>
      <c r="P68" s="134">
        <f>'INPUT-Data(EUTIMES-HD)'!S19</f>
        <v>0.0783609034293958</v>
      </c>
      <c r="Q68" s="134">
        <f>P68-(3*(P68-R68)/4)</f>
        <v>0.0657422025991046</v>
      </c>
      <c r="R68" s="134">
        <f>'INPUT-Data(EUTIMES-HD)'!T19</f>
        <v>0.0615359689890075</v>
      </c>
      <c r="S68" s="130">
        <f>'INPUT-Data(EUTIMES-HD)'!U19</f>
        <v>20</v>
      </c>
      <c r="T68" s="145">
        <v>2021</v>
      </c>
      <c r="U68" s="146">
        <v>1</v>
      </c>
      <c r="W68" t="s">
        <v>189</v>
      </c>
    </row>
    <row r="69" spans="2:20">
      <c r="B69" s="128"/>
      <c r="C69" s="128"/>
      <c r="D69" s="128" t="s">
        <v>170</v>
      </c>
      <c r="E69" s="128"/>
      <c r="F69" s="128"/>
      <c r="G69" s="131">
        <f>G65</f>
        <v>0.05</v>
      </c>
      <c r="H69" s="131"/>
      <c r="I69" s="140"/>
      <c r="J69" s="134"/>
      <c r="K69" s="134"/>
      <c r="L69" s="134"/>
      <c r="M69" s="134"/>
      <c r="N69" s="134"/>
      <c r="O69" s="134"/>
      <c r="P69" s="134"/>
      <c r="Q69" s="134"/>
      <c r="R69" s="134"/>
      <c r="S69" s="130"/>
      <c r="T69" s="145"/>
    </row>
    <row r="70" spans="2:23">
      <c r="B70" s="128"/>
      <c r="C70" s="128"/>
      <c r="D70" s="128"/>
      <c r="E70" s="128" t="s">
        <v>37</v>
      </c>
      <c r="F70" s="128"/>
      <c r="G70" s="134">
        <f>'INPUT-Data(EUTIMES-HD)'!L19</f>
        <v>0.0902</v>
      </c>
      <c r="H70" s="131"/>
      <c r="I70" s="140"/>
      <c r="J70" s="134"/>
      <c r="K70" s="134"/>
      <c r="L70" s="134"/>
      <c r="M70" s="134"/>
      <c r="N70" s="134"/>
      <c r="O70" s="134"/>
      <c r="P70" s="134"/>
      <c r="Q70" s="134"/>
      <c r="R70" s="134"/>
      <c r="S70" s="130"/>
      <c r="T70" s="145"/>
      <c r="W70" s="148" t="s">
        <v>195</v>
      </c>
    </row>
    <row r="71" spans="2:23">
      <c r="B71" s="149"/>
      <c r="C71" s="149"/>
      <c r="D71" s="149"/>
      <c r="E71" s="149"/>
      <c r="F71" s="149" t="s">
        <v>203</v>
      </c>
      <c r="G71" s="150"/>
      <c r="H71" s="151">
        <v>1</v>
      </c>
      <c r="I71" s="161"/>
      <c r="J71" s="150"/>
      <c r="K71" s="150"/>
      <c r="L71" s="150"/>
      <c r="M71" s="150"/>
      <c r="N71" s="150"/>
      <c r="O71" s="150"/>
      <c r="P71" s="150"/>
      <c r="Q71" s="150"/>
      <c r="R71" s="150"/>
      <c r="S71" s="164"/>
      <c r="T71" s="145"/>
      <c r="W71" s="148" t="s">
        <v>197</v>
      </c>
    </row>
    <row r="72" spans="2:23">
      <c r="B72" s="119" t="str">
        <f>'INPUT-Data(EUTIMES-HD)'!B20</f>
        <v>RSDGH2D01</v>
      </c>
      <c r="C72" s="119" t="str">
        <f>'INPUT-Data(EUTIMES-HD)'!C20</f>
        <v>Fuel Tech - H2 Delivery from local production (LOCGSTORB+DP - Residential)</v>
      </c>
      <c r="D72" s="119" t="s">
        <v>171</v>
      </c>
      <c r="E72" s="119"/>
      <c r="G72" s="120">
        <f>'INPUT-Data(EUTIMES-HD)'!J20</f>
        <v>1</v>
      </c>
      <c r="H72" s="126"/>
      <c r="I72" s="139">
        <f>'INPUT-Data(EUTIMES-HD)'!N20</f>
        <v>0.7</v>
      </c>
      <c r="J72" s="125">
        <f>'INPUT-Data(EUTIMES-HD)'!O20</f>
        <v>51.8385860004907</v>
      </c>
      <c r="K72" s="125">
        <f>J72-(3*(J72-L72)/4)</f>
        <v>45.6429746992401</v>
      </c>
      <c r="L72" s="125">
        <f>'INPUT-Data(EUTIMES-HD)'!P20</f>
        <v>43.5777709321566</v>
      </c>
      <c r="M72" s="125">
        <f>'INPUT-Data(EUTIMES-HD)'!Q20</f>
        <v>2.49723060274257</v>
      </c>
      <c r="N72" s="125">
        <f>M72-(3*(M72-O72)/4)</f>
        <v>2.20385499680882</v>
      </c>
      <c r="O72" s="125">
        <f>'INPUT-Data(EUTIMES-HD)'!R20</f>
        <v>2.10606312816424</v>
      </c>
      <c r="P72" s="125">
        <f>'INPUT-Data(EUTIMES-HD)'!S20</f>
        <v>0.2816391168</v>
      </c>
      <c r="Q72" s="125">
        <f>P72-(3*(P72-R72)/4)</f>
        <v>0.260695401609435</v>
      </c>
      <c r="R72" s="125">
        <f>'INPUT-Data(EUTIMES-HD)'!T20</f>
        <v>0.25371416321258</v>
      </c>
      <c r="S72" s="120">
        <f>'INPUT-Data(EUTIMES-HD)'!U20</f>
        <v>20</v>
      </c>
      <c r="T72" s="145">
        <v>2021</v>
      </c>
      <c r="U72" s="146">
        <v>1</v>
      </c>
      <c r="W72" t="s">
        <v>204</v>
      </c>
    </row>
    <row r="73" spans="2:20">
      <c r="B73" s="119"/>
      <c r="C73" s="119"/>
      <c r="D73" s="119" t="s">
        <v>37</v>
      </c>
      <c r="E73" s="119"/>
      <c r="F73" s="119"/>
      <c r="G73" s="122" t="str">
        <f>IF('INPUT-Data(EUTIMES-HD)'!K20=0,"0.0001",'INPUT-Data(EUTIMES-HD)'!K20)</f>
        <v>0.0001</v>
      </c>
      <c r="H73" s="126"/>
      <c r="I73" s="139"/>
      <c r="J73" s="125"/>
      <c r="K73" s="125"/>
      <c r="L73" s="125"/>
      <c r="M73" s="125"/>
      <c r="N73" s="125"/>
      <c r="O73" s="125"/>
      <c r="P73" s="125"/>
      <c r="Q73" s="125"/>
      <c r="R73" s="125"/>
      <c r="S73" s="120"/>
      <c r="T73" s="145"/>
    </row>
    <row r="74" spans="2:20">
      <c r="B74" s="119"/>
      <c r="C74" s="119"/>
      <c r="D74" s="119"/>
      <c r="E74" s="119"/>
      <c r="F74" s="119" t="s">
        <v>191</v>
      </c>
      <c r="G74" s="125"/>
      <c r="H74" s="126">
        <f>'INPUT-Data(EUTIMES-HD)'!M20</f>
        <v>1</v>
      </c>
      <c r="I74" s="139"/>
      <c r="J74" s="125"/>
      <c r="K74" s="125"/>
      <c r="L74" s="125"/>
      <c r="M74" s="125"/>
      <c r="N74" s="125"/>
      <c r="O74" s="125"/>
      <c r="P74" s="125"/>
      <c r="Q74" s="125"/>
      <c r="R74" s="125"/>
      <c r="S74" s="120"/>
      <c r="T74" s="145"/>
    </row>
    <row r="75" spans="2:23">
      <c r="B75" s="128" t="str">
        <f>'INPUT-Data(EUTIMES-HD)'!B21</f>
        <v>TRALH2D01</v>
      </c>
      <c r="C75" s="128" t="str">
        <f>'INPUT-Data(EUTIMES-HD)'!C21</f>
        <v>Fuel Tech - H2 Delivery from local production (LOCGSTORB+ONSITELIQ+REFLL (large))</v>
      </c>
      <c r="D75" s="128" t="s">
        <v>171</v>
      </c>
      <c r="E75" s="128"/>
      <c r="F75" s="129"/>
      <c r="G75" s="130">
        <f>'INPUT-Data(EUTIMES-HD)'!J21</f>
        <v>1</v>
      </c>
      <c r="H75" s="131"/>
      <c r="I75" s="140">
        <f>'INPUT-Data(EUTIMES-HD)'!N21</f>
        <v>0.7</v>
      </c>
      <c r="J75" s="134">
        <f>'INPUT-Data(EUTIMES-HD)'!O21</f>
        <v>144.836029779983</v>
      </c>
      <c r="K75" s="134">
        <f>J75-(3*(J75-L75)/4)</f>
        <v>110.40356995212</v>
      </c>
      <c r="L75" s="134">
        <f>'INPUT-Data(EUTIMES-HD)'!P21</f>
        <v>98.9260833428329</v>
      </c>
      <c r="M75" s="134">
        <f>'INPUT-Data(EUTIMES-HD)'!Q21</f>
        <v>8.98792126091444</v>
      </c>
      <c r="N75" s="134">
        <f>M75-(3*(M75-O75)/4)</f>
        <v>6.81493827729485</v>
      </c>
      <c r="O75" s="134">
        <f>'INPUT-Data(EUTIMES-HD)'!R21</f>
        <v>6.09061061608832</v>
      </c>
      <c r="P75" s="134">
        <f>'INPUT-Data(EUTIMES-HD)'!S21</f>
        <v>1.78407793279814</v>
      </c>
      <c r="Q75" s="134">
        <f>P75-(3*(P75-R75)/4)</f>
        <v>1.34427722068415</v>
      </c>
      <c r="R75" s="134">
        <f>'INPUT-Data(EUTIMES-HD)'!T21</f>
        <v>1.19767698331282</v>
      </c>
      <c r="S75" s="130">
        <f>'INPUT-Data(EUTIMES-HD)'!U21</f>
        <v>20</v>
      </c>
      <c r="T75" s="145">
        <v>2021</v>
      </c>
      <c r="U75" s="146">
        <v>1</v>
      </c>
      <c r="W75" t="s">
        <v>204</v>
      </c>
    </row>
    <row r="76" spans="2:20">
      <c r="B76" s="128"/>
      <c r="C76" s="128"/>
      <c r="D76" s="128" t="s">
        <v>37</v>
      </c>
      <c r="E76" s="128"/>
      <c r="F76" s="128"/>
      <c r="G76" s="132">
        <f>'INPUT-Data(EUTIMES-HD)'!K21</f>
        <v>0.452</v>
      </c>
      <c r="H76" s="131"/>
      <c r="I76" s="140"/>
      <c r="J76" s="134"/>
      <c r="K76" s="134"/>
      <c r="L76" s="134"/>
      <c r="M76" s="134"/>
      <c r="N76" s="134"/>
      <c r="O76" s="134"/>
      <c r="P76" s="134"/>
      <c r="Q76" s="134"/>
      <c r="R76" s="134"/>
      <c r="S76" s="130"/>
      <c r="T76" s="145"/>
    </row>
    <row r="77" spans="2:20">
      <c r="B77" s="128"/>
      <c r="C77" s="128"/>
      <c r="D77" s="128"/>
      <c r="E77" s="128"/>
      <c r="F77" s="128" t="s">
        <v>185</v>
      </c>
      <c r="G77" s="134"/>
      <c r="H77" s="131">
        <f>'INPUT-Data(EUTIMES-HD)'!M21</f>
        <v>1</v>
      </c>
      <c r="I77" s="140"/>
      <c r="J77" s="134"/>
      <c r="K77" s="134"/>
      <c r="L77" s="134"/>
      <c r="M77" s="134"/>
      <c r="N77" s="134"/>
      <c r="O77" s="134"/>
      <c r="P77" s="134"/>
      <c r="Q77" s="134"/>
      <c r="R77" s="134"/>
      <c r="S77" s="130"/>
      <c r="T77" s="145"/>
    </row>
    <row r="78" spans="2:23">
      <c r="B78" s="119" t="str">
        <f>'INPUT-Data(EUTIMES-HD)'!B22</f>
        <v>TRAGH2D01</v>
      </c>
      <c r="C78" s="119" t="str">
        <f>'INPUT-Data(EUTIMES-HD)'!C22</f>
        <v>Fuel Tech - H2 Delivery from local production (LOCGSTORB + REFGG (small))</v>
      </c>
      <c r="D78" s="119" t="s">
        <v>171</v>
      </c>
      <c r="E78" s="119"/>
      <c r="G78" s="120">
        <f>'INPUT-Data(EUTIMES-HD)'!J22</f>
        <v>1</v>
      </c>
      <c r="H78" s="126"/>
      <c r="I78" s="139">
        <f>'INPUT-Data(EUTIMES-HD)'!N22</f>
        <v>0.7</v>
      </c>
      <c r="J78" s="125">
        <f>'INPUT-Data(EUTIMES-HD)'!O22</f>
        <v>70.1845472524617</v>
      </c>
      <c r="K78" s="125">
        <f>J78-(3*(J78-L78)/4)</f>
        <v>54.9942972618429</v>
      </c>
      <c r="L78" s="125">
        <f>'INPUT-Data(EUTIMES-HD)'!P22</f>
        <v>49.9308805983033</v>
      </c>
      <c r="M78" s="125">
        <f>'INPUT-Data(EUTIMES-HD)'!Q22</f>
        <v>5.09053294933584</v>
      </c>
      <c r="N78" s="125">
        <f>M78-(3*(M78-O78)/4)</f>
        <v>3.94782791612252</v>
      </c>
      <c r="O78" s="125">
        <f>'INPUT-Data(EUTIMES-HD)'!R22</f>
        <v>3.56692623838475</v>
      </c>
      <c r="P78" s="125">
        <f>'INPUT-Data(EUTIMES-HD)'!S22</f>
        <v>0.189317100585606</v>
      </c>
      <c r="Q78" s="125">
        <f>P78-(3*(P78-R78)/4)</f>
        <v>0.144179603347249</v>
      </c>
      <c r="R78" s="125">
        <f>'INPUT-Data(EUTIMES-HD)'!T22</f>
        <v>0.129133770934464</v>
      </c>
      <c r="S78" s="120">
        <f>'INPUT-Data(EUTIMES-HD)'!U22</f>
        <v>20</v>
      </c>
      <c r="T78" s="145">
        <v>2021</v>
      </c>
      <c r="U78" s="146">
        <v>1</v>
      </c>
      <c r="W78" t="s">
        <v>204</v>
      </c>
    </row>
    <row r="79" spans="2:19">
      <c r="B79" s="119"/>
      <c r="C79" s="119"/>
      <c r="D79" s="119" t="s">
        <v>37</v>
      </c>
      <c r="E79" s="119"/>
      <c r="F79" s="119"/>
      <c r="G79" s="122">
        <f>'INPUT-Data(EUTIMES-HD)'!K22</f>
        <v>0.125</v>
      </c>
      <c r="H79" s="126"/>
      <c r="I79" s="139"/>
      <c r="J79" s="125"/>
      <c r="K79" s="125"/>
      <c r="L79" s="125"/>
      <c r="M79" s="162"/>
      <c r="N79" s="125"/>
      <c r="O79" s="162"/>
      <c r="P79" s="162"/>
      <c r="Q79" s="125"/>
      <c r="R79" s="162"/>
      <c r="S79" s="165"/>
    </row>
    <row r="80" spans="2:19">
      <c r="B80" s="136"/>
      <c r="C80" s="136"/>
      <c r="D80" s="152"/>
      <c r="E80" s="152"/>
      <c r="F80" s="136" t="s">
        <v>187</v>
      </c>
      <c r="G80" s="137"/>
      <c r="H80" s="138">
        <f>'INPUT-Data(EUTIMES-HD)'!M22</f>
        <v>1</v>
      </c>
      <c r="I80" s="141"/>
      <c r="J80" s="137"/>
      <c r="K80" s="137"/>
      <c r="L80" s="137"/>
      <c r="M80" s="152"/>
      <c r="N80" s="137"/>
      <c r="O80" s="152"/>
      <c r="P80" s="152"/>
      <c r="Q80" s="137"/>
      <c r="R80" s="152"/>
      <c r="S80" s="152"/>
    </row>
    <row r="81" spans="2:6">
      <c r="B81" s="119"/>
      <c r="C81" s="119"/>
      <c r="F81" s="148"/>
    </row>
    <row r="86" ht="13" spans="1:1">
      <c r="A86" s="153" t="s">
        <v>46</v>
      </c>
    </row>
    <row r="87" ht="13" spans="2:9">
      <c r="B87" s="153"/>
      <c r="C87" s="154"/>
      <c r="D87" s="154"/>
      <c r="E87" s="154"/>
      <c r="F87" s="154"/>
      <c r="G87" s="154"/>
      <c r="H87" s="154"/>
      <c r="I87" s="158" t="s">
        <v>205</v>
      </c>
    </row>
    <row r="88" ht="13" spans="1:12">
      <c r="A88" s="114" t="s">
        <v>47</v>
      </c>
      <c r="B88" s="114" t="s">
        <v>14</v>
      </c>
      <c r="C88" s="114" t="s">
        <v>48</v>
      </c>
      <c r="D88" s="114" t="s">
        <v>49</v>
      </c>
      <c r="E88" s="114" t="s">
        <v>50</v>
      </c>
      <c r="F88" s="114" t="s">
        <v>51</v>
      </c>
      <c r="G88" s="114" t="s">
        <v>52</v>
      </c>
      <c r="I88" t="s">
        <v>206</v>
      </c>
      <c r="J88" t="s">
        <v>207</v>
      </c>
      <c r="K88">
        <v>802.34</v>
      </c>
      <c r="L88" t="s">
        <v>208</v>
      </c>
    </row>
    <row r="89" ht="50" spans="1:12">
      <c r="A89" s="155" t="s">
        <v>54</v>
      </c>
      <c r="B89" s="155" t="s">
        <v>55</v>
      </c>
      <c r="C89" s="155" t="s">
        <v>32</v>
      </c>
      <c r="D89" s="155" t="s">
        <v>56</v>
      </c>
      <c r="E89" s="155" t="s">
        <v>57</v>
      </c>
      <c r="F89" s="155" t="s">
        <v>58</v>
      </c>
      <c r="G89" s="155" t="s">
        <v>59</v>
      </c>
      <c r="J89" t="s">
        <v>209</v>
      </c>
      <c r="K89">
        <v>244</v>
      </c>
      <c r="L89" t="s">
        <v>208</v>
      </c>
    </row>
    <row r="90" spans="1:12">
      <c r="A90" s="118" t="s">
        <v>111</v>
      </c>
      <c r="B90" s="118" t="s">
        <v>182</v>
      </c>
      <c r="C90" s="118" t="str">
        <f>'INPUT-Data(EUTIMES-HD)'!C3</f>
        <v>Fuel Tech - H2 Delivery from centralized production (COMP+USTOR+TR+LIQ+LSTORB+RTS+REFLL(large))</v>
      </c>
      <c r="D90" s="156" t="s">
        <v>64</v>
      </c>
      <c r="E90" s="157" t="s">
        <v>210</v>
      </c>
      <c r="F90" s="156" t="s">
        <v>154</v>
      </c>
      <c r="G90" s="119"/>
      <c r="H90" s="119"/>
      <c r="I90" t="s">
        <v>211</v>
      </c>
      <c r="J90" t="s">
        <v>207</v>
      </c>
      <c r="K90">
        <f>K88/K98</f>
        <v>1226.77998809154</v>
      </c>
      <c r="L90" t="s">
        <v>212</v>
      </c>
    </row>
    <row r="91" spans="1:12">
      <c r="A91" s="118" t="s">
        <v>111</v>
      </c>
      <c r="B91" s="118" t="s">
        <v>186</v>
      </c>
      <c r="C91" s="118" t="str">
        <f>'INPUT-Data(EUTIMES-HD)'!C4</f>
        <v>Fuel Tech - H2 Delivery from centralized production (COMP+USTOR+TR+LIQ+LSTORB+RTS+REFLG(large))</v>
      </c>
      <c r="D91" s="156" t="s">
        <v>64</v>
      </c>
      <c r="E91" s="157" t="s">
        <v>210</v>
      </c>
      <c r="F91" s="156" t="s">
        <v>154</v>
      </c>
      <c r="G91" s="119"/>
      <c r="H91" s="119"/>
      <c r="J91" t="s">
        <v>209</v>
      </c>
      <c r="K91">
        <f>K89/K99</f>
        <v>2984.61317739946</v>
      </c>
      <c r="L91" t="s">
        <v>212</v>
      </c>
    </row>
    <row r="92" spans="1:12">
      <c r="A92" s="118" t="s">
        <v>111</v>
      </c>
      <c r="B92" s="118" t="s">
        <v>213</v>
      </c>
      <c r="C92" s="118" t="str">
        <f>'INPUT-Data(EUTIMES-HD)'!C5</f>
        <v>Fuel Tech - H2 Delivery from centralized production (COMP+TR+LIQ+LSTORB+RTS+REFLL(large))</v>
      </c>
      <c r="D92" s="156" t="s">
        <v>64</v>
      </c>
      <c r="E92" s="157" t="s">
        <v>210</v>
      </c>
      <c r="F92" s="156" t="s">
        <v>154</v>
      </c>
      <c r="G92" s="119"/>
      <c r="I92" t="s">
        <v>214</v>
      </c>
      <c r="J92" t="s">
        <v>207</v>
      </c>
      <c r="K92">
        <v>16</v>
      </c>
      <c r="L92" t="s">
        <v>215</v>
      </c>
    </row>
    <row r="93" spans="1:12">
      <c r="A93" s="118" t="s">
        <v>111</v>
      </c>
      <c r="B93" s="118" t="s">
        <v>216</v>
      </c>
      <c r="C93" s="118" t="str">
        <f>'INPUT-Data(EUTIMES-HD)'!C6</f>
        <v>Fuel Tech - H2 Delivery from centralized production (COMP+TR+LIQ+LSTORB+RTS+REFLG(large))</v>
      </c>
      <c r="D93" s="156" t="s">
        <v>64</v>
      </c>
      <c r="E93" s="157" t="s">
        <v>210</v>
      </c>
      <c r="F93" s="156" t="s">
        <v>154</v>
      </c>
      <c r="G93" s="119"/>
      <c r="J93" t="s">
        <v>209</v>
      </c>
      <c r="K93">
        <v>2</v>
      </c>
      <c r="L93" t="s">
        <v>215</v>
      </c>
    </row>
    <row r="94" spans="1:12">
      <c r="A94" s="118" t="s">
        <v>111</v>
      </c>
      <c r="B94" s="118" t="s">
        <v>217</v>
      </c>
      <c r="C94" s="118" t="str">
        <f>'INPUT-Data(EUTIMES-HD)'!C7</f>
        <v>Fuel Tech - H2 Delivery from centralized production (COMP+TR+DP - Industrial)</v>
      </c>
      <c r="D94" s="156" t="s">
        <v>64</v>
      </c>
      <c r="E94" s="157" t="s">
        <v>210</v>
      </c>
      <c r="F94" s="156" t="s">
        <v>154</v>
      </c>
      <c r="G94" s="119"/>
      <c r="I94" t="s">
        <v>218</v>
      </c>
      <c r="J94" t="s">
        <v>207</v>
      </c>
      <c r="K94">
        <v>0.94</v>
      </c>
      <c r="L94" t="s">
        <v>219</v>
      </c>
    </row>
    <row r="95" spans="1:11">
      <c r="A95" s="118" t="s">
        <v>111</v>
      </c>
      <c r="B95" s="118" t="s">
        <v>220</v>
      </c>
      <c r="C95" s="118" t="str">
        <f>'INPUT-Data(EUTIMES-HD)'!C8</f>
        <v>Fuel Tech - H2 Delivery from centralized production (COMP+TR+DP - Residential)</v>
      </c>
      <c r="D95" s="156" t="s">
        <v>64</v>
      </c>
      <c r="E95" s="157" t="s">
        <v>210</v>
      </c>
      <c r="F95" s="156" t="s">
        <v>154</v>
      </c>
      <c r="G95" s="119"/>
      <c r="J95" t="s">
        <v>209</v>
      </c>
      <c r="K95">
        <v>1.05</v>
      </c>
    </row>
    <row r="96" spans="1:13">
      <c r="A96" s="118" t="s">
        <v>111</v>
      </c>
      <c r="B96" s="118" t="s">
        <v>221</v>
      </c>
      <c r="C96" s="118" t="str">
        <f>'INPUT-Data(EUTIMES-HD)'!C9</f>
        <v>Fuel Tech - H2 Delivery from centralized production (COMP+TR+DP+REFGG(large))</v>
      </c>
      <c r="D96" s="156" t="s">
        <v>64</v>
      </c>
      <c r="E96" s="157" t="s">
        <v>210</v>
      </c>
      <c r="F96" s="156" t="s">
        <v>154</v>
      </c>
      <c r="G96" s="119"/>
      <c r="I96" t="s">
        <v>222</v>
      </c>
      <c r="J96" t="s">
        <v>207</v>
      </c>
      <c r="K96">
        <f>10000000*K92*0.001/(K94*8.314*365)</f>
        <v>56.0904913506008</v>
      </c>
      <c r="L96" t="s">
        <v>223</v>
      </c>
      <c r="M96" t="s">
        <v>219</v>
      </c>
    </row>
    <row r="97" spans="1:12">
      <c r="A97" s="118" t="s">
        <v>111</v>
      </c>
      <c r="B97" s="118" t="s">
        <v>224</v>
      </c>
      <c r="C97" s="118" t="str">
        <f>'INPUT-Data(EUTIMES-HD)'!C10</f>
        <v>Fuel Tech - H2 Delivery from centralized production (COMP+USTOR+TR+GSTORB+RTS+REFGG (small))</v>
      </c>
      <c r="D97" s="156" t="s">
        <v>64</v>
      </c>
      <c r="E97" s="157" t="s">
        <v>210</v>
      </c>
      <c r="F97" s="156" t="s">
        <v>154</v>
      </c>
      <c r="G97" s="119"/>
      <c r="J97" t="s">
        <v>209</v>
      </c>
      <c r="K97">
        <f>10000000*K93*0.001/(K95*8.314*365)</f>
        <v>6.27679307971009</v>
      </c>
      <c r="L97" t="s">
        <v>223</v>
      </c>
    </row>
    <row r="98" spans="1:13">
      <c r="A98" s="118" t="s">
        <v>111</v>
      </c>
      <c r="B98" s="118" t="s">
        <v>193</v>
      </c>
      <c r="C98" s="118" t="str">
        <f>'INPUT-Data(EUTIMES-HD)'!C11</f>
        <v>Fuel Tech - H2 Delivery from centralized production (COMP+USTOR+TR+DP - Residential)</v>
      </c>
      <c r="D98" s="156" t="s">
        <v>64</v>
      </c>
      <c r="E98" s="157" t="s">
        <v>210</v>
      </c>
      <c r="F98" s="156" t="s">
        <v>154</v>
      </c>
      <c r="G98" s="119"/>
      <c r="J98" t="s">
        <v>207</v>
      </c>
      <c r="K98">
        <f>101325*K92*0.001/(8.314*298.15)</f>
        <v>0.654021102225653</v>
      </c>
      <c r="L98" t="s">
        <v>223</v>
      </c>
      <c r="M98" t="s">
        <v>225</v>
      </c>
    </row>
    <row r="99" spans="1:12">
      <c r="A99" s="118" t="s">
        <v>111</v>
      </c>
      <c r="B99" s="118" t="s">
        <v>194</v>
      </c>
      <c r="C99" s="118" t="str">
        <f>'INPUT-Data(EUTIMES-HD)'!C12</f>
        <v>Fuel Tech - H2 Delivery from centralized production (COMP+USTOR+TR+DP+REFGG(large))</v>
      </c>
      <c r="D99" s="156" t="s">
        <v>64</v>
      </c>
      <c r="E99" s="157" t="s">
        <v>210</v>
      </c>
      <c r="F99" s="156" t="s">
        <v>154</v>
      </c>
      <c r="G99" s="119"/>
      <c r="J99" t="s">
        <v>209</v>
      </c>
      <c r="K99">
        <f>101325*K93*0.001/(8.314*298.15)</f>
        <v>0.0817526377782066</v>
      </c>
      <c r="L99" t="s">
        <v>223</v>
      </c>
    </row>
    <row r="100" spans="1:12">
      <c r="A100" s="118" t="s">
        <v>111</v>
      </c>
      <c r="B100" s="118" t="s">
        <v>226</v>
      </c>
      <c r="C100" s="118" t="str">
        <f>'INPUT-Data(EUTIMES-HD)'!C13</f>
        <v>Fuel Tech - H2 Delivery from centralized production to blending (COMP+USTOR+TR+BLENDING+(nocosNATGASINF))-RSD</v>
      </c>
      <c r="D100" s="156" t="s">
        <v>64</v>
      </c>
      <c r="E100" s="157" t="s">
        <v>210</v>
      </c>
      <c r="F100" s="156" t="s">
        <v>154</v>
      </c>
      <c r="G100" s="119"/>
      <c r="J100" t="s">
        <v>207</v>
      </c>
      <c r="K100">
        <f>K96/K92*1000</f>
        <v>3505.65570941255</v>
      </c>
      <c r="L100" t="s">
        <v>227</v>
      </c>
    </row>
    <row r="101" spans="1:12">
      <c r="A101" s="118" t="s">
        <v>111</v>
      </c>
      <c r="B101" s="118" t="s">
        <v>228</v>
      </c>
      <c r="C101" s="118" t="str">
        <f>'INPUT-Data(EUTIMES-HD)'!C14</f>
        <v>Fuel Tech - H2 Delivery from centralized production to blending (COMP+USTOR+TR+BLENDING+(nocosNATGASINF))-COM</v>
      </c>
      <c r="D101" s="156" t="s">
        <v>64</v>
      </c>
      <c r="E101" s="157" t="s">
        <v>210</v>
      </c>
      <c r="F101" s="156" t="s">
        <v>154</v>
      </c>
      <c r="G101" s="119"/>
      <c r="J101" t="s">
        <v>209</v>
      </c>
      <c r="K101">
        <f>K97/K93*1000</f>
        <v>3138.39653985505</v>
      </c>
      <c r="L101" t="s">
        <v>227</v>
      </c>
    </row>
    <row r="102" spans="1:10">
      <c r="A102" s="118" t="s">
        <v>111</v>
      </c>
      <c r="B102" s="118" t="s">
        <v>229</v>
      </c>
      <c r="C102" s="118" t="str">
        <f>'INPUT-Data(EUTIMES-HD)'!C15</f>
        <v>Fuel Tech - H2 Delivery from centralized production to blending (COMP+USTOR+TR+BLENDING+(nocosNATGASINF))-AGR</v>
      </c>
      <c r="D102" s="156" t="s">
        <v>64</v>
      </c>
      <c r="E102" s="157" t="s">
        <v>210</v>
      </c>
      <c r="F102" s="156" t="s">
        <v>154</v>
      </c>
      <c r="G102" s="119"/>
      <c r="J102" t="s">
        <v>230</v>
      </c>
    </row>
    <row r="103" spans="1:10">
      <c r="A103" s="118" t="s">
        <v>111</v>
      </c>
      <c r="B103" s="118" t="s">
        <v>231</v>
      </c>
      <c r="C103" s="118" t="str">
        <f>'INPUT-Data(EUTIMES-HD)'!C16</f>
        <v>Fuel Tech - H2 Delivery from centralized production to blending (COMP+USTOR+TR+BLENDING+(nocosNATGASINF))-TRA</v>
      </c>
      <c r="D103" s="156" t="s">
        <v>64</v>
      </c>
      <c r="E103" s="157" t="s">
        <v>210</v>
      </c>
      <c r="F103" s="156" t="s">
        <v>154</v>
      </c>
      <c r="G103" s="119"/>
      <c r="J103" s="163">
        <v>0.15</v>
      </c>
    </row>
    <row r="104" spans="1:12">
      <c r="A104" s="118" t="s">
        <v>111</v>
      </c>
      <c r="B104" s="118" t="s">
        <v>232</v>
      </c>
      <c r="C104" s="118" t="str">
        <f>'INPUT-Data(EUTIMES-HD)'!C17</f>
        <v>Fuel Tech - H2 Delivery from centralized production to blending (COMP+USTOR+TR+BLENDING+(nocosNATGASINF))-IND</v>
      </c>
      <c r="D104" s="156" t="s">
        <v>64</v>
      </c>
      <c r="E104" s="157" t="s">
        <v>210</v>
      </c>
      <c r="F104" s="156" t="s">
        <v>154</v>
      </c>
      <c r="G104" s="119"/>
      <c r="K104">
        <v>100</v>
      </c>
      <c r="L104" t="s">
        <v>233</v>
      </c>
    </row>
    <row r="105" spans="1:12">
      <c r="A105" s="118" t="s">
        <v>111</v>
      </c>
      <c r="B105" s="118" t="s">
        <v>234</v>
      </c>
      <c r="C105" s="118" t="str">
        <f>'INPUT-Data(EUTIMES-HD)'!C18</f>
        <v>Fuel Tech - H2 Delivery from centralized production to blending (COMP+USTOR+TR+BLENDING+(nocosNATGASINF))-ELC</v>
      </c>
      <c r="D105" s="156" t="s">
        <v>64</v>
      </c>
      <c r="E105" s="157" t="s">
        <v>210</v>
      </c>
      <c r="F105" s="156" t="s">
        <v>154</v>
      </c>
      <c r="G105" s="119"/>
      <c r="I105" t="s">
        <v>235</v>
      </c>
      <c r="J105" t="s">
        <v>207</v>
      </c>
      <c r="K105">
        <f>K104*(1-J103)</f>
        <v>85</v>
      </c>
      <c r="L105" t="s">
        <v>233</v>
      </c>
    </row>
    <row r="106" spans="1:12">
      <c r="A106" s="118" t="s">
        <v>111</v>
      </c>
      <c r="B106" s="118" t="s">
        <v>236</v>
      </c>
      <c r="C106" s="118" t="str">
        <f>'INPUT-Data(EUTIMES-HD)'!C19</f>
        <v>Fuel Tech - H2 Delivery from centralized production to blending (COMP+USTOR+TR+BLENDING+(nocosNATGASINF))-SUP</v>
      </c>
      <c r="D106" s="156" t="s">
        <v>64</v>
      </c>
      <c r="E106" s="157" t="s">
        <v>210</v>
      </c>
      <c r="F106" s="156" t="s">
        <v>154</v>
      </c>
      <c r="G106" s="119"/>
      <c r="J106" t="s">
        <v>209</v>
      </c>
      <c r="K106">
        <f>K104*J103</f>
        <v>15</v>
      </c>
      <c r="L106" t="s">
        <v>233</v>
      </c>
    </row>
    <row r="107" spans="1:12">
      <c r="A107" s="118" t="s">
        <v>111</v>
      </c>
      <c r="B107" s="118" t="s">
        <v>237</v>
      </c>
      <c r="C107" s="118" t="str">
        <f>'INPUT-Data(EUTIMES-HD)'!C20</f>
        <v>Fuel Tech - H2 Delivery from local production (LOCGSTORB+DP - Residential)</v>
      </c>
      <c r="D107" s="156" t="s">
        <v>64</v>
      </c>
      <c r="E107" s="157" t="s">
        <v>210</v>
      </c>
      <c r="F107" s="156" t="s">
        <v>154</v>
      </c>
      <c r="G107" s="119"/>
      <c r="I107" t="s">
        <v>238</v>
      </c>
      <c r="J107" t="s">
        <v>207</v>
      </c>
      <c r="K107">
        <f>K105*K100*K88*0.001</f>
        <v>239081.863160656</v>
      </c>
      <c r="L107" t="s">
        <v>239</v>
      </c>
    </row>
    <row r="108" spans="1:12">
      <c r="A108" s="118" t="s">
        <v>111</v>
      </c>
      <c r="B108" s="118" t="s">
        <v>240</v>
      </c>
      <c r="C108" s="118" t="str">
        <f>'INPUT-Data(EUTIMES-HD)'!C21</f>
        <v>Fuel Tech - H2 Delivery from local production (LOCGSTORB+ONSITELIQ+REFLL (large))</v>
      </c>
      <c r="D108" s="156" t="s">
        <v>64</v>
      </c>
      <c r="E108" s="157" t="s">
        <v>210</v>
      </c>
      <c r="F108" s="156" t="s">
        <v>154</v>
      </c>
      <c r="G108" s="119"/>
      <c r="J108" t="s">
        <v>209</v>
      </c>
      <c r="K108">
        <f>K106*K101*K89*0.001</f>
        <v>11486.5313358695</v>
      </c>
      <c r="L108" t="s">
        <v>239</v>
      </c>
    </row>
    <row r="109" spans="1:11">
      <c r="A109" s="118" t="s">
        <v>111</v>
      </c>
      <c r="B109" s="118" t="s">
        <v>241</v>
      </c>
      <c r="C109" s="118" t="str">
        <f>'INPUT-Data(EUTIMES-HD)'!C22</f>
        <v>Fuel Tech - H2 Delivery from local production (LOCGSTORB + REFGG (small))</v>
      </c>
      <c r="D109" s="156" t="s">
        <v>64</v>
      </c>
      <c r="E109" s="157" t="s">
        <v>210</v>
      </c>
      <c r="F109" s="156" t="s">
        <v>154</v>
      </c>
      <c r="G109" s="119"/>
      <c r="J109" t="s">
        <v>242</v>
      </c>
      <c r="K109" s="163">
        <f>K108/(K107+K108)</f>
        <v>0.0458419002083232</v>
      </c>
    </row>
    <row r="110" spans="9:12">
      <c r="I110" t="s">
        <v>211</v>
      </c>
      <c r="J110" t="s">
        <v>207</v>
      </c>
      <c r="K110">
        <f>10000000*K92*0.001*K105/(K94*8.314*365)</f>
        <v>4767.69176480107</v>
      </c>
      <c r="L110" t="s">
        <v>243</v>
      </c>
    </row>
    <row r="111" ht="13" spans="1:12">
      <c r="A111" s="153" t="s">
        <v>68</v>
      </c>
      <c r="J111" t="s">
        <v>209</v>
      </c>
      <c r="K111">
        <f>10000000*K93*0.001*K106/(K95*8.314*365)</f>
        <v>94.1518961956514</v>
      </c>
      <c r="L111" t="s">
        <v>243</v>
      </c>
    </row>
    <row r="112" spans="2:11">
      <c r="B112" s="158"/>
      <c r="C112" s="158"/>
      <c r="D112" s="158"/>
      <c r="E112" s="158"/>
      <c r="F112" s="158"/>
      <c r="G112" s="158"/>
      <c r="H112" s="158"/>
      <c r="J112" t="s">
        <v>242</v>
      </c>
      <c r="K112">
        <f>K111/(K110+K111)</f>
        <v>0.019365471775855</v>
      </c>
    </row>
    <row r="113" ht="13" spans="1:12">
      <c r="A113" s="159" t="s">
        <v>69</v>
      </c>
      <c r="B113" s="159" t="s">
        <v>70</v>
      </c>
      <c r="C113" s="159" t="s">
        <v>71</v>
      </c>
      <c r="D113" s="160" t="s">
        <v>72</v>
      </c>
      <c r="E113" s="160" t="s">
        <v>73</v>
      </c>
      <c r="F113" s="160" t="s">
        <v>74</v>
      </c>
      <c r="G113" s="160" t="s">
        <v>75</v>
      </c>
      <c r="H113" s="160" t="s">
        <v>76</v>
      </c>
      <c r="K113">
        <f>K110*K90</f>
        <v>5848908.84644678</v>
      </c>
      <c r="L113" t="s">
        <v>239</v>
      </c>
    </row>
    <row r="114" ht="50" spans="1:12">
      <c r="A114" s="155" t="s">
        <v>77</v>
      </c>
      <c r="B114" s="155" t="s">
        <v>78</v>
      </c>
      <c r="C114" s="155" t="s">
        <v>79</v>
      </c>
      <c r="D114" s="155" t="s">
        <v>72</v>
      </c>
      <c r="E114" s="155" t="s">
        <v>80</v>
      </c>
      <c r="F114" s="155" t="s">
        <v>81</v>
      </c>
      <c r="G114" s="155" t="s">
        <v>82</v>
      </c>
      <c r="H114" s="155" t="s">
        <v>83</v>
      </c>
      <c r="K114">
        <f>K111*K91</f>
        <v>281006.990062687</v>
      </c>
      <c r="L114" t="s">
        <v>239</v>
      </c>
    </row>
    <row r="115" spans="1:11">
      <c r="A115" s="118" t="s">
        <v>84</v>
      </c>
      <c r="B115" s="119" t="s">
        <v>191</v>
      </c>
      <c r="C115" s="119" t="s">
        <v>191</v>
      </c>
      <c r="D115" s="119" t="s">
        <v>64</v>
      </c>
      <c r="E115" s="119"/>
      <c r="F115" s="156" t="s">
        <v>154</v>
      </c>
      <c r="G115" s="119"/>
      <c r="H115" s="119"/>
      <c r="J115" t="s">
        <v>242</v>
      </c>
      <c r="K115" s="163">
        <f>K114/(K113+K114)</f>
        <v>0.0458419002083232</v>
      </c>
    </row>
    <row r="116" spans="1:8">
      <c r="A116" s="119" t="s">
        <v>84</v>
      </c>
      <c r="B116" s="119" t="s">
        <v>187</v>
      </c>
      <c r="C116" s="119" t="s">
        <v>244</v>
      </c>
      <c r="D116" s="119" t="s">
        <v>64</v>
      </c>
      <c r="E116" s="119"/>
      <c r="F116" s="156" t="s">
        <v>154</v>
      </c>
      <c r="G116" s="119"/>
      <c r="H116" s="119"/>
    </row>
    <row r="117" spans="1:8">
      <c r="A117" s="119" t="s">
        <v>84</v>
      </c>
      <c r="B117" s="119" t="s">
        <v>185</v>
      </c>
      <c r="C117" s="119" t="s">
        <v>245</v>
      </c>
      <c r="D117" s="119" t="s">
        <v>64</v>
      </c>
      <c r="E117" s="119"/>
      <c r="F117" s="156" t="s">
        <v>154</v>
      </c>
      <c r="G117" s="119"/>
      <c r="H117" s="119"/>
    </row>
    <row r="118" spans="1:8">
      <c r="A118" s="119" t="s">
        <v>84</v>
      </c>
      <c r="B118" s="119" t="s">
        <v>190</v>
      </c>
      <c r="C118" s="119" t="s">
        <v>190</v>
      </c>
      <c r="D118" s="119" t="s">
        <v>64</v>
      </c>
      <c r="E118" s="119"/>
      <c r="F118" s="156" t="s">
        <v>154</v>
      </c>
      <c r="G118" s="119"/>
      <c r="H118" s="119"/>
    </row>
  </sheetData>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246</v>
      </c>
      <c r="B1" s="39" t="s">
        <v>247</v>
      </c>
      <c r="C1" s="39" t="s">
        <v>248</v>
      </c>
      <c r="D1" s="39" t="s">
        <v>249</v>
      </c>
      <c r="E1" s="40" t="s">
        <v>250</v>
      </c>
      <c r="F1" s="41" t="s">
        <v>251</v>
      </c>
      <c r="G1" s="41" t="s">
        <v>252</v>
      </c>
      <c r="H1" s="41" t="s">
        <v>253</v>
      </c>
      <c r="I1" s="41" t="s">
        <v>254</v>
      </c>
      <c r="J1" s="41" t="s">
        <v>255</v>
      </c>
      <c r="K1" s="41"/>
      <c r="L1" s="41"/>
      <c r="M1" s="41"/>
      <c r="N1" s="41" t="s">
        <v>256</v>
      </c>
      <c r="O1" s="41"/>
      <c r="P1" s="41"/>
      <c r="Q1" s="41"/>
      <c r="R1" s="41" t="s">
        <v>257</v>
      </c>
      <c r="S1" s="41" t="s">
        <v>258</v>
      </c>
      <c r="T1" s="40" t="s">
        <v>259</v>
      </c>
      <c r="U1" s="40" t="s">
        <v>21</v>
      </c>
      <c r="V1" s="40" t="s">
        <v>260</v>
      </c>
      <c r="W1" s="40"/>
      <c r="X1" s="40"/>
      <c r="Y1" s="40"/>
      <c r="Z1" s="40" t="s">
        <v>261</v>
      </c>
      <c r="AA1" s="40"/>
      <c r="AB1" s="40"/>
      <c r="AC1" s="40"/>
      <c r="AD1" s="40" t="s">
        <v>262</v>
      </c>
      <c r="AE1" s="40"/>
      <c r="AF1" s="40"/>
      <c r="AG1" s="40"/>
      <c r="AH1" s="40" t="s">
        <v>28</v>
      </c>
      <c r="AI1" s="40" t="s">
        <v>131</v>
      </c>
      <c r="AJ1" s="39" t="s">
        <v>263</v>
      </c>
    </row>
    <row r="2" s="32" customFormat="1" spans="1:36">
      <c r="A2" s="42"/>
      <c r="B2" s="42"/>
      <c r="C2" s="42"/>
      <c r="D2" s="42"/>
      <c r="E2" s="43" t="s">
        <v>264</v>
      </c>
      <c r="F2" s="44"/>
      <c r="G2" s="44"/>
      <c r="H2" s="44"/>
      <c r="I2" s="44"/>
      <c r="J2" s="44">
        <v>2010</v>
      </c>
      <c r="K2" s="44">
        <v>2020</v>
      </c>
      <c r="L2" s="44">
        <v>2025</v>
      </c>
      <c r="M2" s="44">
        <v>2030</v>
      </c>
      <c r="N2" s="44">
        <v>2010</v>
      </c>
      <c r="O2" s="44">
        <v>2020</v>
      </c>
      <c r="P2" s="44">
        <v>2025</v>
      </c>
      <c r="Q2" s="44">
        <v>2030</v>
      </c>
      <c r="R2" s="44"/>
      <c r="S2" s="44"/>
      <c r="T2" s="43" t="s">
        <v>265</v>
      </c>
      <c r="U2" s="43"/>
      <c r="V2" s="43"/>
      <c r="W2" s="43">
        <v>2020</v>
      </c>
      <c r="X2" s="43">
        <v>2025</v>
      </c>
      <c r="Y2" s="43">
        <v>2030</v>
      </c>
      <c r="Z2" s="43"/>
      <c r="AA2" s="43">
        <v>2020</v>
      </c>
      <c r="AB2" s="43">
        <v>2025</v>
      </c>
      <c r="AC2" s="43">
        <v>2030</v>
      </c>
      <c r="AD2" s="43"/>
      <c r="AE2" s="43">
        <v>2020</v>
      </c>
      <c r="AF2" s="43">
        <v>2025</v>
      </c>
      <c r="AG2" s="43">
        <v>2030</v>
      </c>
      <c r="AH2" s="43" t="s">
        <v>266</v>
      </c>
      <c r="AI2" s="43" t="s">
        <v>267</v>
      </c>
      <c r="AJ2" s="42"/>
    </row>
    <row r="3" spans="1:36">
      <c r="A3" s="45" t="s">
        <v>268</v>
      </c>
      <c r="B3" s="45" t="s">
        <v>269</v>
      </c>
      <c r="C3" s="45" t="s">
        <v>270</v>
      </c>
      <c r="D3" s="45" t="s">
        <v>271</v>
      </c>
      <c r="E3" s="46" t="s">
        <v>272</v>
      </c>
      <c r="F3" s="47" t="s">
        <v>273</v>
      </c>
      <c r="G3" s="48" t="s">
        <v>274</v>
      </c>
      <c r="H3" s="48" t="s">
        <v>275</v>
      </c>
      <c r="I3" s="48" t="s">
        <v>276</v>
      </c>
      <c r="J3" s="46">
        <v>1.77</v>
      </c>
      <c r="K3" s="46"/>
      <c r="L3" s="46">
        <v>1.77</v>
      </c>
      <c r="M3" s="68">
        <v>1.62</v>
      </c>
      <c r="N3" s="68">
        <v>0.07</v>
      </c>
      <c r="O3" s="46"/>
      <c r="P3" s="68">
        <v>0.07</v>
      </c>
      <c r="Q3" s="68">
        <v>0.023</v>
      </c>
      <c r="R3" s="46">
        <v>1</v>
      </c>
      <c r="S3" s="46" t="s">
        <v>276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277</v>
      </c>
    </row>
    <row r="4" spans="1:36">
      <c r="A4" s="45" t="s">
        <v>268</v>
      </c>
      <c r="B4" s="45" t="s">
        <v>278</v>
      </c>
      <c r="C4" s="45" t="s">
        <v>279</v>
      </c>
      <c r="D4" s="45" t="s">
        <v>280</v>
      </c>
      <c r="E4" s="46" t="s">
        <v>272</v>
      </c>
      <c r="F4" s="47" t="s">
        <v>273</v>
      </c>
      <c r="G4" s="48" t="s">
        <v>276</v>
      </c>
      <c r="H4" s="48" t="s">
        <v>275</v>
      </c>
      <c r="I4" s="48" t="s">
        <v>274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100" t="s">
        <v>281</v>
      </c>
    </row>
    <row r="5" spans="1:36">
      <c r="A5" s="45" t="s">
        <v>268</v>
      </c>
      <c r="B5" s="45" t="s">
        <v>282</v>
      </c>
      <c r="C5" s="45" t="s">
        <v>283</v>
      </c>
      <c r="D5" s="45" t="s">
        <v>284</v>
      </c>
      <c r="E5" s="46" t="s">
        <v>272</v>
      </c>
      <c r="F5" s="47" t="s">
        <v>273</v>
      </c>
      <c r="G5" s="48" t="s">
        <v>274</v>
      </c>
      <c r="H5" s="48" t="s">
        <v>275</v>
      </c>
      <c r="I5" s="48" t="s">
        <v>276</v>
      </c>
      <c r="J5" s="46">
        <v>1.77</v>
      </c>
      <c r="K5" s="46"/>
      <c r="L5" s="46">
        <v>1.77</v>
      </c>
      <c r="M5" s="68">
        <v>1.62</v>
      </c>
      <c r="N5" s="68">
        <v>0.111</v>
      </c>
      <c r="O5" s="46"/>
      <c r="P5" s="68">
        <v>0.111</v>
      </c>
      <c r="Q5" s="68">
        <v>0.023</v>
      </c>
      <c r="R5" s="46">
        <v>1</v>
      </c>
      <c r="S5" s="46" t="s">
        <v>276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277</v>
      </c>
    </row>
    <row r="6" spans="1:36">
      <c r="A6" s="45" t="s">
        <v>268</v>
      </c>
      <c r="B6" s="45" t="s">
        <v>285</v>
      </c>
      <c r="C6" s="45" t="s">
        <v>286</v>
      </c>
      <c r="D6" s="45" t="s">
        <v>287</v>
      </c>
      <c r="E6" s="46" t="s">
        <v>272</v>
      </c>
      <c r="F6" s="47" t="s">
        <v>273</v>
      </c>
      <c r="G6" s="48" t="s">
        <v>276</v>
      </c>
      <c r="H6" s="48" t="s">
        <v>275</v>
      </c>
      <c r="I6" s="48" t="s">
        <v>274</v>
      </c>
      <c r="J6" s="46">
        <v>1.72</v>
      </c>
      <c r="K6" s="46"/>
      <c r="L6" s="46"/>
      <c r="M6" s="46"/>
      <c r="N6" s="68" t="s">
        <v>276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281</v>
      </c>
    </row>
    <row r="7" spans="1:36">
      <c r="A7" s="45" t="s">
        <v>268</v>
      </c>
      <c r="B7" s="45" t="s">
        <v>288</v>
      </c>
      <c r="C7" s="45" t="s">
        <v>289</v>
      </c>
      <c r="D7" s="45" t="s">
        <v>290</v>
      </c>
      <c r="E7" s="46" t="s">
        <v>291</v>
      </c>
      <c r="F7" s="47" t="s">
        <v>292</v>
      </c>
      <c r="G7" s="48" t="s">
        <v>274</v>
      </c>
      <c r="H7" s="48" t="s">
        <v>275</v>
      </c>
      <c r="I7" s="48" t="s">
        <v>276</v>
      </c>
      <c r="J7" s="46">
        <v>3</v>
      </c>
      <c r="K7" s="46"/>
      <c r="L7" s="46"/>
      <c r="M7" s="46"/>
      <c r="N7" s="68">
        <v>0.2</v>
      </c>
      <c r="O7" s="46"/>
      <c r="P7" s="46"/>
      <c r="Q7" s="46"/>
      <c r="R7" s="46">
        <v>1</v>
      </c>
      <c r="S7" s="46" t="s">
        <v>276</v>
      </c>
      <c r="T7" s="69">
        <v>0.708</v>
      </c>
      <c r="U7" s="77">
        <v>0.71</v>
      </c>
      <c r="V7" s="69"/>
      <c r="W7" s="69">
        <v>3099.11034878123</v>
      </c>
      <c r="X7" s="69"/>
      <c r="Y7" s="69"/>
      <c r="Z7" s="68"/>
      <c r="AA7" s="68"/>
      <c r="AB7" s="68"/>
      <c r="AC7" s="68"/>
      <c r="AD7" s="68"/>
      <c r="AE7" s="68"/>
      <c r="AF7" s="68"/>
      <c r="AG7" s="68"/>
      <c r="AH7" s="46">
        <v>20</v>
      </c>
      <c r="AI7" s="98">
        <v>2021</v>
      </c>
      <c r="AJ7" s="100" t="s">
        <v>293</v>
      </c>
    </row>
    <row r="8" spans="1:36">
      <c r="A8" s="45" t="s">
        <v>268</v>
      </c>
      <c r="B8" s="45" t="s">
        <v>294</v>
      </c>
      <c r="C8" s="45" t="s">
        <v>295</v>
      </c>
      <c r="D8" s="45" t="s">
        <v>296</v>
      </c>
      <c r="E8" s="46" t="s">
        <v>272</v>
      </c>
      <c r="F8" s="47" t="s">
        <v>292</v>
      </c>
      <c r="G8" s="48" t="s">
        <v>274</v>
      </c>
      <c r="H8" s="48" t="s">
        <v>275</v>
      </c>
      <c r="I8" s="48" t="s">
        <v>276</v>
      </c>
      <c r="J8" s="46">
        <v>2.78</v>
      </c>
      <c r="K8" s="69">
        <v>1.804</v>
      </c>
      <c r="L8" s="69"/>
      <c r="M8" s="46"/>
      <c r="N8" s="68">
        <v>0.195</v>
      </c>
      <c r="O8" s="68">
        <v>0.097</v>
      </c>
      <c r="P8" s="68"/>
      <c r="Q8" s="46"/>
      <c r="R8" s="46">
        <v>1</v>
      </c>
      <c r="S8" s="46" t="s">
        <v>276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297</v>
      </c>
    </row>
    <row r="9" spans="1:36">
      <c r="A9" s="45" t="s">
        <v>268</v>
      </c>
      <c r="B9" s="45" t="s">
        <v>298</v>
      </c>
      <c r="C9" s="45" t="s">
        <v>299</v>
      </c>
      <c r="D9" s="45" t="s">
        <v>300</v>
      </c>
      <c r="E9" s="46" t="s">
        <v>272</v>
      </c>
      <c r="F9" s="47" t="s">
        <v>292</v>
      </c>
      <c r="G9" s="48" t="s">
        <v>274</v>
      </c>
      <c r="H9" s="48" t="s">
        <v>275</v>
      </c>
      <c r="I9" s="48" t="s">
        <v>276</v>
      </c>
      <c r="J9" s="46">
        <v>2.78</v>
      </c>
      <c r="K9" s="69">
        <v>1.804</v>
      </c>
      <c r="L9" s="69"/>
      <c r="M9" s="46"/>
      <c r="N9" s="68">
        <v>0.27</v>
      </c>
      <c r="O9" s="68">
        <v>0.143</v>
      </c>
      <c r="P9" s="68"/>
      <c r="Q9" s="46"/>
      <c r="R9" s="46">
        <v>1</v>
      </c>
      <c r="S9" s="46" t="s">
        <v>276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277</v>
      </c>
    </row>
    <row r="10" spans="1:36">
      <c r="A10" s="45" t="s">
        <v>268</v>
      </c>
      <c r="B10" s="45" t="s">
        <v>301</v>
      </c>
      <c r="C10" s="45" t="s">
        <v>302</v>
      </c>
      <c r="D10" s="45" t="s">
        <v>303</v>
      </c>
      <c r="E10" s="46" t="s">
        <v>272</v>
      </c>
      <c r="F10" s="47" t="s">
        <v>304</v>
      </c>
      <c r="G10" s="48" t="s">
        <v>274</v>
      </c>
      <c r="H10" s="49" t="s">
        <v>275</v>
      </c>
      <c r="I10" s="48" t="s">
        <v>276</v>
      </c>
      <c r="J10" s="46">
        <v>1.75</v>
      </c>
      <c r="K10" s="46"/>
      <c r="L10" s="46"/>
      <c r="M10" s="46"/>
      <c r="N10" s="68">
        <v>0.35</v>
      </c>
      <c r="O10" s="46"/>
      <c r="P10" s="46"/>
      <c r="Q10" s="46"/>
      <c r="R10" s="46">
        <v>1</v>
      </c>
      <c r="S10" s="46" t="s">
        <v>276</v>
      </c>
      <c r="T10" s="69">
        <v>18.9</v>
      </c>
      <c r="U10" s="77">
        <v>0.9</v>
      </c>
      <c r="V10" s="69"/>
      <c r="W10" s="69"/>
      <c r="X10" s="69"/>
      <c r="Y10" s="69"/>
      <c r="Z10" s="68"/>
      <c r="AA10" s="68"/>
      <c r="AB10" s="68"/>
      <c r="AC10" s="68"/>
      <c r="AD10" s="68"/>
      <c r="AE10" s="68"/>
      <c r="AF10" s="68"/>
      <c r="AG10" s="68"/>
      <c r="AH10" s="46">
        <v>20</v>
      </c>
      <c r="AI10" s="98">
        <v>2021</v>
      </c>
      <c r="AJ10" s="100" t="s">
        <v>305</v>
      </c>
    </row>
    <row r="11" s="33" customFormat="1" spans="1:36">
      <c r="A11" s="50" t="s">
        <v>306</v>
      </c>
      <c r="B11" s="50" t="s">
        <v>307</v>
      </c>
      <c r="C11" s="50" t="s">
        <v>308</v>
      </c>
      <c r="D11" s="50" t="s">
        <v>309</v>
      </c>
      <c r="E11" s="51" t="s">
        <v>272</v>
      </c>
      <c r="F11" s="52" t="s">
        <v>292</v>
      </c>
      <c r="G11" s="53" t="s">
        <v>274</v>
      </c>
      <c r="H11" s="48" t="s">
        <v>275</v>
      </c>
      <c r="I11" s="53" t="s">
        <v>276</v>
      </c>
      <c r="J11" s="51">
        <v>1.36</v>
      </c>
      <c r="K11" s="51"/>
      <c r="L11" s="51"/>
      <c r="M11" s="51"/>
      <c r="N11" s="70">
        <v>0.044</v>
      </c>
      <c r="O11" s="51"/>
      <c r="P11" s="51"/>
      <c r="Q11" s="51"/>
      <c r="R11" s="51">
        <v>1</v>
      </c>
      <c r="S11" s="51" t="s">
        <v>276</v>
      </c>
      <c r="T11" s="78">
        <v>235</v>
      </c>
      <c r="U11" s="79">
        <v>0.9</v>
      </c>
      <c r="V11" s="78"/>
      <c r="W11" s="78"/>
      <c r="X11" s="78"/>
      <c r="Y11" s="78"/>
      <c r="Z11" s="70"/>
      <c r="AA11" s="70"/>
      <c r="AB11" s="70"/>
      <c r="AC11" s="70"/>
      <c r="AD11" s="70"/>
      <c r="AE11" s="70"/>
      <c r="AF11" s="70"/>
      <c r="AG11" s="70"/>
      <c r="AH11" s="51">
        <v>20</v>
      </c>
      <c r="AI11" s="98">
        <v>2021</v>
      </c>
      <c r="AJ11" s="101" t="s">
        <v>310</v>
      </c>
    </row>
    <row r="12" spans="1:36">
      <c r="A12" s="45" t="s">
        <v>306</v>
      </c>
      <c r="B12" s="45" t="s">
        <v>311</v>
      </c>
      <c r="C12" s="45" t="s">
        <v>312</v>
      </c>
      <c r="D12" s="45" t="s">
        <v>313</v>
      </c>
      <c r="E12" s="46" t="s">
        <v>272</v>
      </c>
      <c r="F12" s="47" t="s">
        <v>304</v>
      </c>
      <c r="G12" s="48" t="s">
        <v>274</v>
      </c>
      <c r="H12" s="48" t="s">
        <v>275</v>
      </c>
      <c r="I12" s="48" t="s">
        <v>276</v>
      </c>
      <c r="J12" s="68">
        <v>1.32</v>
      </c>
      <c r="K12" s="46"/>
      <c r="L12" s="68">
        <v>1.32</v>
      </c>
      <c r="M12" s="68">
        <v>1.25</v>
      </c>
      <c r="N12" s="68">
        <v>0.02</v>
      </c>
      <c r="O12" s="46"/>
      <c r="P12" s="68">
        <v>0.02</v>
      </c>
      <c r="Q12" s="68">
        <v>0.021</v>
      </c>
      <c r="R12" s="46">
        <v>1</v>
      </c>
      <c r="S12" s="46" t="s">
        <v>276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297</v>
      </c>
    </row>
    <row r="13" spans="1:36">
      <c r="A13" s="45" t="s">
        <v>306</v>
      </c>
      <c r="B13" s="45" t="s">
        <v>314</v>
      </c>
      <c r="C13" s="54" t="s">
        <v>315</v>
      </c>
      <c r="D13" s="45" t="s">
        <v>316</v>
      </c>
      <c r="E13" s="46" t="s">
        <v>272</v>
      </c>
      <c r="F13" s="47" t="s">
        <v>304</v>
      </c>
      <c r="G13" s="48" t="s">
        <v>274</v>
      </c>
      <c r="H13" s="48" t="s">
        <v>275</v>
      </c>
      <c r="I13" s="48" t="s">
        <v>276</v>
      </c>
      <c r="J13" s="68">
        <v>1.575</v>
      </c>
      <c r="K13" s="46"/>
      <c r="L13" s="68">
        <v>1.575</v>
      </c>
      <c r="M13" s="68">
        <v>1.48</v>
      </c>
      <c r="N13" s="68">
        <v>0.03</v>
      </c>
      <c r="O13" s="46"/>
      <c r="P13" s="68">
        <v>0.03</v>
      </c>
      <c r="Q13" s="68">
        <v>0.02</v>
      </c>
      <c r="R13" s="46">
        <v>1</v>
      </c>
      <c r="S13" s="46" t="s">
        <v>276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297</v>
      </c>
    </row>
    <row r="14" spans="1:36">
      <c r="A14" s="45" t="s">
        <v>306</v>
      </c>
      <c r="B14" s="45" t="s">
        <v>317</v>
      </c>
      <c r="C14" s="45" t="s">
        <v>318</v>
      </c>
      <c r="D14" s="55" t="s">
        <v>319</v>
      </c>
      <c r="E14" s="46" t="s">
        <v>272</v>
      </c>
      <c r="F14" s="47" t="s">
        <v>304</v>
      </c>
      <c r="G14" s="48" t="s">
        <v>274</v>
      </c>
      <c r="H14" s="48" t="s">
        <v>275</v>
      </c>
      <c r="I14" s="48" t="s">
        <v>276</v>
      </c>
      <c r="J14" s="46">
        <v>1.52</v>
      </c>
      <c r="K14" s="46"/>
      <c r="L14" s="68">
        <v>1.52</v>
      </c>
      <c r="M14" s="68">
        <v>1.4</v>
      </c>
      <c r="N14" s="68">
        <v>0.05</v>
      </c>
      <c r="O14" s="46"/>
      <c r="P14" s="68">
        <v>0.05</v>
      </c>
      <c r="Q14" s="68">
        <v>0.039</v>
      </c>
      <c r="R14" s="46">
        <v>1</v>
      </c>
      <c r="S14" s="46" t="s">
        <v>276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297</v>
      </c>
    </row>
    <row r="15" spans="1:36">
      <c r="A15" s="45" t="s">
        <v>306</v>
      </c>
      <c r="B15" s="45" t="s">
        <v>320</v>
      </c>
      <c r="C15" s="54" t="s">
        <v>321</v>
      </c>
      <c r="D15" s="55" t="s">
        <v>322</v>
      </c>
      <c r="E15" s="46" t="s">
        <v>272</v>
      </c>
      <c r="F15" s="47" t="s">
        <v>304</v>
      </c>
      <c r="G15" s="48" t="s">
        <v>274</v>
      </c>
      <c r="H15" s="48" t="s">
        <v>275</v>
      </c>
      <c r="I15" s="48" t="s">
        <v>276</v>
      </c>
      <c r="J15" s="46">
        <v>1.65</v>
      </c>
      <c r="K15" s="46"/>
      <c r="L15" s="68">
        <v>1.65</v>
      </c>
      <c r="M15" s="68">
        <v>1.4</v>
      </c>
      <c r="N15" s="68">
        <v>0.067</v>
      </c>
      <c r="O15" s="46"/>
      <c r="P15" s="68">
        <v>0.067</v>
      </c>
      <c r="Q15" s="68">
        <v>0.039</v>
      </c>
      <c r="R15" s="46">
        <v>1</v>
      </c>
      <c r="S15" s="46" t="s">
        <v>276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297</v>
      </c>
    </row>
    <row r="16" spans="1:36">
      <c r="A16" s="56" t="s">
        <v>306</v>
      </c>
      <c r="B16" s="56" t="s">
        <v>323</v>
      </c>
      <c r="C16" s="56" t="s">
        <v>324</v>
      </c>
      <c r="D16" s="56" t="s">
        <v>325</v>
      </c>
      <c r="E16" s="57" t="s">
        <v>272</v>
      </c>
      <c r="F16" s="47" t="s">
        <v>304</v>
      </c>
      <c r="G16" s="48" t="s">
        <v>326</v>
      </c>
      <c r="H16" s="48" t="s">
        <v>275</v>
      </c>
      <c r="I16" s="48" t="s">
        <v>276</v>
      </c>
      <c r="J16" s="46">
        <v>0.83</v>
      </c>
      <c r="K16" s="46"/>
      <c r="L16" s="46"/>
      <c r="M16" s="46"/>
      <c r="N16" s="68">
        <v>0.32</v>
      </c>
      <c r="O16" s="46"/>
      <c r="P16" s="46"/>
      <c r="Q16" s="46"/>
      <c r="R16" s="46">
        <v>1</v>
      </c>
      <c r="S16" s="46" t="s">
        <v>276</v>
      </c>
      <c r="T16" s="69">
        <v>150</v>
      </c>
      <c r="U16" s="77">
        <v>0.87</v>
      </c>
      <c r="V16" s="69"/>
      <c r="W16" s="69"/>
      <c r="X16" s="69"/>
      <c r="Y16" s="69"/>
      <c r="Z16" s="68"/>
      <c r="AA16" s="68"/>
      <c r="AB16" s="68"/>
      <c r="AC16" s="68"/>
      <c r="AD16" s="68"/>
      <c r="AE16" s="68"/>
      <c r="AF16" s="68"/>
      <c r="AG16" s="68"/>
      <c r="AH16" s="46">
        <v>20</v>
      </c>
      <c r="AI16" s="98">
        <v>2021</v>
      </c>
      <c r="AJ16" s="99" t="s">
        <v>327</v>
      </c>
    </row>
    <row r="17" spans="1:36">
      <c r="A17" s="45" t="s">
        <v>306</v>
      </c>
      <c r="B17" s="45" t="s">
        <v>328</v>
      </c>
      <c r="C17" s="45" t="s">
        <v>329</v>
      </c>
      <c r="D17" s="45" t="s">
        <v>330</v>
      </c>
      <c r="E17" s="46" t="s">
        <v>291</v>
      </c>
      <c r="F17" s="47" t="s">
        <v>304</v>
      </c>
      <c r="G17" s="48" t="s">
        <v>274</v>
      </c>
      <c r="H17" s="48" t="s">
        <v>275</v>
      </c>
      <c r="I17" s="48" t="s">
        <v>276</v>
      </c>
      <c r="J17" s="46">
        <v>1.36</v>
      </c>
      <c r="K17" s="68">
        <v>1.36</v>
      </c>
      <c r="L17" s="68">
        <v>1.27</v>
      </c>
      <c r="M17" s="46"/>
      <c r="N17" s="68">
        <v>0.25</v>
      </c>
      <c r="O17" s="68">
        <v>0.25</v>
      </c>
      <c r="P17" s="68">
        <v>0.067</v>
      </c>
      <c r="Q17" s="46"/>
      <c r="R17" s="46">
        <v>1</v>
      </c>
      <c r="S17" s="46" t="s">
        <v>276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327</v>
      </c>
    </row>
    <row r="18" spans="1:36">
      <c r="A18" s="45" t="s">
        <v>306</v>
      </c>
      <c r="B18" s="45" t="s">
        <v>331</v>
      </c>
      <c r="C18" s="45" t="s">
        <v>332</v>
      </c>
      <c r="D18" s="45" t="s">
        <v>333</v>
      </c>
      <c r="E18" s="46" t="s">
        <v>291</v>
      </c>
      <c r="F18" s="47" t="s">
        <v>304</v>
      </c>
      <c r="G18" s="48" t="s">
        <v>274</v>
      </c>
      <c r="H18" s="48" t="s">
        <v>275</v>
      </c>
      <c r="I18" s="48" t="s">
        <v>276</v>
      </c>
      <c r="J18" s="46">
        <v>1.81</v>
      </c>
      <c r="K18" s="46"/>
      <c r="L18" s="68">
        <v>1.81</v>
      </c>
      <c r="M18" s="68">
        <v>1.55</v>
      </c>
      <c r="N18" s="68">
        <v>0.065</v>
      </c>
      <c r="O18" s="46"/>
      <c r="P18" s="68">
        <v>0.065</v>
      </c>
      <c r="Q18" s="68">
        <v>0.05</v>
      </c>
      <c r="R18" s="46">
        <v>1</v>
      </c>
      <c r="S18" s="46" t="s">
        <v>276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297</v>
      </c>
    </row>
    <row r="19" spans="1:36">
      <c r="A19" s="45" t="s">
        <v>306</v>
      </c>
      <c r="B19" s="45" t="s">
        <v>334</v>
      </c>
      <c r="C19" s="45" t="s">
        <v>335</v>
      </c>
      <c r="D19" s="45" t="s">
        <v>336</v>
      </c>
      <c r="E19" s="46" t="s">
        <v>291</v>
      </c>
      <c r="F19" s="47" t="s">
        <v>337</v>
      </c>
      <c r="G19" s="48" t="s">
        <v>274</v>
      </c>
      <c r="H19" s="48" t="s">
        <v>275</v>
      </c>
      <c r="I19" s="48" t="s">
        <v>276</v>
      </c>
      <c r="J19" s="68">
        <f>2.37/0.0268</f>
        <v>88.4328358208955</v>
      </c>
      <c r="K19" s="46"/>
      <c r="L19" s="46"/>
      <c r="M19" s="46"/>
      <c r="N19" s="68">
        <v>0.177</v>
      </c>
      <c r="O19" s="46"/>
      <c r="P19" s="46"/>
      <c r="Q19" s="46"/>
      <c r="R19" s="46">
        <v>1</v>
      </c>
      <c r="S19" s="46" t="s">
        <v>276</v>
      </c>
      <c r="T19" s="69">
        <v>0.0105</v>
      </c>
      <c r="U19" s="77">
        <v>0.9</v>
      </c>
      <c r="V19" s="69"/>
      <c r="W19" s="69"/>
      <c r="X19" s="69"/>
      <c r="Y19" s="69"/>
      <c r="Z19" s="68"/>
      <c r="AA19" s="68"/>
      <c r="AB19" s="68"/>
      <c r="AC19" s="68"/>
      <c r="AD19" s="68"/>
      <c r="AE19" s="68"/>
      <c r="AF19" s="68"/>
      <c r="AG19" s="68"/>
      <c r="AH19" s="46">
        <v>10</v>
      </c>
      <c r="AI19" s="98">
        <v>2021</v>
      </c>
      <c r="AJ19" s="99" t="s">
        <v>338</v>
      </c>
    </row>
    <row r="20" spans="1:36">
      <c r="A20" s="56" t="s">
        <v>306</v>
      </c>
      <c r="B20" s="56" t="s">
        <v>339</v>
      </c>
      <c r="C20" s="56" t="s">
        <v>340</v>
      </c>
      <c r="D20" s="56" t="s">
        <v>341</v>
      </c>
      <c r="E20" s="57" t="s">
        <v>291</v>
      </c>
      <c r="F20" s="58" t="s">
        <v>304</v>
      </c>
      <c r="G20" s="48" t="s">
        <v>326</v>
      </c>
      <c r="H20" s="59" t="s">
        <v>275</v>
      </c>
      <c r="I20" s="48" t="s">
        <v>276</v>
      </c>
      <c r="J20" s="46">
        <v>1.72</v>
      </c>
      <c r="K20" s="46"/>
      <c r="L20" s="46"/>
      <c r="M20" s="46"/>
      <c r="N20" s="68">
        <v>0.234</v>
      </c>
      <c r="O20" s="46"/>
      <c r="P20" s="46"/>
      <c r="Q20" s="46"/>
      <c r="R20" s="46">
        <v>1</v>
      </c>
      <c r="S20" s="46" t="s">
        <v>276</v>
      </c>
      <c r="T20" s="69">
        <v>0.127</v>
      </c>
      <c r="U20" s="77">
        <v>0.33</v>
      </c>
      <c r="V20" s="69"/>
      <c r="W20" s="69"/>
      <c r="X20" s="69"/>
      <c r="Y20" s="69"/>
      <c r="Z20" s="68"/>
      <c r="AA20" s="68"/>
      <c r="AB20" s="68"/>
      <c r="AC20" s="68"/>
      <c r="AD20" s="68"/>
      <c r="AE20" s="68"/>
      <c r="AF20" s="68"/>
      <c r="AG20" s="68"/>
      <c r="AH20" s="46">
        <v>20</v>
      </c>
      <c r="AI20" s="98">
        <v>2021</v>
      </c>
      <c r="AJ20" s="99" t="s">
        <v>342</v>
      </c>
    </row>
    <row r="21" s="34" customFormat="1" spans="1:36">
      <c r="A21" s="60" t="s">
        <v>306</v>
      </c>
      <c r="B21" s="60" t="s">
        <v>343</v>
      </c>
      <c r="C21" s="60" t="s">
        <v>344</v>
      </c>
      <c r="D21" s="60" t="s">
        <v>345</v>
      </c>
      <c r="E21" s="61" t="s">
        <v>272</v>
      </c>
      <c r="F21" s="62" t="s">
        <v>346</v>
      </c>
      <c r="G21" s="49" t="s">
        <v>274</v>
      </c>
      <c r="H21" s="49" t="s">
        <v>275</v>
      </c>
      <c r="I21" s="49"/>
      <c r="J21" s="71">
        <v>1.3</v>
      </c>
      <c r="K21" s="72"/>
      <c r="L21" s="72"/>
      <c r="M21" s="72"/>
      <c r="N21" s="71">
        <v>0.063</v>
      </c>
      <c r="O21" s="72"/>
      <c r="P21" s="72"/>
      <c r="Q21" s="72"/>
      <c r="R21" s="72">
        <v>1</v>
      </c>
      <c r="S21" s="72" t="s">
        <v>276</v>
      </c>
      <c r="T21" s="80">
        <v>300</v>
      </c>
      <c r="U21" s="81">
        <v>0.9</v>
      </c>
      <c r="V21" s="80"/>
      <c r="W21" s="80"/>
      <c r="X21" s="80"/>
      <c r="Y21" s="80"/>
      <c r="Z21" s="71"/>
      <c r="AA21" s="71"/>
      <c r="AB21" s="71"/>
      <c r="AC21" s="71"/>
      <c r="AD21" s="71"/>
      <c r="AE21" s="71"/>
      <c r="AF21" s="71"/>
      <c r="AG21" s="71"/>
      <c r="AH21" s="102">
        <v>25</v>
      </c>
      <c r="AI21" s="98">
        <v>2021</v>
      </c>
      <c r="AJ21" s="103" t="s">
        <v>305</v>
      </c>
    </row>
    <row r="22" s="35" customFormat="1" spans="1:36">
      <c r="A22" s="63" t="s">
        <v>347</v>
      </c>
      <c r="B22" s="63" t="s">
        <v>348</v>
      </c>
      <c r="C22" s="63" t="s">
        <v>349</v>
      </c>
      <c r="D22" s="63" t="s">
        <v>350</v>
      </c>
      <c r="E22" s="64" t="s">
        <v>272</v>
      </c>
      <c r="F22" s="47" t="s">
        <v>274</v>
      </c>
      <c r="G22" s="59" t="s">
        <v>276</v>
      </c>
      <c r="H22" s="48" t="s">
        <v>275</v>
      </c>
      <c r="I22" s="59" t="s">
        <v>276</v>
      </c>
      <c r="J22" s="73">
        <v>1.5</v>
      </c>
      <c r="K22" s="74">
        <v>1.5</v>
      </c>
      <c r="L22" s="73">
        <v>1.38</v>
      </c>
      <c r="M22" s="63"/>
      <c r="N22" s="74" t="s">
        <v>276</v>
      </c>
      <c r="O22" s="74"/>
      <c r="P22" s="74"/>
      <c r="Q22" s="74"/>
      <c r="R22" s="74">
        <v>1</v>
      </c>
      <c r="S22" s="74" t="s">
        <v>276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4" t="s">
        <v>327</v>
      </c>
    </row>
    <row r="23" spans="1:36">
      <c r="A23" s="45" t="s">
        <v>347</v>
      </c>
      <c r="B23" s="45" t="s">
        <v>351</v>
      </c>
      <c r="C23" s="45" t="s">
        <v>352</v>
      </c>
      <c r="D23" s="45" t="s">
        <v>353</v>
      </c>
      <c r="E23" s="57" t="s">
        <v>272</v>
      </c>
      <c r="F23" s="47" t="s">
        <v>274</v>
      </c>
      <c r="G23" s="48" t="s">
        <v>276</v>
      </c>
      <c r="H23" s="48" t="s">
        <v>275</v>
      </c>
      <c r="I23" s="48" t="s">
        <v>276</v>
      </c>
      <c r="J23" s="68">
        <v>1.633</v>
      </c>
      <c r="K23" s="46"/>
      <c r="L23" s="68">
        <v>1.633</v>
      </c>
      <c r="M23" s="73">
        <v>1.416</v>
      </c>
      <c r="N23" s="46" t="s">
        <v>276</v>
      </c>
      <c r="O23" s="46"/>
      <c r="P23" s="46"/>
      <c r="Q23" s="46"/>
      <c r="R23" s="46">
        <v>1</v>
      </c>
      <c r="S23" s="46" t="s">
        <v>276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297</v>
      </c>
    </row>
    <row r="24" spans="1:36">
      <c r="A24" s="45" t="s">
        <v>347</v>
      </c>
      <c r="B24" s="45" t="s">
        <v>354</v>
      </c>
      <c r="C24" s="45" t="s">
        <v>355</v>
      </c>
      <c r="D24" s="45" t="s">
        <v>356</v>
      </c>
      <c r="E24" s="46" t="s">
        <v>291</v>
      </c>
      <c r="F24" s="47" t="s">
        <v>274</v>
      </c>
      <c r="G24" s="48" t="s">
        <v>276</v>
      </c>
      <c r="H24" s="48" t="s">
        <v>275</v>
      </c>
      <c r="I24" s="48" t="s">
        <v>276</v>
      </c>
      <c r="J24" s="68">
        <v>1.62</v>
      </c>
      <c r="K24" s="46"/>
      <c r="L24" s="46">
        <v>1.62</v>
      </c>
      <c r="M24" s="68">
        <v>1.41</v>
      </c>
      <c r="N24" s="46" t="s">
        <v>276</v>
      </c>
      <c r="O24" s="46"/>
      <c r="P24" s="46"/>
      <c r="Q24" s="46"/>
      <c r="R24" s="46">
        <v>1</v>
      </c>
      <c r="S24" s="46" t="s">
        <v>276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297</v>
      </c>
    </row>
    <row r="25" s="36" customFormat="1" spans="1:36">
      <c r="A25" s="36" t="s">
        <v>357</v>
      </c>
      <c r="B25" s="36" t="s">
        <v>358</v>
      </c>
      <c r="C25" s="36" t="s">
        <v>359</v>
      </c>
      <c r="D25" s="36" t="s">
        <v>360</v>
      </c>
      <c r="E25" s="65" t="s">
        <v>272</v>
      </c>
      <c r="F25" s="65" t="s">
        <v>361</v>
      </c>
      <c r="G25" s="65" t="s">
        <v>276</v>
      </c>
      <c r="H25" s="66" t="s">
        <v>274</v>
      </c>
      <c r="I25" s="66" t="s">
        <v>275</v>
      </c>
      <c r="J25" s="469" t="s">
        <v>276</v>
      </c>
      <c r="K25" s="469" t="s">
        <v>276</v>
      </c>
      <c r="L25" s="469" t="s">
        <v>276</v>
      </c>
      <c r="M25" s="76">
        <v>0.666666666666667</v>
      </c>
      <c r="N25" s="469" t="s">
        <v>276</v>
      </c>
      <c r="O25" s="469" t="s">
        <v>276</v>
      </c>
      <c r="P25" s="469" t="s">
        <v>276</v>
      </c>
      <c r="Q25" s="84"/>
      <c r="R25" s="84">
        <v>1</v>
      </c>
      <c r="S25" s="75" t="s">
        <v>276</v>
      </c>
      <c r="T25" s="85">
        <v>600</v>
      </c>
      <c r="U25" s="86">
        <v>0.94</v>
      </c>
      <c r="V25" s="85"/>
      <c r="W25" s="470" t="s">
        <v>276</v>
      </c>
      <c r="X25" s="470" t="s">
        <v>276</v>
      </c>
      <c r="Y25" s="92">
        <f>Y28</f>
        <v>4687.30708944608</v>
      </c>
      <c r="Z25" s="85"/>
      <c r="AA25" s="470" t="s">
        <v>276</v>
      </c>
      <c r="AB25" s="470" t="s">
        <v>276</v>
      </c>
      <c r="AC25" s="93">
        <f>AC28</f>
        <v>304.674960813995</v>
      </c>
      <c r="AD25" s="85"/>
      <c r="AE25" s="470" t="s">
        <v>276</v>
      </c>
      <c r="AF25" s="470" t="s">
        <v>276</v>
      </c>
      <c r="AG25" s="93">
        <f>AG28</f>
        <v>2.60405949413671</v>
      </c>
      <c r="AH25" s="84">
        <v>60</v>
      </c>
      <c r="AI25" s="84">
        <v>2030</v>
      </c>
      <c r="AJ25" s="105" t="s">
        <v>362</v>
      </c>
    </row>
    <row r="27" ht="26" spans="3:3">
      <c r="C27" s="67" t="s">
        <v>363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364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365</v>
      </c>
      <c r="Z32" s="96" t="s">
        <v>366</v>
      </c>
      <c r="AA32" s="96" t="s">
        <v>367</v>
      </c>
      <c r="AB32" s="96" t="s">
        <v>368</v>
      </c>
      <c r="AC32" s="96" t="s">
        <v>369</v>
      </c>
      <c r="AD32" s="96" t="s">
        <v>370</v>
      </c>
      <c r="AE32" s="96" t="s">
        <v>371</v>
      </c>
      <c r="AF32" s="96" t="s">
        <v>372</v>
      </c>
      <c r="AG32" s="96" t="s">
        <v>373</v>
      </c>
      <c r="AH32" s="96" t="s">
        <v>374</v>
      </c>
      <c r="AI32" s="96" t="s">
        <v>375</v>
      </c>
      <c r="AJ32" s="96" t="s">
        <v>376</v>
      </c>
      <c r="AK32" s="96" t="s">
        <v>377</v>
      </c>
      <c r="AL32" s="106">
        <v>2013</v>
      </c>
    </row>
    <row r="33" spans="6:38">
      <c r="F33" s="37"/>
      <c r="G33" s="37"/>
      <c r="H33" s="37"/>
      <c r="I33" s="37"/>
      <c r="J33" s="37"/>
      <c r="K33" s="37"/>
      <c r="L33" s="37"/>
      <c r="M33" s="37"/>
      <c r="N33" s="37"/>
      <c r="O33" s="37"/>
      <c r="P33" s="37"/>
      <c r="Q33" s="37"/>
      <c r="R33" s="37"/>
      <c r="S33" s="37"/>
      <c r="T33" s="37"/>
      <c r="U33" s="37"/>
      <c r="Y33" s="96" t="s">
        <v>378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7">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246</v>
      </c>
      <c r="B1" s="1" t="s">
        <v>247</v>
      </c>
      <c r="C1" s="1" t="s">
        <v>248</v>
      </c>
      <c r="D1" s="5" t="s">
        <v>379</v>
      </c>
      <c r="E1" s="5" t="s">
        <v>250</v>
      </c>
      <c r="F1" s="6" t="s">
        <v>251</v>
      </c>
      <c r="G1" s="6" t="s">
        <v>252</v>
      </c>
      <c r="H1" s="6" t="s">
        <v>380</v>
      </c>
      <c r="I1" s="6" t="s">
        <v>381</v>
      </c>
      <c r="J1" s="6" t="s">
        <v>255</v>
      </c>
      <c r="K1" s="6" t="s">
        <v>256</v>
      </c>
      <c r="L1" s="6" t="s">
        <v>382</v>
      </c>
      <c r="M1" s="6" t="s">
        <v>383</v>
      </c>
      <c r="N1" s="5" t="s">
        <v>21</v>
      </c>
      <c r="O1" s="5" t="s">
        <v>384</v>
      </c>
      <c r="P1" s="5" t="s">
        <v>385</v>
      </c>
      <c r="Q1" s="5" t="s">
        <v>386</v>
      </c>
      <c r="R1" s="5" t="s">
        <v>387</v>
      </c>
      <c r="S1" s="5" t="s">
        <v>388</v>
      </c>
      <c r="T1" s="5" t="s">
        <v>389</v>
      </c>
      <c r="U1" s="5" t="s">
        <v>28</v>
      </c>
      <c r="V1" s="5" t="s">
        <v>131</v>
      </c>
      <c r="W1" s="1" t="s">
        <v>263</v>
      </c>
      <c r="X1" s="1" t="s">
        <v>390</v>
      </c>
      <c r="AA1" s="30"/>
      <c r="AB1" s="30"/>
      <c r="AC1" s="30"/>
      <c r="AD1" s="30"/>
      <c r="AE1" s="30"/>
      <c r="AF1" s="30"/>
      <c r="AG1" s="30"/>
      <c r="AH1" s="30"/>
      <c r="AI1" s="30"/>
      <c r="AJ1" s="30"/>
      <c r="AK1" s="30"/>
    </row>
    <row r="2" s="2" customFormat="1" spans="5:37">
      <c r="E2" s="7" t="s">
        <v>264</v>
      </c>
      <c r="F2" s="8"/>
      <c r="G2" s="8"/>
      <c r="H2" s="8"/>
      <c r="I2" s="8"/>
      <c r="J2" s="8"/>
      <c r="K2" s="8"/>
      <c r="L2" s="8"/>
      <c r="M2" s="8"/>
      <c r="N2" s="7"/>
      <c r="O2" s="7" t="s">
        <v>391</v>
      </c>
      <c r="P2" s="7" t="s">
        <v>391</v>
      </c>
      <c r="Q2" s="7" t="s">
        <v>391</v>
      </c>
      <c r="R2" s="7" t="s">
        <v>391</v>
      </c>
      <c r="S2" s="7" t="s">
        <v>391</v>
      </c>
      <c r="T2" s="7" t="s">
        <v>391</v>
      </c>
      <c r="U2" s="7" t="s">
        <v>266</v>
      </c>
      <c r="V2" s="7" t="s">
        <v>267</v>
      </c>
      <c r="AA2" s="30"/>
      <c r="AB2" s="30"/>
      <c r="AC2" s="30"/>
      <c r="AD2" s="30"/>
      <c r="AE2" s="30"/>
      <c r="AF2" s="30"/>
      <c r="AG2" s="30"/>
      <c r="AH2" s="30"/>
      <c r="AI2" s="30"/>
      <c r="AJ2" s="30"/>
      <c r="AK2" s="30"/>
    </row>
    <row r="3" spans="1:33">
      <c r="A3" s="3" t="s">
        <v>392</v>
      </c>
      <c r="B3" s="3" t="s">
        <v>182</v>
      </c>
      <c r="C3" s="3" t="s">
        <v>393</v>
      </c>
      <c r="D3" s="9" t="s">
        <v>394</v>
      </c>
      <c r="E3" s="4" t="s">
        <v>272</v>
      </c>
      <c r="F3" s="10" t="s">
        <v>275</v>
      </c>
      <c r="G3" s="11" t="s">
        <v>274</v>
      </c>
      <c r="H3" s="11" t="s">
        <v>395</v>
      </c>
      <c r="I3" s="11" t="s">
        <v>396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397</v>
      </c>
      <c r="Y3" s="3" t="s">
        <v>398</v>
      </c>
      <c r="AG3" s="4"/>
    </row>
    <row r="4" spans="1:33">
      <c r="A4" s="3" t="s">
        <v>392</v>
      </c>
      <c r="B4" s="3" t="s">
        <v>186</v>
      </c>
      <c r="C4" s="3" t="s">
        <v>399</v>
      </c>
      <c r="D4" s="9" t="s">
        <v>400</v>
      </c>
      <c r="E4" s="4" t="s">
        <v>272</v>
      </c>
      <c r="F4" s="10" t="s">
        <v>275</v>
      </c>
      <c r="G4" s="11" t="s">
        <v>274</v>
      </c>
      <c r="H4" s="11" t="s">
        <v>395</v>
      </c>
      <c r="I4" s="11" t="s">
        <v>401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397</v>
      </c>
      <c r="Y4" s="3" t="s">
        <v>402</v>
      </c>
      <c r="AG4" s="4"/>
    </row>
    <row r="5" spans="1:33">
      <c r="A5" s="3" t="s">
        <v>392</v>
      </c>
      <c r="B5" s="3" t="s">
        <v>213</v>
      </c>
      <c r="C5" s="3" t="s">
        <v>403</v>
      </c>
      <c r="D5" s="4" t="s">
        <v>404</v>
      </c>
      <c r="E5" s="4" t="s">
        <v>272</v>
      </c>
      <c r="F5" s="10" t="s">
        <v>275</v>
      </c>
      <c r="G5" s="11" t="s">
        <v>274</v>
      </c>
      <c r="H5" s="11" t="s">
        <v>395</v>
      </c>
      <c r="I5" s="11" t="s">
        <v>396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397</v>
      </c>
      <c r="X5" s="3" t="s">
        <v>405</v>
      </c>
      <c r="Y5" s="3" t="s">
        <v>406</v>
      </c>
      <c r="AG5" s="4"/>
    </row>
    <row r="6" spans="1:33">
      <c r="A6" s="3" t="s">
        <v>392</v>
      </c>
      <c r="B6" s="3" t="s">
        <v>216</v>
      </c>
      <c r="C6" s="3" t="s">
        <v>407</v>
      </c>
      <c r="D6" s="12" t="s">
        <v>408</v>
      </c>
      <c r="E6" s="4" t="s">
        <v>272</v>
      </c>
      <c r="F6" s="10" t="s">
        <v>275</v>
      </c>
      <c r="G6" s="11" t="s">
        <v>274</v>
      </c>
      <c r="H6" s="11" t="s">
        <v>395</v>
      </c>
      <c r="I6" s="11" t="s">
        <v>401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409</v>
      </c>
      <c r="X6" s="3" t="s">
        <v>405</v>
      </c>
      <c r="Y6" s="3" t="s">
        <v>410</v>
      </c>
      <c r="AG6" s="4"/>
    </row>
    <row r="7" spans="1:33">
      <c r="A7" s="3" t="s">
        <v>411</v>
      </c>
      <c r="B7" s="13" t="s">
        <v>217</v>
      </c>
      <c r="C7" s="3" t="s">
        <v>412</v>
      </c>
      <c r="D7" s="12" t="s">
        <v>413</v>
      </c>
      <c r="E7" s="4" t="s">
        <v>272</v>
      </c>
      <c r="F7" s="10" t="s">
        <v>275</v>
      </c>
      <c r="G7" s="11" t="s">
        <v>274</v>
      </c>
      <c r="H7" s="11"/>
      <c r="I7" s="11" t="s">
        <v>414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409</v>
      </c>
      <c r="X7" s="3" t="s">
        <v>405</v>
      </c>
      <c r="Y7" s="3" t="s">
        <v>415</v>
      </c>
      <c r="AG7" s="4"/>
    </row>
    <row r="8" spans="1:33">
      <c r="A8" s="3" t="s">
        <v>411</v>
      </c>
      <c r="B8" s="3" t="s">
        <v>220</v>
      </c>
      <c r="C8" s="3" t="s">
        <v>416</v>
      </c>
      <c r="D8" s="12" t="s">
        <v>413</v>
      </c>
      <c r="E8" s="4" t="s">
        <v>272</v>
      </c>
      <c r="F8" s="10" t="s">
        <v>275</v>
      </c>
      <c r="G8" s="11" t="s">
        <v>274</v>
      </c>
      <c r="H8" s="11"/>
      <c r="I8" s="11" t="s">
        <v>417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409</v>
      </c>
      <c r="X8" s="3" t="s">
        <v>405</v>
      </c>
      <c r="Y8" s="3" t="s">
        <v>415</v>
      </c>
      <c r="AG8" s="4"/>
    </row>
    <row r="9" spans="1:33">
      <c r="A9" s="3" t="s">
        <v>411</v>
      </c>
      <c r="B9" s="3" t="s">
        <v>221</v>
      </c>
      <c r="C9" s="3" t="s">
        <v>418</v>
      </c>
      <c r="D9" s="12" t="s">
        <v>419</v>
      </c>
      <c r="E9" s="4" t="s">
        <v>272</v>
      </c>
      <c r="F9" s="10" t="s">
        <v>275</v>
      </c>
      <c r="G9" s="11" t="s">
        <v>274</v>
      </c>
      <c r="H9" s="11"/>
      <c r="I9" s="11" t="s">
        <v>401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409</v>
      </c>
      <c r="X9" s="3" t="s">
        <v>405</v>
      </c>
      <c r="Y9" s="3" t="s">
        <v>420</v>
      </c>
      <c r="AG9" s="4"/>
    </row>
    <row r="10" spans="1:33">
      <c r="A10" s="3" t="s">
        <v>411</v>
      </c>
      <c r="B10" s="3" t="s">
        <v>224</v>
      </c>
      <c r="C10" s="3" t="s">
        <v>421</v>
      </c>
      <c r="D10" s="14" t="s">
        <v>422</v>
      </c>
      <c r="E10" s="4" t="s">
        <v>272</v>
      </c>
      <c r="F10" s="10" t="s">
        <v>275</v>
      </c>
      <c r="G10" s="11" t="s">
        <v>274</v>
      </c>
      <c r="H10" s="11" t="s">
        <v>395</v>
      </c>
      <c r="I10" s="11" t="s">
        <v>401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409</v>
      </c>
      <c r="Y10" s="3" t="s">
        <v>423</v>
      </c>
      <c r="AG10" s="4"/>
    </row>
    <row r="11" spans="1:33">
      <c r="A11" s="3" t="s">
        <v>411</v>
      </c>
      <c r="B11" s="3" t="s">
        <v>193</v>
      </c>
      <c r="C11" s="3" t="s">
        <v>424</v>
      </c>
      <c r="D11" s="14" t="s">
        <v>425</v>
      </c>
      <c r="E11" s="4" t="s">
        <v>272</v>
      </c>
      <c r="F11" s="10" t="s">
        <v>275</v>
      </c>
      <c r="G11" s="11" t="s">
        <v>274</v>
      </c>
      <c r="H11" s="11"/>
      <c r="I11" s="11" t="s">
        <v>417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409</v>
      </c>
      <c r="Y11" s="3" t="s">
        <v>426</v>
      </c>
      <c r="AG11" s="4"/>
    </row>
    <row r="12" spans="1:33">
      <c r="A12" s="3" t="s">
        <v>411</v>
      </c>
      <c r="B12" s="3" t="s">
        <v>194</v>
      </c>
      <c r="C12" s="3" t="s">
        <v>427</v>
      </c>
      <c r="D12" s="9" t="s">
        <v>428</v>
      </c>
      <c r="E12" s="4" t="s">
        <v>272</v>
      </c>
      <c r="F12" s="10" t="s">
        <v>275</v>
      </c>
      <c r="G12" s="11" t="s">
        <v>274</v>
      </c>
      <c r="H12" s="11"/>
      <c r="I12" s="11" t="s">
        <v>401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409</v>
      </c>
      <c r="Y12" s="3" t="s">
        <v>429</v>
      </c>
      <c r="AG12" s="4"/>
    </row>
    <row r="13" spans="1:33">
      <c r="A13" s="3" t="s">
        <v>411</v>
      </c>
      <c r="B13" s="15" t="s">
        <v>226</v>
      </c>
      <c r="C13" s="3" t="s">
        <v>430</v>
      </c>
      <c r="D13" s="14" t="s">
        <v>431</v>
      </c>
      <c r="E13" s="4" t="s">
        <v>272</v>
      </c>
      <c r="F13" s="11" t="s">
        <v>304</v>
      </c>
      <c r="G13" s="10" t="s">
        <v>275</v>
      </c>
      <c r="H13" s="11" t="s">
        <v>274</v>
      </c>
      <c r="I13" s="10" t="s">
        <v>432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409</v>
      </c>
      <c r="Y13" s="3" t="s">
        <v>433</v>
      </c>
      <c r="AG13" s="4"/>
    </row>
    <row r="14" spans="1:33">
      <c r="A14" s="3" t="s">
        <v>411</v>
      </c>
      <c r="B14" s="15" t="s">
        <v>228</v>
      </c>
      <c r="C14" s="3" t="s">
        <v>434</v>
      </c>
      <c r="D14" s="14" t="s">
        <v>431</v>
      </c>
      <c r="E14" s="4" t="s">
        <v>272</v>
      </c>
      <c r="F14" s="11" t="s">
        <v>304</v>
      </c>
      <c r="G14" s="10" t="s">
        <v>275</v>
      </c>
      <c r="H14" s="11" t="s">
        <v>274</v>
      </c>
      <c r="I14" s="10" t="s">
        <v>435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409</v>
      </c>
      <c r="Y14" s="3" t="s">
        <v>433</v>
      </c>
      <c r="AG14" s="4"/>
    </row>
    <row r="15" spans="1:33">
      <c r="A15" s="3" t="s">
        <v>411</v>
      </c>
      <c r="B15" s="15" t="s">
        <v>229</v>
      </c>
      <c r="C15" s="3" t="s">
        <v>436</v>
      </c>
      <c r="D15" s="14" t="s">
        <v>431</v>
      </c>
      <c r="E15" s="4" t="s">
        <v>272</v>
      </c>
      <c r="F15" s="11" t="s">
        <v>304</v>
      </c>
      <c r="G15" s="10" t="s">
        <v>275</v>
      </c>
      <c r="H15" s="11" t="s">
        <v>274</v>
      </c>
      <c r="I15" s="10" t="s">
        <v>437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409</v>
      </c>
      <c r="Y15" s="3" t="s">
        <v>433</v>
      </c>
      <c r="AG15" s="4"/>
    </row>
    <row r="16" spans="1:33">
      <c r="A16" s="3" t="s">
        <v>411</v>
      </c>
      <c r="B16" s="15" t="s">
        <v>231</v>
      </c>
      <c r="C16" s="3" t="s">
        <v>438</v>
      </c>
      <c r="D16" s="14" t="s">
        <v>431</v>
      </c>
      <c r="E16" s="4" t="s">
        <v>272</v>
      </c>
      <c r="F16" s="11" t="s">
        <v>304</v>
      </c>
      <c r="G16" s="10" t="s">
        <v>275</v>
      </c>
      <c r="H16" s="11" t="s">
        <v>274</v>
      </c>
      <c r="I16" s="10" t="s">
        <v>439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409</v>
      </c>
      <c r="Y16" s="3" t="s">
        <v>433</v>
      </c>
      <c r="AG16" s="4"/>
    </row>
    <row r="17" spans="1:33">
      <c r="A17" s="3" t="s">
        <v>411</v>
      </c>
      <c r="B17" s="15" t="s">
        <v>232</v>
      </c>
      <c r="C17" s="3" t="s">
        <v>440</v>
      </c>
      <c r="D17" s="14" t="s">
        <v>431</v>
      </c>
      <c r="E17" s="4" t="s">
        <v>272</v>
      </c>
      <c r="F17" s="11" t="s">
        <v>304</v>
      </c>
      <c r="G17" s="10" t="s">
        <v>275</v>
      </c>
      <c r="H17" s="11" t="s">
        <v>274</v>
      </c>
      <c r="I17" s="10" t="s">
        <v>441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409</v>
      </c>
      <c r="Y17" s="3" t="s">
        <v>433</v>
      </c>
      <c r="AG17" s="4"/>
    </row>
    <row r="18" spans="1:33">
      <c r="A18" s="3" t="s">
        <v>411</v>
      </c>
      <c r="B18" s="15" t="s">
        <v>234</v>
      </c>
      <c r="C18" s="3" t="s">
        <v>442</v>
      </c>
      <c r="D18" s="14" t="s">
        <v>431</v>
      </c>
      <c r="E18" s="4" t="s">
        <v>272</v>
      </c>
      <c r="F18" s="11" t="s">
        <v>304</v>
      </c>
      <c r="G18" s="10" t="s">
        <v>275</v>
      </c>
      <c r="H18" s="11" t="s">
        <v>274</v>
      </c>
      <c r="I18" s="10" t="s">
        <v>443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409</v>
      </c>
      <c r="Y18" s="3" t="s">
        <v>433</v>
      </c>
      <c r="AG18" s="4"/>
    </row>
    <row r="19" spans="1:33">
      <c r="A19" s="3" t="s">
        <v>411</v>
      </c>
      <c r="B19" s="15" t="s">
        <v>236</v>
      </c>
      <c r="C19" s="3" t="s">
        <v>444</v>
      </c>
      <c r="D19" s="14" t="s">
        <v>431</v>
      </c>
      <c r="E19" s="4" t="s">
        <v>272</v>
      </c>
      <c r="F19" s="11" t="s">
        <v>304</v>
      </c>
      <c r="G19" s="10" t="s">
        <v>275</v>
      </c>
      <c r="H19" s="11" t="s">
        <v>274</v>
      </c>
      <c r="I19" s="10" t="s">
        <v>445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409</v>
      </c>
      <c r="Y19" s="3" t="s">
        <v>433</v>
      </c>
      <c r="AG19" s="4"/>
    </row>
    <row r="20" spans="1:33">
      <c r="A20" s="3" t="s">
        <v>446</v>
      </c>
      <c r="B20" s="3" t="s">
        <v>237</v>
      </c>
      <c r="C20" s="3" t="s">
        <v>447</v>
      </c>
      <c r="D20" s="14" t="s">
        <v>448</v>
      </c>
      <c r="E20" s="4" t="s">
        <v>291</v>
      </c>
      <c r="F20" s="10" t="s">
        <v>275</v>
      </c>
      <c r="G20" s="11" t="s">
        <v>274</v>
      </c>
      <c r="H20" s="11"/>
      <c r="I20" s="11" t="s">
        <v>417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409</v>
      </c>
      <c r="Y20" s="3" t="s">
        <v>449</v>
      </c>
      <c r="AG20" s="4"/>
    </row>
    <row r="21" spans="1:33">
      <c r="A21" s="3" t="s">
        <v>446</v>
      </c>
      <c r="B21" s="3" t="s">
        <v>240</v>
      </c>
      <c r="C21" s="3" t="s">
        <v>450</v>
      </c>
      <c r="D21" s="14" t="s">
        <v>451</v>
      </c>
      <c r="E21" s="4" t="s">
        <v>291</v>
      </c>
      <c r="F21" s="10" t="s">
        <v>275</v>
      </c>
      <c r="G21" s="11" t="s">
        <v>274</v>
      </c>
      <c r="H21" s="11"/>
      <c r="I21" s="11" t="s">
        <v>396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409</v>
      </c>
      <c r="Y21" s="3" t="s">
        <v>452</v>
      </c>
      <c r="AG21" s="4"/>
    </row>
    <row r="22" spans="1:33">
      <c r="A22" s="3" t="s">
        <v>446</v>
      </c>
      <c r="B22" s="3" t="s">
        <v>241</v>
      </c>
      <c r="C22" s="3" t="s">
        <v>453</v>
      </c>
      <c r="D22" s="14" t="s">
        <v>454</v>
      </c>
      <c r="E22" s="4" t="s">
        <v>291</v>
      </c>
      <c r="F22" s="10" t="s">
        <v>275</v>
      </c>
      <c r="G22" s="11" t="s">
        <v>274</v>
      </c>
      <c r="H22" s="11"/>
      <c r="I22" s="11" t="s">
        <v>401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409</v>
      </c>
      <c r="Y22" s="3" t="s">
        <v>455</v>
      </c>
      <c r="AG22" s="4"/>
    </row>
    <row r="26" spans="2:3">
      <c r="B26" s="16"/>
      <c r="C26" s="16"/>
    </row>
    <row r="28" spans="13:20">
      <c r="M28" s="29" t="s">
        <v>456</v>
      </c>
      <c r="N28" s="29"/>
      <c r="O28" s="29"/>
      <c r="P28" s="29" t="s">
        <v>457</v>
      </c>
      <c r="Q28" s="29"/>
      <c r="R28" s="29"/>
      <c r="S28" s="29"/>
      <c r="T28" s="29"/>
    </row>
    <row r="30" spans="2:30">
      <c r="B30" s="17" t="s">
        <v>458</v>
      </c>
      <c r="C30" s="18" t="s">
        <v>248</v>
      </c>
      <c r="M30" s="29"/>
      <c r="N30" s="29"/>
      <c r="O30" s="29" t="s">
        <v>459</v>
      </c>
      <c r="P30" s="29"/>
      <c r="Q30" s="29" t="s">
        <v>460</v>
      </c>
      <c r="R30" s="29"/>
      <c r="S30" s="29" t="s">
        <v>461</v>
      </c>
      <c r="T30" s="29"/>
      <c r="W30" s="29"/>
      <c r="X30" s="29"/>
      <c r="Y30" s="29"/>
      <c r="Z30" s="29"/>
      <c r="AA30" s="29"/>
      <c r="AB30" s="29"/>
      <c r="AC30" s="29"/>
      <c r="AD30" s="29"/>
    </row>
    <row r="31" spans="2:20">
      <c r="B31" s="19" t="s">
        <v>462</v>
      </c>
      <c r="C31" s="20" t="s">
        <v>463</v>
      </c>
      <c r="M31" s="29"/>
      <c r="N31" s="29"/>
      <c r="O31" s="29">
        <v>2012</v>
      </c>
      <c r="P31" s="29">
        <v>2025</v>
      </c>
      <c r="Q31" s="29">
        <v>2012</v>
      </c>
      <c r="R31" s="29">
        <v>2025</v>
      </c>
      <c r="S31" s="29">
        <v>2012</v>
      </c>
      <c r="T31" s="29">
        <v>2025</v>
      </c>
    </row>
    <row r="32" spans="2:30">
      <c r="B32" s="19" t="s">
        <v>464</v>
      </c>
      <c r="C32" s="20" t="s">
        <v>465</v>
      </c>
      <c r="M32" s="29" t="s">
        <v>462</v>
      </c>
      <c r="N32" s="29" t="s">
        <v>466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467</v>
      </c>
      <c r="C33" s="20" t="s">
        <v>468</v>
      </c>
      <c r="M33" s="29" t="s">
        <v>464</v>
      </c>
      <c r="N33" s="29" t="s">
        <v>469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470</v>
      </c>
      <c r="C34" s="20" t="s">
        <v>471</v>
      </c>
      <c r="M34" s="29" t="s">
        <v>467</v>
      </c>
      <c r="N34" s="29" t="s">
        <v>472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473</v>
      </c>
      <c r="C35" s="20" t="s">
        <v>474</v>
      </c>
      <c r="M35" s="29" t="s">
        <v>470</v>
      </c>
      <c r="N35" s="29" t="s">
        <v>475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476</v>
      </c>
      <c r="C36" s="20" t="s">
        <v>477</v>
      </c>
      <c r="M36" s="29" t="s">
        <v>478</v>
      </c>
      <c r="N36" s="29" t="s">
        <v>479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480</v>
      </c>
      <c r="C37" s="20" t="s">
        <v>481</v>
      </c>
      <c r="W37" s="29"/>
      <c r="X37" s="29"/>
      <c r="Y37" s="29"/>
      <c r="Z37" s="29"/>
      <c r="AA37" s="29"/>
      <c r="AB37" s="29"/>
      <c r="AC37" s="29"/>
      <c r="AD37" s="29"/>
    </row>
    <row r="38" spans="2:30">
      <c r="B38" s="19" t="s">
        <v>482</v>
      </c>
      <c r="C38" s="20" t="s">
        <v>483</v>
      </c>
      <c r="M38" s="29" t="s">
        <v>484</v>
      </c>
      <c r="N38" s="29" t="s">
        <v>485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486</v>
      </c>
      <c r="C39" s="20" t="s">
        <v>487</v>
      </c>
    </row>
    <row r="40" spans="2:30">
      <c r="B40" s="19" t="s">
        <v>488</v>
      </c>
      <c r="C40" s="20" t="s">
        <v>489</v>
      </c>
      <c r="M40" s="29" t="s">
        <v>490</v>
      </c>
      <c r="N40" s="29" t="s">
        <v>491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478</v>
      </c>
      <c r="C41" s="20" t="s">
        <v>492</v>
      </c>
      <c r="M41" s="29" t="s">
        <v>493</v>
      </c>
      <c r="N41" s="29" t="s">
        <v>494</v>
      </c>
      <c r="O41" s="29">
        <v>41.443518996</v>
      </c>
      <c r="P41" s="29">
        <v>28.2687505364979</v>
      </c>
      <c r="Q41" s="29">
        <v>1.1302777908</v>
      </c>
      <c r="R41" s="29">
        <v>0.770965923722669</v>
      </c>
      <c r="S41" s="29">
        <v>0.11302777908</v>
      </c>
      <c r="T41" s="29">
        <v>0.0770965923722669</v>
      </c>
    </row>
    <row r="42" spans="2:30">
      <c r="B42" s="19" t="s">
        <v>495</v>
      </c>
      <c r="C42" s="20" t="s">
        <v>496</v>
      </c>
      <c r="M42" s="29" t="s">
        <v>497</v>
      </c>
      <c r="N42" s="29" t="s">
        <v>498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499</v>
      </c>
      <c r="C43" s="20" t="s">
        <v>500</v>
      </c>
      <c r="M43" s="29" t="s">
        <v>501</v>
      </c>
      <c r="N43" s="29" t="s">
        <v>502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484</v>
      </c>
      <c r="C44" s="20" t="s">
        <v>503</v>
      </c>
      <c r="W44" s="29"/>
      <c r="X44" s="29"/>
      <c r="Y44" s="29"/>
      <c r="Z44" s="29"/>
      <c r="AA44" s="29"/>
      <c r="AB44" s="29"/>
      <c r="AC44" s="29"/>
      <c r="AD44" s="29"/>
    </row>
    <row r="45" spans="2:30">
      <c r="B45" s="19" t="s">
        <v>504</v>
      </c>
      <c r="C45" s="20" t="s">
        <v>505</v>
      </c>
      <c r="W45" s="29"/>
      <c r="X45" s="29"/>
      <c r="Y45" s="29"/>
      <c r="Z45" s="29"/>
      <c r="AA45" s="29"/>
      <c r="AB45" s="29"/>
      <c r="AC45" s="29"/>
      <c r="AD45" s="29"/>
    </row>
    <row r="46" spans="2:18">
      <c r="B46" s="19" t="s">
        <v>506</v>
      </c>
      <c r="C46" s="20" t="s">
        <v>507</v>
      </c>
      <c r="M46" s="29" t="s">
        <v>488</v>
      </c>
      <c r="N46" s="29" t="s">
        <v>508</v>
      </c>
      <c r="O46" s="29">
        <v>3.5260105546848</v>
      </c>
      <c r="P46" s="29">
        <v>2.71158106132005</v>
      </c>
      <c r="Q46" s="29">
        <v>0.3025275327984</v>
      </c>
      <c r="R46" s="29">
        <v>0.23265044608959</v>
      </c>
    </row>
    <row r="47" ht="15.25" spans="2:18">
      <c r="B47" s="21" t="s">
        <v>509</v>
      </c>
      <c r="C47" s="22" t="s">
        <v>510</v>
      </c>
      <c r="M47" s="29" t="s">
        <v>480</v>
      </c>
      <c r="N47" s="29" t="s">
        <v>511</v>
      </c>
      <c r="O47" s="29">
        <v>13.2516683534175</v>
      </c>
      <c r="P47" s="29">
        <v>10.1908296588276</v>
      </c>
      <c r="Q47" s="29">
        <v>0.609576744257206</v>
      </c>
      <c r="R47" s="29">
        <v>0.468778164306072</v>
      </c>
    </row>
    <row r="48" spans="13:28">
      <c r="M48" s="29" t="s">
        <v>482</v>
      </c>
      <c r="N48" s="29" t="s">
        <v>512</v>
      </c>
      <c r="O48" s="29">
        <v>23.6746743204907</v>
      </c>
      <c r="P48" s="29">
        <v>18.2063546108986</v>
      </c>
      <c r="Q48" s="29">
        <v>1.08903501874257</v>
      </c>
      <c r="R48" s="29">
        <v>0.837492312101335</v>
      </c>
      <c r="W48" s="29"/>
      <c r="X48" s="29"/>
      <c r="Y48" s="29"/>
      <c r="Z48" s="29"/>
      <c r="AA48" s="29"/>
      <c r="AB48" s="29"/>
    </row>
    <row r="49" spans="13:28">
      <c r="M49" s="29" t="s">
        <v>473</v>
      </c>
      <c r="N49" s="29" t="s">
        <v>513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7</vt:i4>
      </vt:variant>
    </vt:vector>
  </HeadingPairs>
  <TitlesOfParts>
    <vt:vector size="7" baseType="lpstr">
      <vt:lpstr>SUP_HFCandPEM</vt:lpstr>
      <vt:lpstr>SUP_HP</vt:lpstr>
      <vt:lpstr>SUP_HS</vt:lpstr>
      <vt:lpstr>ReferEMI-NOUSE</vt:lpstr>
      <vt:lpstr>!SUP_HD</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2024-09-21T21:59:26Z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1033-12.2.0.18283</vt:lpwstr>
  </property>
</Properties>
</file>