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activeTab="1"/>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C26" authorId="0">
      <text>
        <r>
          <rPr>
            <b/>
            <sz val="9"/>
            <rFont val="Times New Roman"/>
            <charset val="0"/>
          </rPr>
          <t>xli9:</t>
        </r>
        <r>
          <rPr>
            <sz val="9"/>
            <rFont val="Times New Roman"/>
            <charset val="0"/>
          </rPr>
          <t xml:space="preserve">
Freight light truck still dominate the electric truck so we are referring to this type here</t>
        </r>
      </text>
    </comment>
    <comment ref="J26" authorId="0">
      <text>
        <r>
          <rPr>
            <b/>
            <sz val="9"/>
            <rFont val="Times New Roman"/>
            <charset val="134"/>
          </rPr>
          <t>xli9:</t>
        </r>
        <r>
          <rPr>
            <sz val="9"/>
            <rFont val="Times New Roman"/>
            <charset val="134"/>
          </rPr>
          <t xml:space="preserve">
Truck BEV(250 mi)</t>
        </r>
      </text>
    </comment>
    <comment ref="H31" authorId="0">
      <text>
        <r>
          <rPr>
            <b/>
            <sz val="9"/>
            <rFont val="Times New Roman"/>
            <charset val="0"/>
          </rPr>
          <t>xli9:</t>
        </r>
        <r>
          <rPr>
            <sz val="9"/>
            <rFont val="Times New Roman"/>
            <charset val="0"/>
          </rPr>
          <t xml:space="preserve">
Those are average values of according bus type powered by fossil-fuels in BY file</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<sst xmlns="http://schemas.openxmlformats.org/spreadsheetml/2006/main" count="3325" uniqueCount="684">
  <si>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</si>
  <si>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</si>
  <si>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</si>
  <si>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</si>
  <si>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</si>
  <si>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</si>
  <si>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</si>
  <si>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</si>
  <si>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</si>
  <si>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</si>
  <si>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</si>
  <si>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</si>
  <si>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</si>
  <si>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</si>
  <si>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</si>
  <si>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</si>
  <si>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</si>
  <si>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</si>
  <si>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</si>
  <si>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</si>
  <si>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</si>
  <si>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</si>
  <si>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</si>
  <si>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</si>
  <si>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</si>
  <si>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</si>
  <si>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</si>
  <si>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</si>
  <si>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</si>
  <si>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</si>
  <si>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</si>
  <si>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</si>
  <si>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</si>
  <si>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</si>
  <si>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</si>
  <si>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</si>
  <si>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</si>
  <si>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</si>
  <si>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</si>
  <si>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</si>
  <si>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</si>
  <si>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</si>
  <si>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</si>
  <si>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</si>
  <si>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</si>
  <si>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</si>
  <si>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</si>
  <si>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</si>
  <si>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</si>
  <si>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</si>
  <si>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</si>
  <si>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</si>
  <si>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</si>
  <si>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</si>
  <si>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</si>
  <si>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</si>
  <si>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</si>
  <si>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</si>
  <si>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</si>
  <si>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</si>
  <si>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</si>
  <si>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</si>
  <si>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</si>
  <si>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</si>
  <si>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</si>
  <si>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</si>
  <si>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</si>
  <si>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</si>
  <si>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</si>
  <si>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</si>
  <si>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</si>
  <si>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</si>
  <si>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</si>
  <si>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</si>
  <si>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</si>
  <si>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</si>
  <si>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</si>
  <si>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</si>
  <si>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</si>
  <si>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</si>
  <si>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</si>
  <si>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</si>
  <si>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</si>
  <si>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</si>
  <si>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</si>
  <si>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</si>
  <si>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</si>
  <si>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</si>
  <si>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</si>
  <si>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</si>
  <si>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</si>
  <si>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</si>
  <si>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</si>
  <si>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</si>
  <si>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</si>
  <si>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</si>
  <si>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</si>
  <si>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</si>
  <si>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</si>
  <si>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</si>
  <si>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</si>
  <si>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</si>
  <si>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</si>
  <si>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</si>
  <si>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</si>
  <si>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</si>
  <si>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</si>
  <si>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</si>
  <si>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</si>
  <si>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</si>
  <si>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</si>
  <si>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</si>
  <si>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</si>
  <si>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</si>
  <si>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</si>
  <si>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</si>
  <si>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</si>
  <si>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</si>
  <si>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</si>
  <si>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</si>
  <si>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</si>
  <si>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</si>
  <si>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</si>
  <si>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</si>
  <si>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</si>
  <si>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</si>
  <si>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</si>
  <si>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</si>
  <si>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</si>
  <si>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</si>
  <si>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</si>
  <si>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</si>
  <si>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</si>
  <si>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</si>
  <si>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</si>
  <si>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</si>
  <si>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</si>
  <si>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</si>
  <si>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</si>
  <si>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</si>
  <si>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</si>
  <si>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</si>
  <si>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</si>
  <si>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</si>
  <si>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</si>
  <si>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</si>
  <si>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</si>
  <si>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</si>
  <si>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</si>
  <si>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</si>
  <si>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</si>
  <si>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</si>
  <si>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</si>
  <si>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</si>
  <si>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</si>
  <si>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</si>
  <si>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</si>
  <si>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</si>
  <si>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</si>
  <si>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</si>
  <si>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</si>
  <si>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</si>
  <si>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</si>
  <si>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</si>
  <si>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</si>
  <si>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</si>
  <si>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</si>
  <si>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</si>
  <si>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</si>
  <si>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</si>
  <si>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</si>
  <si>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</si>
  <si>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</si>
  <si>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</si>
  <si>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</si>
  <si>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</si>
  <si>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</si>
  <si>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</si>
  <si>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</si>
  <si>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</si>
  <si>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</si>
  <si>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</si>
  <si>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</si>
  <si>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</si>
  <si>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</si>
  <si>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</si>
  <si>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</si>
  <si>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</si>
  <si>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</si>
  <si>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</si>
  <si>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</si>
  <si>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</si>
  <si>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</si>
  <si>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</si>
  <si>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</si>
  <si>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</si>
  <si>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</si>
  <si>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</si>
  <si>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</si>
  <si>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</si>
  <si>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</si>
  <si>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</si>
  <si>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</si>
  <si>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</si>
  <si>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</si>
  <si>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</si>
  <si>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</si>
  <si>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</si>
  <si>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</si>
  <si>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</si>
  <si>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</si>
  <si>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Base year data reference: EFF</t>
  </si>
  <si>
    <t>TRA_Tru_PLT_DST1</t>
  </si>
  <si>
    <t>TRADST</t>
  </si>
  <si>
    <t>TRA_Tru_FLT_GSL1</t>
  </si>
  <si>
    <t>BVkm</t>
  </si>
  <si>
    <t>000Veh</t>
  </si>
  <si>
    <t>DEMO</t>
  </si>
  <si>
    <t>From BY</t>
  </si>
  <si>
    <t>FROM BY</t>
  </si>
  <si>
    <t>TRA_Tru_MT_GSL1</t>
  </si>
  <si>
    <t>TRA_Car_BEV00</t>
  </si>
  <si>
    <t>TRA_Tru_PLT_GSL</t>
  </si>
  <si>
    <t>TRA_Tru_HT_DST1</t>
  </si>
  <si>
    <t>TRA_Car_PHEV00</t>
  </si>
  <si>
    <t>TRA_Tru_PLT_DST</t>
  </si>
  <si>
    <t>TRA_Tru_FLT_GSL</t>
  </si>
  <si>
    <t>TRA_Mot_GSL1</t>
  </si>
  <si>
    <t>TRA_Mot</t>
  </si>
  <si>
    <t>Mcad/btkm</t>
  </si>
  <si>
    <t>TRA_Tru_MT_GSL</t>
  </si>
  <si>
    <t>TRA_Bus_SB_DST1</t>
  </si>
  <si>
    <t>TRA_Bus</t>
  </si>
  <si>
    <t>TRA_Car_HEV00</t>
  </si>
  <si>
    <t>TRA_Tru_HT_DST</t>
  </si>
  <si>
    <t>TRA_Bus_SB_GSL1</t>
  </si>
  <si>
    <t>TRA_Bus_SB_GSL</t>
  </si>
  <si>
    <t>TRA_Bus_UT_DST1</t>
  </si>
  <si>
    <t>TRA_Tru_FLT_BEV00</t>
  </si>
  <si>
    <t>TRA_Mot_GSL</t>
  </si>
  <si>
    <t>TRA_Bus_UT_GSL</t>
  </si>
  <si>
    <t>TRA_Bus_UT_GSL1</t>
  </si>
  <si>
    <t>TRA_Tru_FLT_PHEV00</t>
  </si>
  <si>
    <t>TRA_Bus_SB_DST</t>
  </si>
  <si>
    <t>TRA_Bus_IC_GSL</t>
  </si>
  <si>
    <t>TRA_Bus_IC_DST1</t>
  </si>
  <si>
    <t>TRA_Car_GSL</t>
  </si>
  <si>
    <t>TRA_Bus_IC_GSL1</t>
  </si>
  <si>
    <t>TRA_Tru_FLT_HEV00</t>
  </si>
  <si>
    <t>TRA_Bus_UT_DST</t>
  </si>
  <si>
    <t>TRA_Car_GSL1</t>
  </si>
  <si>
    <t>TRA_Car</t>
  </si>
  <si>
    <t>TRA_Car_DST1</t>
  </si>
  <si>
    <t>TRA_Bus_IC_DST</t>
  </si>
  <si>
    <t>TRA_Car_BEV01</t>
  </si>
  <si>
    <t>TRAELC</t>
  </si>
  <si>
    <t>TRA_Car_PHEV01</t>
  </si>
  <si>
    <t>DAYNITE</t>
  </si>
  <si>
    <t>TRA_Car_DST</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</si>
  <si>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</si>
  <si>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</si>
  <si>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</si>
  <si>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</si>
  <si>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</si>
  <si>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</si>
  <si>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</si>
  <si>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</si>
  <si>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</si>
  <si>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</si>
  <si>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</si>
  <si>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</si>
  <si>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</si>
  <si>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</si>
  <si>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</si>
  <si>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</si>
  <si>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</si>
  <si>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TRAWOOD</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</si>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</sst>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3">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sz val="16"/>
      <color theme="1"/>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sz val="10"/>
      <color rgb="FF00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9"/>
      <name val="Times New Roman"/>
      <charset val="0"/>
    </font>
    <font>
      <b/>
      <sz val="8"/>
      <name val="Tahoma"/>
      <charset val="134"/>
    </font>
    <font>
      <sz val="9"/>
      <name val="Tahoma"/>
      <charset val="1"/>
    </font>
    <font>
      <b/>
      <sz val="9"/>
      <name val="Times New Roman"/>
      <charset val="134"/>
    </font>
    <font>
      <sz val="9"/>
      <name val="Times New Roman"/>
      <charset val="134"/>
    </font>
    <font>
      <b/>
      <sz val="9"/>
      <name val="Tahoma"/>
      <charset val="134"/>
    </font>
    <font>
      <b/>
      <sz val="9"/>
      <name val="Times New Roman"/>
      <charset val="0"/>
    </font>
    <font>
      <sz val="9"/>
      <name val="Tahoma"/>
      <charset val="134"/>
    </font>
    <font>
      <sz val="8"/>
      <name val="Tahoma"/>
      <charset val="134"/>
    </font>
    <font>
      <b/>
      <sz val="9"/>
      <name val="Tahoma"/>
      <charset val="1"/>
    </font>
  </fonts>
  <fills count="9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81536301767"/>
        <bgColor indexed="64"/>
      </patternFill>
    </fill>
    <fill>
      <patternFill patternType="solid">
        <fgColor rgb="FFEBF1DE"/>
        <bgColor rgb="FF000000"/>
      </patternFill>
    </fill>
    <fill>
      <patternFill patternType="solid">
        <fgColor theme="8" tint="0.79970702230903"/>
        <bgColor indexed="64"/>
      </patternFill>
    </fill>
    <fill>
      <patternFill patternType="solid">
        <fgColor theme="8" tint="0.399761955626087"/>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0702230903"/>
        <bgColor indexed="64"/>
      </patternFill>
    </fill>
    <fill>
      <patternFill patternType="solid">
        <fgColor theme="4" tint="0.799737540818506"/>
        <bgColor indexed="64"/>
      </patternFill>
    </fill>
    <fill>
      <patternFill patternType="solid">
        <fgColor indexed="29"/>
        <bgColor indexed="64"/>
      </patternFill>
    </fill>
    <fill>
      <patternFill patternType="solid">
        <fgColor theme="5" tint="0.79970702230903"/>
        <bgColor indexed="64"/>
      </patternFill>
    </fill>
    <fill>
      <patternFill patternType="solid">
        <fgColor theme="5" tint="0.799737540818506"/>
        <bgColor indexed="64"/>
      </patternFill>
    </fill>
    <fill>
      <patternFill patternType="solid">
        <fgColor indexed="26"/>
        <bgColor indexed="64"/>
      </patternFill>
    </fill>
    <fill>
      <patternFill patternType="solid">
        <fgColor theme="6" tint="0.79970702230903"/>
        <bgColor indexed="64"/>
      </patternFill>
    </fill>
    <fill>
      <patternFill patternType="solid">
        <fgColor theme="6" tint="0.799737540818506"/>
        <bgColor indexed="64"/>
      </patternFill>
    </fill>
    <fill>
      <patternFill patternType="solid">
        <fgColor theme="7" tint="0.79970702230903"/>
        <bgColor indexed="64"/>
      </patternFill>
    </fill>
    <fill>
      <patternFill patternType="solid">
        <fgColor theme="7" tint="0.799737540818506"/>
        <bgColor indexed="64"/>
      </patternFill>
    </fill>
    <fill>
      <patternFill patternType="solid">
        <fgColor theme="8" tint="0.799737540818506"/>
        <bgColor indexed="64"/>
      </patternFill>
    </fill>
    <fill>
      <patternFill patternType="solid">
        <fgColor theme="8" tint="0.799798577837458"/>
        <bgColor indexed="64"/>
      </patternFill>
    </fill>
    <fill>
      <patternFill patternType="solid">
        <fgColor theme="9" tint="0.79970702230903"/>
        <bgColor indexed="64"/>
      </patternFill>
    </fill>
    <fill>
      <patternFill patternType="solid">
        <fgColor theme="9" tint="0.799737540818506"/>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00918607135"/>
        <bgColor indexed="64"/>
      </patternFill>
    </fill>
    <fill>
      <patternFill patternType="solid">
        <fgColor theme="4" tint="0.399731437116611"/>
        <bgColor indexed="64"/>
      </patternFill>
    </fill>
    <fill>
      <patternFill patternType="solid">
        <fgColor indexed="53"/>
        <bgColor indexed="64"/>
      </patternFill>
    </fill>
    <fill>
      <patternFill patternType="solid">
        <fgColor theme="5" tint="0.399700918607135"/>
        <bgColor indexed="64"/>
      </patternFill>
    </fill>
    <fill>
      <patternFill patternType="solid">
        <fgColor theme="5" tint="0.399731437116611"/>
        <bgColor indexed="64"/>
      </patternFill>
    </fill>
    <fill>
      <patternFill patternType="solid">
        <fgColor theme="6" tint="0.399700918607135"/>
        <bgColor indexed="64"/>
      </patternFill>
    </fill>
    <fill>
      <patternFill patternType="solid">
        <fgColor theme="6" tint="0.399731437116611"/>
        <bgColor indexed="64"/>
      </patternFill>
    </fill>
    <fill>
      <patternFill patternType="solid">
        <fgColor theme="7" tint="0.399700918607135"/>
        <bgColor indexed="64"/>
      </patternFill>
    </fill>
    <fill>
      <patternFill patternType="solid">
        <fgColor theme="7" tint="0.399731437116611"/>
        <bgColor indexed="64"/>
      </patternFill>
    </fill>
    <fill>
      <patternFill patternType="solid">
        <fgColor theme="8" tint="0.399700918607135"/>
        <bgColor indexed="64"/>
      </patternFill>
    </fill>
    <fill>
      <patternFill patternType="solid">
        <fgColor theme="8" tint="0.399731437116611"/>
        <bgColor indexed="64"/>
      </patternFill>
    </fill>
    <fill>
      <patternFill patternType="solid">
        <fgColor theme="9" tint="0.399700918607135"/>
        <bgColor indexed="64"/>
      </patternFill>
    </fill>
    <fill>
      <patternFill patternType="solid">
        <fgColor theme="9" tint="0.399731437116611"/>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55">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0" fillId="3" borderId="8"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38" fillId="0" borderId="9" applyNumberFormat="0" applyFill="0" applyAlignment="0" applyProtection="0">
      <alignment vertical="center"/>
    </xf>
    <xf numFmtId="0" fontId="39" fillId="0" borderId="10" applyNumberFormat="0" applyFill="0" applyAlignment="0" applyProtection="0">
      <alignment vertical="center"/>
    </xf>
    <xf numFmtId="0" fontId="39" fillId="0" borderId="0" applyNumberFormat="0" applyFill="0" applyBorder="0" applyAlignment="0" applyProtection="0">
      <alignment vertical="center"/>
    </xf>
    <xf numFmtId="0" fontId="40" fillId="11" borderId="11" applyNumberFormat="0" applyAlignment="0" applyProtection="0">
      <alignment vertical="center"/>
    </xf>
    <xf numFmtId="0" fontId="41" fillId="12" borderId="12" applyNumberFormat="0" applyAlignment="0" applyProtection="0">
      <alignment vertical="center"/>
    </xf>
    <xf numFmtId="0" fontId="42" fillId="12" borderId="11" applyNumberFormat="0" applyAlignment="0" applyProtection="0">
      <alignment vertical="center"/>
    </xf>
    <xf numFmtId="0" fontId="43" fillId="13" borderId="13" applyNumberFormat="0" applyAlignment="0" applyProtection="0">
      <alignment vertical="center"/>
    </xf>
    <xf numFmtId="0" fontId="44" fillId="0" borderId="14" applyNumberFormat="0" applyFill="0" applyAlignment="0" applyProtection="0">
      <alignment vertical="center"/>
    </xf>
    <xf numFmtId="0" fontId="45" fillId="0" borderId="15" applyNumberFormat="0" applyFill="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7" fillId="5" borderId="0" applyNumberFormat="0" applyBorder="0" applyAlignment="0" applyProtection="0"/>
    <xf numFmtId="0" fontId="49"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0" fillId="9" borderId="0" applyNumberFormat="0" applyBorder="0" applyAlignment="0" applyProtection="0"/>
    <xf numFmtId="0" fontId="49"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1" fillId="0" borderId="0" applyNumberFormat="0" applyFill="0" applyBorder="0" applyAlignment="0" applyProtection="0">
      <alignment vertical="center"/>
    </xf>
    <xf numFmtId="0" fontId="52" fillId="39" borderId="0" applyNumberFormat="0" applyBorder="0" applyAlignment="0" applyProtection="0"/>
    <xf numFmtId="0" fontId="52" fillId="40" borderId="0" applyNumberFormat="0" applyBorder="0" applyAlignment="0" applyProtection="0"/>
    <xf numFmtId="0" fontId="52" fillId="41" borderId="0" applyNumberFormat="0" applyBorder="0" applyAlignment="0" applyProtection="0"/>
    <xf numFmtId="0" fontId="52" fillId="42" borderId="0" applyNumberFormat="0" applyBorder="0" applyAlignment="0" applyProtection="0"/>
    <xf numFmtId="0" fontId="52" fillId="43" borderId="0" applyNumberFormat="0" applyBorder="0" applyAlignment="0" applyProtection="0"/>
    <xf numFmtId="0" fontId="52" fillId="44"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0" fillId="46" borderId="0" applyNumberFormat="0" applyBorder="0" applyAlignment="0" applyProtection="0"/>
    <xf numFmtId="0" fontId="0" fillId="47"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0" fillId="46"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0" fillId="47"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0" fillId="49" borderId="0" applyNumberFormat="0" applyBorder="0" applyAlignment="0" applyProtection="0"/>
    <xf numFmtId="0" fontId="0" fillId="5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0" fillId="49"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0" fillId="5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0" fillId="52" borderId="0" applyNumberFormat="0" applyBorder="0" applyAlignment="0" applyProtection="0"/>
    <xf numFmtId="0" fontId="0" fillId="53"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0" fillId="52"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0" fillId="53"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0" fillId="54" borderId="0" applyNumberFormat="0" applyBorder="0" applyAlignment="0" applyProtection="0"/>
    <xf numFmtId="0" fontId="0" fillId="55"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0" fillId="5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0" fillId="55"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9" borderId="0" applyNumberFormat="0" applyBorder="0" applyAlignment="0" applyProtection="0"/>
    <xf numFmtId="0" fontId="0" fillId="56" borderId="0" applyNumberFormat="0" applyBorder="0" applyAlignment="0" applyProtection="0"/>
    <xf numFmtId="0" fontId="0" fillId="57" borderId="0" applyNumberFormat="0" applyBorder="0" applyAlignment="0" applyProtection="0">
      <alignment vertical="center"/>
    </xf>
    <xf numFmtId="0" fontId="53" fillId="43" borderId="0" applyNumberFormat="0" applyBorder="0" applyAlignment="0" applyProtection="0"/>
    <xf numFmtId="0" fontId="0" fillId="9" borderId="0" applyNumberFormat="0" applyBorder="0" applyAlignment="0" applyProtection="0"/>
    <xf numFmtId="0" fontId="53" fillId="43" borderId="0" applyNumberFormat="0" applyBorder="0" applyAlignment="0" applyProtection="0"/>
    <xf numFmtId="0" fontId="0" fillId="56"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9"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0" fillId="58"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0" fillId="59"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0" fillId="58"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0"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39"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4" borderId="0" applyNumberFormat="0" applyBorder="0" applyAlignment="0" applyProtection="0"/>
    <xf numFmtId="49" fontId="54" fillId="0" borderId="6" applyNumberFormat="0" applyFont="0" applyFill="0" applyBorder="0" applyProtection="0">
      <alignment horizontal="left" vertical="center" indent="2"/>
    </xf>
    <xf numFmtId="0" fontId="52" fillId="45" borderId="0" applyNumberFormat="0" applyBorder="0" applyAlignment="0" applyProtection="0"/>
    <xf numFmtId="0" fontId="52" fillId="48" borderId="0" applyNumberFormat="0" applyBorder="0" applyAlignment="0" applyProtection="0"/>
    <xf numFmtId="0" fontId="52" fillId="60" borderId="0" applyNumberFormat="0" applyBorder="0" applyAlignment="0" applyProtection="0"/>
    <xf numFmtId="0" fontId="52" fillId="42" borderId="0" applyNumberFormat="0" applyBorder="0" applyAlignment="0" applyProtection="0"/>
    <xf numFmtId="0" fontId="52" fillId="45" borderId="0" applyNumberFormat="0" applyBorder="0" applyAlignment="0" applyProtection="0"/>
    <xf numFmtId="0" fontId="52" fillId="61"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0" fillId="18"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0" fillId="18"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0" fillId="26"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0" fillId="26"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0" fillId="3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0" fillId="3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0" fillId="3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0" fillId="3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0" fillId="37"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0" fillId="37"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5" borderId="0" applyNumberFormat="0" applyBorder="0" applyAlignment="0" applyProtection="0"/>
    <xf numFmtId="0" fontId="53" fillId="48" borderId="0" applyNumberFormat="0" applyBorder="0" applyAlignment="0" applyProtection="0"/>
    <xf numFmtId="0" fontId="53" fillId="60" borderId="0" applyNumberFormat="0" applyBorder="0" applyAlignment="0" applyProtection="0"/>
    <xf numFmtId="0" fontId="53" fillId="42" borderId="0" applyNumberFormat="0" applyBorder="0" applyAlignment="0" applyProtection="0"/>
    <xf numFmtId="0" fontId="53" fillId="45" borderId="0" applyNumberFormat="0" applyBorder="0" applyAlignment="0" applyProtection="0"/>
    <xf numFmtId="0" fontId="53" fillId="61" borderId="0" applyNumberFormat="0" applyBorder="0" applyAlignment="0" applyProtection="0"/>
    <xf numFmtId="0" fontId="1" fillId="0" borderId="0" applyNumberFormat="0" applyFont="0" applyFill="0" applyBorder="0" applyProtection="0">
      <alignment horizontal="left" vertical="center" indent="5"/>
    </xf>
    <xf numFmtId="0" fontId="55" fillId="62" borderId="0" applyNumberFormat="0" applyBorder="0" applyAlignment="0" applyProtection="0"/>
    <xf numFmtId="0" fontId="55" fillId="48"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5"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7" fillId="66" borderId="0" applyNumberFormat="0" applyBorder="0" applyAlignment="0" applyProtection="0"/>
    <xf numFmtId="0" fontId="56" fillId="4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7" fillId="66" borderId="0" applyNumberFormat="0" applyBorder="0" applyAlignment="0" applyProtection="0"/>
    <xf numFmtId="0" fontId="56" fillId="62" borderId="0" applyNumberFormat="0" applyBorder="0" applyAlignment="0" applyProtection="0"/>
    <xf numFmtId="0" fontId="7" fillId="67"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7" fillId="69" borderId="0" applyNumberFormat="0" applyBorder="0" applyAlignment="0" applyProtection="0"/>
    <xf numFmtId="0" fontId="56" fillId="68"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7" fillId="69" borderId="0" applyNumberFormat="0" applyBorder="0" applyAlignment="0" applyProtection="0"/>
    <xf numFmtId="0" fontId="56" fillId="48" borderId="0" applyNumberFormat="0" applyBorder="0" applyAlignment="0" applyProtection="0"/>
    <xf numFmtId="0" fontId="7" fillId="70"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7" fillId="71" borderId="0" applyNumberFormat="0" applyBorder="0" applyAlignment="0" applyProtection="0"/>
    <xf numFmtId="0" fontId="56" fillId="61" borderId="0" applyNumberFormat="0" applyBorder="0" applyAlignment="0" applyProtection="0"/>
    <xf numFmtId="0" fontId="7" fillId="71" borderId="0" applyNumberFormat="0" applyBorder="0" applyAlignment="0" applyProtection="0"/>
    <xf numFmtId="0" fontId="7" fillId="7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7" fillId="71" borderId="0" applyNumberFormat="0" applyBorder="0" applyAlignment="0" applyProtection="0"/>
    <xf numFmtId="0" fontId="56" fillId="60" borderId="0" applyNumberFormat="0" applyBorder="0" applyAlignment="0" applyProtection="0"/>
    <xf numFmtId="0" fontId="7" fillId="72"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7" fillId="73" borderId="0" applyNumberFormat="0" applyBorder="0" applyAlignment="0" applyProtection="0"/>
    <xf numFmtId="0" fontId="56" fillId="40"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7" fillId="73" borderId="0" applyNumberFormat="0" applyBorder="0" applyAlignment="0" applyProtection="0"/>
    <xf numFmtId="0" fontId="56" fillId="63" borderId="0" applyNumberFormat="0" applyBorder="0" applyAlignment="0" applyProtection="0"/>
    <xf numFmtId="0" fontId="7" fillId="74"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7" fillId="75" borderId="0" applyNumberFormat="0" applyBorder="0" applyAlignment="0" applyProtection="0"/>
    <xf numFmtId="0" fontId="56" fillId="43" borderId="0" applyNumberFormat="0" applyBorder="0" applyAlignment="0" applyProtection="0"/>
    <xf numFmtId="0" fontId="7" fillId="75" borderId="0" applyNumberFormat="0" applyBorder="0" applyAlignment="0" applyProtection="0"/>
    <xf numFmtId="0" fontId="7" fillId="76"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7" fillId="75" borderId="0" applyNumberFormat="0" applyBorder="0" applyAlignment="0" applyProtection="0"/>
    <xf numFmtId="0" fontId="56" fillId="64" borderId="0" applyNumberFormat="0" applyBorder="0" applyAlignment="0" applyProtection="0"/>
    <xf numFmtId="0" fontId="7" fillId="76"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7" fillId="77" borderId="0" applyNumberFormat="0" applyBorder="0" applyAlignment="0" applyProtection="0"/>
    <xf numFmtId="0" fontId="56" fillId="48"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7" fillId="77" borderId="0" applyNumberFormat="0" applyBorder="0" applyAlignment="0" applyProtection="0"/>
    <xf numFmtId="0" fontId="56" fillId="65" borderId="0" applyNumberFormat="0" applyBorder="0" applyAlignment="0" applyProtection="0"/>
    <xf numFmtId="0" fontId="7" fillId="7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2" borderId="0" applyNumberFormat="0" applyBorder="0" applyAlignment="0" applyProtection="0"/>
    <xf numFmtId="0" fontId="56" fillId="48" borderId="0" applyNumberFormat="0" applyBorder="0" applyAlignment="0" applyProtection="0"/>
    <xf numFmtId="0" fontId="56" fillId="60"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5" borderId="0" applyNumberFormat="0" applyBorder="0" applyAlignment="0" applyProtection="0"/>
    <xf numFmtId="0" fontId="56" fillId="63"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7" fillId="43" borderId="0" applyBorder="0" applyAlignment="0"/>
    <xf numFmtId="0" fontId="54" fillId="43" borderId="0" applyBorder="0">
      <alignment horizontal="right" vertical="center"/>
    </xf>
    <xf numFmtId="0" fontId="54" fillId="41" borderId="0" applyBorder="0">
      <alignment horizontal="right" vertical="center"/>
    </xf>
    <xf numFmtId="0" fontId="54" fillId="41" borderId="0" applyBorder="0">
      <alignment horizontal="right" vertical="center"/>
    </xf>
    <xf numFmtId="0" fontId="58" fillId="41" borderId="6">
      <alignment horizontal="right" vertical="center"/>
    </xf>
    <xf numFmtId="0" fontId="59" fillId="41" borderId="6">
      <alignment horizontal="right" vertical="center"/>
    </xf>
    <xf numFmtId="0" fontId="58" fillId="44" borderId="6">
      <alignment horizontal="right" vertical="center"/>
    </xf>
    <xf numFmtId="0" fontId="58" fillId="44" borderId="6">
      <alignment horizontal="right" vertical="center"/>
    </xf>
    <xf numFmtId="0" fontId="58" fillId="44" borderId="16">
      <alignment horizontal="right" vertical="center"/>
    </xf>
    <xf numFmtId="0" fontId="58" fillId="44" borderId="17">
      <alignment horizontal="right" vertical="center"/>
    </xf>
    <xf numFmtId="0" fontId="58" fillId="44" borderId="18">
      <alignment horizontal="right" vertical="center"/>
    </xf>
    <xf numFmtId="0" fontId="56" fillId="79" borderId="0" applyNumberFormat="0" applyBorder="0" applyAlignment="0" applyProtection="0"/>
    <xf numFmtId="0" fontId="56" fillId="81" borderId="0" applyNumberFormat="0" applyBorder="0" applyAlignment="0" applyProtection="0"/>
    <xf numFmtId="0" fontId="56" fillId="82"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8" borderId="0" applyNumberFormat="0" applyBorder="0" applyAlignment="0" applyProtection="0"/>
    <xf numFmtId="0" fontId="60" fillId="84" borderId="19" applyNumberFormat="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2" fillId="15"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3" fillId="84" borderId="20" applyNumberFormat="0" applyAlignment="0" applyProtection="0"/>
    <xf numFmtId="0" fontId="64" fillId="44" borderId="20" applyNumberFormat="0" applyAlignment="0" applyProtection="0"/>
    <xf numFmtId="4" fontId="57" fillId="0" borderId="7" applyFill="0" applyBorder="0" applyProtection="0">
      <alignment horizontal="right" vertical="center"/>
    </xf>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5" fillId="85" borderId="20" applyNumberFormat="0" applyAlignment="0" applyProtection="0"/>
    <xf numFmtId="0" fontId="63" fillId="84" borderId="20" applyNumberFormat="0" applyAlignment="0" applyProtection="0"/>
    <xf numFmtId="0" fontId="65" fillId="85"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7" fillId="0" borderId="0" applyNumberFormat="0" applyFill="0" applyBorder="0" applyAlignment="0" applyProtection="0"/>
    <xf numFmtId="0" fontId="68" fillId="0" borderId="22" applyNumberFormat="0" applyFill="0" applyAlignment="0" applyProtection="0"/>
    <xf numFmtId="0" fontId="69" fillId="0" borderId="23" applyNumberFormat="0" applyFill="0" applyAlignment="0" applyProtection="0"/>
    <xf numFmtId="0" fontId="70" fillId="0" borderId="24" applyNumberFormat="0" applyFill="0" applyAlignment="0" applyProtection="0"/>
    <xf numFmtId="0" fontId="70" fillId="0" borderId="0" applyNumberFormat="0" applyFill="0" applyBorder="0" applyAlignment="0" applyProtection="0"/>
    <xf numFmtId="49" fontId="1" fillId="43"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0" fontId="58" fillId="0" borderId="0" applyNumberFormat="0">
      <alignment horizontal="right"/>
    </xf>
    <xf numFmtId="181" fontId="53"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4" fillId="44" borderId="26">
      <alignment horizontal="left" vertical="center" wrapText="1" indent="2"/>
    </xf>
    <xf numFmtId="0" fontId="54" fillId="0" borderId="26">
      <alignment horizontal="left" vertical="center" wrapText="1" indent="2"/>
    </xf>
    <xf numFmtId="0" fontId="54" fillId="41" borderId="17">
      <alignment horizontal="left" vertical="center"/>
    </xf>
    <xf numFmtId="0" fontId="58" fillId="0" borderId="27">
      <alignment horizontal="left" vertical="top" wrapText="1"/>
    </xf>
    <xf numFmtId="3" fontId="73" fillId="0" borderId="25">
      <alignment horizontal="right" vertical="top"/>
    </xf>
    <xf numFmtId="0" fontId="74" fillId="44" borderId="20" applyNumberFormat="0" applyAlignment="0" applyProtection="0"/>
    <xf numFmtId="0" fontId="75" fillId="86" borderId="21" applyNumberFormat="0" applyAlignment="0" applyProtection="0"/>
    <xf numFmtId="0" fontId="76" fillId="0" borderId="28"/>
    <xf numFmtId="0" fontId="5" fillId="64" borderId="6">
      <alignment horizontal="centerContinuous" vertical="top" wrapText="1"/>
    </xf>
    <xf numFmtId="0" fontId="77" fillId="0" borderId="0">
      <alignment vertical="top" wrapText="1"/>
    </xf>
    <xf numFmtId="0" fontId="78" fillId="0" borderId="29" applyNumberFormat="0" applyFill="0" applyAlignment="0" applyProtection="0"/>
    <xf numFmtId="0" fontId="79" fillId="0" borderId="0" applyNumberFormat="0" applyFill="0" applyBorder="0" applyAlignment="0" applyProtection="0"/>
    <xf numFmtId="0" fontId="80"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43" fontId="1" fillId="0" borderId="0" applyFont="0" applyFill="0" applyBorder="0" applyAlignment="0" applyProtection="0"/>
    <xf numFmtId="0" fontId="81"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71" fillId="0" borderId="0" applyFont="0" applyFill="0" applyBorder="0" applyAlignment="0" applyProtection="0"/>
    <xf numFmtId="11" fontId="71" fillId="0" borderId="0" applyFont="0" applyFill="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3" fillId="14"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1" fillId="0" borderId="0" applyNumberFormat="0" applyFill="0" applyBorder="0" applyAlignment="0" applyProtection="0"/>
    <xf numFmtId="0" fontId="92" fillId="0" borderId="33" applyNumberFormat="0" applyFill="0" applyAlignment="0" applyProtection="0"/>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16" fillId="0" borderId="0" applyNumberFormat="0" applyFill="0" applyBorder="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 borderId="20" applyNumberFormat="0" applyAlignment="0" applyProtection="0"/>
    <xf numFmtId="0" fontId="94" fillId="11" borderId="11"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95" fillId="11" borderId="11"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95" fillId="11" borderId="11" applyNumberFormat="0" applyAlignment="0" applyProtection="0"/>
    <xf numFmtId="0" fontId="74" fillId="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4" fontId="54" fillId="0" borderId="0" applyBorder="0">
      <alignment horizontal="right" vertical="center"/>
    </xf>
    <xf numFmtId="0" fontId="54" fillId="0" borderId="6">
      <alignment horizontal="right" vertical="center"/>
    </xf>
    <xf numFmtId="1" fontId="96" fillId="41" borderId="0" applyBorder="0">
      <alignment horizontal="right" vertical="center"/>
    </xf>
    <xf numFmtId="0" fontId="52" fillId="51" borderId="34" applyNumberFormat="0" applyFont="0" applyAlignment="0" applyProtection="0"/>
    <xf numFmtId="0" fontId="55" fillId="79" borderId="0" applyNumberFormat="0" applyBorder="0" applyAlignment="0" applyProtection="0"/>
    <xf numFmtId="0" fontId="55" fillId="81" borderId="0" applyNumberFormat="0" applyBorder="0" applyAlignment="0" applyProtection="0"/>
    <xf numFmtId="0" fontId="55" fillId="82"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8" borderId="0" applyNumberFormat="0" applyBorder="0" applyAlignment="0" applyProtection="0"/>
    <xf numFmtId="0" fontId="97" fillId="41" borderId="0" applyNumberFormat="0" applyBorder="0" applyAlignment="0" applyProtection="0"/>
    <xf numFmtId="0" fontId="98" fillId="84" borderId="19" applyNumberFormat="0" applyAlignment="0" applyProtection="0"/>
    <xf numFmtId="0" fontId="91" fillId="0" borderId="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1" fillId="0" borderId="0" applyNumberFormat="0" applyFill="0" applyBorder="0" applyAlignment="0" applyProtection="0"/>
    <xf numFmtId="178" fontId="1" fillId="0" borderId="0" applyFont="0" applyFill="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3" fillId="4" borderId="0" applyNumberFormat="0" applyBorder="0" applyAlignment="0" applyProtection="0"/>
    <xf numFmtId="0" fontId="104" fillId="16"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5"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 fillId="0" borderId="0"/>
    <xf numFmtId="0" fontId="0" fillId="0" borderId="0"/>
    <xf numFmtId="0" fontId="0" fillId="0" borderId="0"/>
    <xf numFmtId="0" fontId="53"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53"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6" fillId="0" borderId="0">
      <alignment vertical="center"/>
    </xf>
    <xf numFmtId="179" fontId="106" fillId="0" borderId="0">
      <alignment vertical="center"/>
    </xf>
    <xf numFmtId="0" fontId="1" fillId="0" borderId="0"/>
    <xf numFmtId="0" fontId="0" fillId="0" borderId="0"/>
    <xf numFmtId="179" fontId="106"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179" fontId="106" fillId="0" borderId="0">
      <alignment vertical="center"/>
    </xf>
    <xf numFmtId="179" fontId="106" fillId="0" borderId="0">
      <alignment vertical="center"/>
    </xf>
    <xf numFmtId="0" fontId="0" fillId="0" borderId="0">
      <alignment vertical="center"/>
    </xf>
    <xf numFmtId="179" fontId="106" fillId="0" borderId="0">
      <alignment vertical="center"/>
    </xf>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3"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7"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8" fillId="0" borderId="0"/>
    <xf numFmtId="0" fontId="1"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53" fillId="0" borderId="0"/>
    <xf numFmtId="0" fontId="1" fillId="0" borderId="0"/>
    <xf numFmtId="0" fontId="53" fillId="0" borderId="0"/>
    <xf numFmtId="0" fontId="108" fillId="0" borderId="0"/>
    <xf numFmtId="0" fontId="108"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3" fillId="0" borderId="0"/>
    <xf numFmtId="0" fontId="0" fillId="0" borderId="0"/>
    <xf numFmtId="0" fontId="0" fillId="0" borderId="0"/>
    <xf numFmtId="0" fontId="0" fillId="0" borderId="0"/>
    <xf numFmtId="0" fontId="53" fillId="0" borderId="0"/>
    <xf numFmtId="0" fontId="53" fillId="0" borderId="0"/>
    <xf numFmtId="0" fontId="53"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53"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6" fillId="0" borderId="0">
      <alignment vertical="center"/>
    </xf>
    <xf numFmtId="0" fontId="109" fillId="0" borderId="0"/>
    <xf numFmtId="190" fontId="106" fillId="0" borderId="0">
      <alignment vertical="center"/>
    </xf>
    <xf numFmtId="0" fontId="1" fillId="0" borderId="0"/>
    <xf numFmtId="0" fontId="1" fillId="0" borderId="0"/>
    <xf numFmtId="0" fontId="109" fillId="0" borderId="0"/>
    <xf numFmtId="0" fontId="1" fillId="0" borderId="0"/>
    <xf numFmtId="0" fontId="53" fillId="0" borderId="0"/>
    <xf numFmtId="0" fontId="1" fillId="0" borderId="0"/>
    <xf numFmtId="0" fontId="108"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8"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1" fillId="0" borderId="0"/>
    <xf numFmtId="0" fontId="1" fillId="0" borderId="0"/>
    <xf numFmtId="0" fontId="108"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0" fillId="0" borderId="0"/>
    <xf numFmtId="0" fontId="0" fillId="0" borderId="0"/>
    <xf numFmtId="0" fontId="53" fillId="0" borderId="0"/>
    <xf numFmtId="0" fontId="0" fillId="0" borderId="0"/>
    <xf numFmtId="0" fontId="1" fillId="0" borderId="0"/>
    <xf numFmtId="0" fontId="53" fillId="0" borderId="0"/>
    <xf numFmtId="0" fontId="1" fillId="0" borderId="0"/>
    <xf numFmtId="0" fontId="0" fillId="0" borderId="0"/>
    <xf numFmtId="0" fontId="0" fillId="0" borderId="0"/>
    <xf numFmtId="0" fontId="110"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11" fillId="0" borderId="0"/>
    <xf numFmtId="0" fontId="111" fillId="0" borderId="0"/>
    <xf numFmtId="0" fontId="1" fillId="0" borderId="0"/>
    <xf numFmtId="0" fontId="1" fillId="0" borderId="0"/>
    <xf numFmtId="0" fontId="53" fillId="0" borderId="0" applyFill="0" applyProtection="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53" fillId="0" borderId="0"/>
    <xf numFmtId="0" fontId="112"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0" fillId="0" borderId="0"/>
    <xf numFmtId="0" fontId="1" fillId="0" borderId="0"/>
    <xf numFmtId="0" fontId="0" fillId="0" borderId="0"/>
    <xf numFmtId="0" fontId="108" fillId="0" borderId="0"/>
    <xf numFmtId="0" fontId="53"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0" fillId="0" borderId="0"/>
    <xf numFmtId="0" fontId="0" fillId="0" borderId="0"/>
    <xf numFmtId="0" fontId="0" fillId="0" borderId="0"/>
    <xf numFmtId="0" fontId="0" fillId="0" borderId="0"/>
    <xf numFmtId="0" fontId="0" fillId="0" borderId="0"/>
    <xf numFmtId="0" fontId="0" fillId="0" borderId="0"/>
    <xf numFmtId="0" fontId="108" fillId="0" borderId="0"/>
    <xf numFmtId="0" fontId="108" fillId="0" borderId="0"/>
    <xf numFmtId="0" fontId="1" fillId="0" borderId="0"/>
    <xf numFmtId="0" fontId="1" fillId="0" borderId="0"/>
    <xf numFmtId="0" fontId="1" fillId="0" borderId="0"/>
    <xf numFmtId="0" fontId="1" fillId="0" borderId="0"/>
    <xf numFmtId="0" fontId="108" fillId="0" borderId="0"/>
    <xf numFmtId="0" fontId="1" fillId="0" borderId="0"/>
    <xf numFmtId="0" fontId="1" fillId="0" borderId="0"/>
    <xf numFmtId="0" fontId="108" fillId="0" borderId="0"/>
    <xf numFmtId="0" fontId="1" fillId="0" borderId="0"/>
    <xf numFmtId="0" fontId="53" fillId="0" borderId="0"/>
    <xf numFmtId="0" fontId="53" fillId="0" borderId="0"/>
    <xf numFmtId="0" fontId="113" fillId="0" borderId="0"/>
    <xf numFmtId="0" fontId="0" fillId="0" borderId="0"/>
    <xf numFmtId="0" fontId="0" fillId="0" borderId="0"/>
    <xf numFmtId="0" fontId="0" fillId="0" borderId="0"/>
    <xf numFmtId="0" fontId="53"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4"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1" fillId="0" borderId="0"/>
    <xf numFmtId="0" fontId="0" fillId="0" borderId="0"/>
    <xf numFmtId="0" fontId="0" fillId="0" borderId="0"/>
    <xf numFmtId="0" fontId="1" fillId="0" borderId="0"/>
    <xf numFmtId="0" fontId="1" fillId="0" borderId="0"/>
    <xf numFmtId="0" fontId="108" fillId="0" borderId="0"/>
    <xf numFmtId="0" fontId="53" fillId="0" borderId="0"/>
    <xf numFmtId="0" fontId="1" fillId="0" borderId="0"/>
    <xf numFmtId="0" fontId="1" fillId="0" borderId="0"/>
    <xf numFmtId="0" fontId="0"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1" fillId="0" borderId="0"/>
    <xf numFmtId="0" fontId="0"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5"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09"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09" fillId="0" borderId="0"/>
    <xf numFmtId="0" fontId="1" fillId="0" borderId="0"/>
    <xf numFmtId="0" fontId="53"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4" fontId="54" fillId="0" borderId="6" applyFill="0" applyBorder="0" applyProtection="0">
      <alignment horizontal="right" vertical="center"/>
    </xf>
    <xf numFmtId="0" fontId="57" fillId="0" borderId="0" applyNumberFormat="0" applyFill="0" applyBorder="0" applyProtection="0">
      <alignment horizontal="left" vertical="center"/>
    </xf>
    <xf numFmtId="0" fontId="54" fillId="0" borderId="6" applyNumberFormat="0" applyFill="0" applyAlignment="0" applyProtection="0"/>
    <xf numFmtId="0" fontId="1" fillId="86" borderId="0" applyNumberFormat="0" applyFont="0" applyBorder="0" applyAlignment="0" applyProtection="0"/>
    <xf numFmtId="0" fontId="1" fillId="0" borderId="0"/>
    <xf numFmtId="0" fontId="1" fillId="0" borderId="0"/>
    <xf numFmtId="0" fontId="116" fillId="0" borderId="0"/>
    <xf numFmtId="0" fontId="80" fillId="0" borderId="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71" fillId="51" borderId="34" applyNumberFormat="0" applyFont="0" applyAlignment="0" applyProtection="0"/>
    <xf numFmtId="0" fontId="1" fillId="51" borderId="34" applyNumberFormat="0" applyFont="0" applyAlignment="0" applyProtection="0"/>
    <xf numFmtId="0" fontId="71" fillId="51" borderId="34" applyNumberFormat="0" applyFont="0" applyAlignment="0" applyProtection="0"/>
    <xf numFmtId="191" fontId="117"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8" fillId="0" borderId="29" applyNumberFormat="0" applyFill="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193" fontId="54" fillId="87" borderId="6" applyNumberFormat="0" applyFont="0" applyBorder="0" applyAlignment="0" applyProtection="0">
      <alignment horizontal="right" vertical="center"/>
    </xf>
    <xf numFmtId="9" fontId="1" fillId="0" borderId="0" applyFont="0" applyFill="0" applyBorder="0" applyAlignment="0" applyProtection="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2"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3"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9" fillId="0" borderId="0" applyFont="0" applyFill="0" applyBorder="0" applyAlignment="0" applyProtection="0"/>
    <xf numFmtId="194" fontId="119" fillId="0" borderId="0" applyFont="0" applyFill="0" applyBorder="0" applyAlignment="0" applyProtection="0"/>
    <xf numFmtId="195" fontId="119" fillId="0" borderId="0" applyFont="0" applyFill="0" applyBorder="0" applyAlignment="0" applyProtection="0"/>
    <xf numFmtId="0" fontId="120" fillId="40" borderId="0" applyNumberFormat="0" applyBorder="0" applyAlignment="0" applyProtection="0"/>
    <xf numFmtId="0" fontId="1" fillId="0" borderId="0"/>
    <xf numFmtId="0" fontId="1" fillId="0" borderId="0"/>
    <xf numFmtId="0" fontId="121" fillId="4" borderId="0" applyNumberFormat="0" applyBorder="0" applyAlignment="0" applyProtection="0"/>
    <xf numFmtId="0" fontId="1" fillId="0" borderId="0"/>
    <xf numFmtId="0" fontId="1" fillId="0" borderId="0"/>
    <xf numFmtId="0" fontId="77" fillId="0" borderId="0">
      <alignment vertical="top" wrapText="1"/>
    </xf>
    <xf numFmtId="0" fontId="77" fillId="0" borderId="0">
      <alignment vertical="top" wrapText="1"/>
    </xf>
    <xf numFmtId="0" fontId="1" fillId="0" borderId="0"/>
    <xf numFmtId="0" fontId="1" fillId="0" borderId="0"/>
    <xf numFmtId="0" fontId="77"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2" fillId="88"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3" fillId="79"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4" fillId="84" borderId="20" applyNumberFormat="0" applyAlignment="0" applyProtection="0"/>
    <xf numFmtId="196" fontId="125" fillId="89" borderId="36">
      <alignment vertical="center"/>
    </xf>
    <xf numFmtId="0" fontId="1" fillId="0" borderId="0"/>
    <xf numFmtId="0" fontId="1" fillId="0" borderId="0"/>
    <xf numFmtId="179" fontId="126" fillId="89" borderId="36">
      <alignment vertical="center"/>
    </xf>
    <xf numFmtId="0" fontId="1" fillId="0" borderId="0"/>
    <xf numFmtId="0" fontId="1" fillId="0" borderId="0"/>
    <xf numFmtId="196" fontId="127" fillId="90" borderId="36">
      <alignment vertical="center"/>
    </xf>
    <xf numFmtId="0" fontId="1" fillId="0" borderId="0"/>
    <xf numFmtId="0" fontId="1" fillId="0" borderId="0"/>
    <xf numFmtId="0" fontId="1" fillId="91" borderId="37" applyBorder="0">
      <alignment horizontal="left" vertical="center"/>
    </xf>
    <xf numFmtId="0" fontId="1" fillId="0" borderId="0"/>
    <xf numFmtId="0" fontId="1" fillId="0" borderId="0"/>
    <xf numFmtId="49" fontId="1" fillId="92" borderId="6">
      <alignment vertical="center" wrapText="1"/>
    </xf>
    <xf numFmtId="0" fontId="1" fillId="0" borderId="0"/>
    <xf numFmtId="0" fontId="1" fillId="0" borderId="0"/>
    <xf numFmtId="0" fontId="1" fillId="93" borderId="38">
      <alignment horizontal="left" vertical="center" wrapText="1"/>
    </xf>
    <xf numFmtId="0" fontId="1" fillId="0" borderId="0"/>
    <xf numFmtId="0" fontId="1" fillId="0" borderId="0"/>
    <xf numFmtId="0" fontId="128" fillId="94" borderId="6">
      <alignment horizontal="left" vertical="center" wrapText="1"/>
    </xf>
    <xf numFmtId="0" fontId="1" fillId="0" borderId="0"/>
    <xf numFmtId="0" fontId="1" fillId="0" borderId="0"/>
    <xf numFmtId="0" fontId="1" fillId="65" borderId="6">
      <alignment horizontal="left" vertical="center" wrapText="1"/>
    </xf>
    <xf numFmtId="0" fontId="1" fillId="0" borderId="0"/>
    <xf numFmtId="0" fontId="1" fillId="0" borderId="0"/>
    <xf numFmtId="0" fontId="1" fillId="95"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31" fillId="0" borderId="0" applyNumberFormat="0" applyFill="0" applyBorder="0" applyAlignment="0" applyProtection="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2" fillId="0" borderId="0" applyNumberFormat="0" applyFill="0" applyBorder="0" applyAlignment="0" applyProtection="0">
      <alignment vertical="center"/>
    </xf>
    <xf numFmtId="0" fontId="1" fillId="0" borderId="0"/>
    <xf numFmtId="0" fontId="1" fillId="0" borderId="0"/>
  </cellStyleXfs>
  <cellXfs count="213">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928" applyFont="1" applyFill="1" applyAlignment="1">
      <alignment horizontal="left"/>
    </xf>
    <xf numFmtId="0" fontId="4" fillId="2" borderId="1" xfId="4114" applyFont="1" applyFill="1" applyBorder="1" applyAlignment="1">
      <alignment vertical="center"/>
    </xf>
    <xf numFmtId="0" fontId="5" fillId="2" borderId="2" xfId="4928" applyFont="1" applyFill="1" applyBorder="1" applyAlignment="1">
      <alignment horizontal="left" vertical="center"/>
    </xf>
    <xf numFmtId="0" fontId="5" fillId="2" borderId="2" xfId="4928" applyFont="1" applyFill="1" applyBorder="1" applyAlignment="1">
      <alignment horizontal="right" vertical="center"/>
    </xf>
    <xf numFmtId="0" fontId="0" fillId="2" borderId="0" xfId="4114" applyFill="1"/>
    <xf numFmtId="2" fontId="2" fillId="2" borderId="0" xfId="4114" applyNumberFormat="1" applyFont="1" applyFill="1"/>
    <xf numFmtId="0" fontId="0" fillId="0" borderId="0" xfId="4114"/>
    <xf numFmtId="1" fontId="0" fillId="0" borderId="0" xfId="4114" applyNumberFormat="1"/>
    <xf numFmtId="0" fontId="3" fillId="0" borderId="0" xfId="4928" applyFont="1" applyAlignment="1">
      <alignment horizontal="left"/>
    </xf>
    <xf numFmtId="0" fontId="4" fillId="3" borderId="1" xfId="4114" applyFont="1" applyFill="1" applyBorder="1" applyAlignment="1">
      <alignment vertical="center"/>
    </xf>
    <xf numFmtId="0" fontId="5" fillId="4" borderId="2" xfId="4928" applyFont="1" applyFill="1" applyBorder="1" applyAlignment="1">
      <alignment horizontal="left" vertical="center"/>
    </xf>
    <xf numFmtId="0" fontId="5" fillId="4" borderId="2" xfId="4928" applyFont="1" applyFill="1" applyBorder="1" applyAlignment="1">
      <alignment horizontal="right" vertical="center"/>
    </xf>
    <xf numFmtId="2" fontId="2" fillId="0" borderId="0" xfId="4114" applyNumberFormat="1" applyFont="1" applyFill="1"/>
    <xf numFmtId="0" fontId="6" fillId="0" borderId="0" xfId="0" applyFont="1"/>
    <xf numFmtId="2" fontId="2" fillId="0" borderId="0" xfId="4114" applyNumberFormat="1" applyFont="1"/>
    <xf numFmtId="0" fontId="7" fillId="5" borderId="0" xfId="25" applyFont="1"/>
    <xf numFmtId="198" fontId="7" fillId="5" borderId="0" xfId="25" applyNumberFormat="1"/>
    <xf numFmtId="198" fontId="0" fillId="0" borderId="0" xfId="4113" applyNumberFormat="1"/>
    <xf numFmtId="0" fontId="4" fillId="3" borderId="1" xfId="4113" applyFont="1" applyFill="1" applyBorder="1" applyAlignment="1">
      <alignment vertical="center"/>
    </xf>
    <xf numFmtId="0" fontId="0" fillId="0" borderId="0" xfId="4113"/>
    <xf numFmtId="0" fontId="2" fillId="6" borderId="0" xfId="0" applyFont="1" applyFill="1"/>
    <xf numFmtId="0" fontId="5" fillId="2" borderId="2" xfId="4928" applyFont="1" applyFill="1" applyBorder="1" applyAlignment="1">
      <alignment horizontal="right" vertical="center" wrapText="1"/>
    </xf>
    <xf numFmtId="0" fontId="6" fillId="2" borderId="0" xfId="0" applyFont="1" applyFill="1"/>
    <xf numFmtId="0" fontId="5" fillId="4" borderId="2" xfId="4928" applyFont="1" applyFill="1" applyBorder="1" applyAlignment="1">
      <alignment horizontal="right" vertical="center" wrapText="1"/>
    </xf>
    <xf numFmtId="0" fontId="4" fillId="3" borderId="0" xfId="4113"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928" applyFont="1" applyFill="1" applyBorder="1" applyAlignment="1">
      <alignment horizontal="left" vertical="center"/>
    </xf>
    <xf numFmtId="0" fontId="9" fillId="0" borderId="2" xfId="4928" applyFont="1" applyFill="1" applyBorder="1" applyAlignment="1">
      <alignment horizontal="right" vertical="center"/>
    </xf>
    <xf numFmtId="0" fontId="10" fillId="0" borderId="0" xfId="0" applyFont="1"/>
    <xf numFmtId="0" fontId="1" fillId="0" borderId="6" xfId="0" applyFont="1" applyBorder="1"/>
    <xf numFmtId="198" fontId="0" fillId="0" borderId="0" xfId="4093" applyNumberFormat="1"/>
    <xf numFmtId="0" fontId="5" fillId="0" borderId="2" xfId="4928" applyFont="1" applyFill="1" applyBorder="1" applyAlignment="1">
      <alignment horizontal="right" vertical="center" wrapText="1"/>
    </xf>
    <xf numFmtId="0" fontId="5" fillId="4" borderId="0" xfId="4928" applyFont="1" applyFill="1" applyBorder="1" applyAlignment="1">
      <alignment horizontal="right" vertical="center"/>
    </xf>
    <xf numFmtId="0" fontId="0" fillId="0" borderId="0" xfId="0" applyAlignment="1">
      <alignment vertical="center"/>
    </xf>
    <xf numFmtId="0" fontId="4" fillId="3" borderId="1" xfId="4093" applyFont="1" applyFill="1" applyBorder="1" applyAlignment="1">
      <alignment vertical="center"/>
    </xf>
    <xf numFmtId="0" fontId="0" fillId="0" borderId="0" xfId="4093"/>
    <xf numFmtId="9" fontId="0" fillId="0" borderId="0" xfId="0" applyNumberFormat="1"/>
    <xf numFmtId="0" fontId="9" fillId="0" borderId="2" xfId="4928"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928" applyFont="1" applyBorder="1" applyAlignment="1">
      <alignment horizontal="left"/>
    </xf>
    <xf numFmtId="0" fontId="4" fillId="3" borderId="6" xfId="4114" applyFont="1" applyFill="1" applyBorder="1" applyAlignment="1">
      <alignment vertical="center"/>
    </xf>
    <xf numFmtId="0" fontId="4" fillId="3" borderId="6" xfId="0" applyFont="1" applyFill="1" applyBorder="1" applyAlignment="1">
      <alignment vertical="center"/>
    </xf>
    <xf numFmtId="0" fontId="5" fillId="4" borderId="6" xfId="4928" applyFont="1" applyFill="1" applyBorder="1" applyAlignment="1">
      <alignment horizontal="left" vertical="center"/>
    </xf>
    <xf numFmtId="0" fontId="9" fillId="0" borderId="6" xfId="4928" applyFont="1" applyFill="1" applyBorder="1" applyAlignment="1">
      <alignment horizontal="right" vertical="center"/>
    </xf>
    <xf numFmtId="0" fontId="0" fillId="0" borderId="6" xfId="5390"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928" applyFont="1" applyFill="1" applyBorder="1" applyAlignment="1">
      <alignment horizontal="right" vertical="center"/>
    </xf>
    <xf numFmtId="0" fontId="5" fillId="4" borderId="6" xfId="4928" applyFont="1" applyFill="1" applyBorder="1" applyAlignment="1">
      <alignment horizontal="right" vertical="center" wrapText="1"/>
    </xf>
    <xf numFmtId="2" fontId="14" fillId="0" borderId="6" xfId="0" applyNumberFormat="1" applyFont="1" applyBorder="1"/>
    <xf numFmtId="2" fontId="0" fillId="0" borderId="6" xfId="5390" applyNumberFormat="1" applyBorder="1"/>
    <xf numFmtId="198" fontId="0" fillId="0" borderId="0" xfId="5390" applyNumberFormat="1"/>
    <xf numFmtId="0" fontId="13" fillId="2" borderId="2" xfId="4928" applyFont="1" applyFill="1" applyBorder="1" applyAlignment="1">
      <alignment horizontal="right" vertical="center" wrapText="1"/>
    </xf>
    <xf numFmtId="0" fontId="13" fillId="4" borderId="2" xfId="4928" applyFont="1" applyFill="1" applyBorder="1" applyAlignment="1">
      <alignment horizontal="right" vertical="center" wrapText="1"/>
    </xf>
    <xf numFmtId="0" fontId="4" fillId="3" borderId="1" xfId="5390" applyFont="1" applyFill="1" applyBorder="1" applyAlignment="1">
      <alignment vertical="center"/>
    </xf>
    <xf numFmtId="0" fontId="0" fillId="0" borderId="0" xfId="5390"/>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5390" applyFont="1" applyFill="1"/>
    <xf numFmtId="0" fontId="0" fillId="0" borderId="0" xfId="5390"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90" applyFont="1" applyFill="1" applyBorder="1"/>
    <xf numFmtId="0" fontId="0" fillId="0" borderId="6" xfId="0" applyFont="1" applyFill="1" applyBorder="1" applyAlignment="1"/>
    <xf numFmtId="0" fontId="0" fillId="0" borderId="6" xfId="0" applyFill="1" applyBorder="1"/>
    <xf numFmtId="0" fontId="0" fillId="0" borderId="6" xfId="5390" applyFill="1" applyBorder="1"/>
    <xf numFmtId="0" fontId="15" fillId="0" borderId="6" xfId="0" applyFont="1" applyFill="1" applyBorder="1" applyAlignment="1"/>
    <xf numFmtId="9" fontId="0" fillId="0" borderId="6" xfId="0" applyNumberFormat="1" applyBorder="1"/>
    <xf numFmtId="2" fontId="0" fillId="0" borderId="6" xfId="5390" applyNumberFormat="1" applyFill="1" applyBorder="1"/>
    <xf numFmtId="2" fontId="0" fillId="0" borderId="6" xfId="5390" applyNumberFormat="1" applyFont="1" applyFill="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928" applyFont="1" applyFill="1" applyBorder="1" applyAlignment="1">
      <alignment horizontal="left" vertical="center"/>
    </xf>
    <xf numFmtId="0" fontId="6" fillId="0" borderId="0" xfId="4114" applyFont="1"/>
    <xf numFmtId="1" fontId="11" fillId="0" borderId="0" xfId="0" applyNumberFormat="1" applyFont="1" applyFill="1"/>
    <xf numFmtId="1" fontId="11" fillId="0" borderId="0" xfId="4114" applyNumberFormat="1" applyFont="1" applyFill="1"/>
    <xf numFmtId="0" fontId="0" fillId="0" borderId="6" xfId="4114" applyBorder="1"/>
    <xf numFmtId="1" fontId="11" fillId="0" borderId="6" xfId="0" applyNumberFormat="1" applyFont="1" applyFill="1" applyBorder="1"/>
    <xf numFmtId="0" fontId="0" fillId="0" borderId="6" xfId="4114" applyFont="1" applyBorder="1"/>
    <xf numFmtId="0" fontId="17" fillId="6" borderId="6" xfId="4275" applyFont="1" applyFill="1" applyBorder="1"/>
    <xf numFmtId="0" fontId="18" fillId="0" borderId="6" xfId="0" applyFont="1" applyFill="1" applyBorder="1"/>
    <xf numFmtId="0" fontId="1" fillId="6" borderId="6" xfId="4275" applyFill="1" applyBorder="1"/>
    <xf numFmtId="0" fontId="0" fillId="0" borderId="0" xfId="4114" applyFont="1"/>
    <xf numFmtId="0" fontId="1" fillId="0" borderId="0" xfId="4275" applyFill="1"/>
    <xf numFmtId="0" fontId="18" fillId="0" borderId="0" xfId="0" applyFont="1" applyFill="1"/>
    <xf numFmtId="0" fontId="19" fillId="6" borderId="0" xfId="4275"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6" fillId="0" borderId="0" xfId="4114" applyFont="1" applyBorder="1"/>
    <xf numFmtId="0" fontId="1" fillId="0" borderId="0" xfId="4092" applyBorder="1"/>
    <xf numFmtId="0" fontId="0" fillId="0" borderId="0" xfId="4114" applyBorder="1"/>
    <xf numFmtId="0" fontId="0" fillId="6" borderId="0" xfId="0" applyFill="1"/>
    <xf numFmtId="0" fontId="22" fillId="6" borderId="0" xfId="0" applyFont="1" applyFill="1"/>
    <xf numFmtId="2" fontId="11" fillId="0" borderId="0" xfId="0" applyNumberFormat="1"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4114" applyNumberFormat="1" applyFont="1"/>
    <xf numFmtId="198" fontId="0" fillId="0" borderId="0" xfId="4114" applyNumberFormat="1"/>
    <xf numFmtId="198" fontId="0" fillId="0" borderId="5" xfId="0" applyNumberFormat="1" applyBorder="1"/>
    <xf numFmtId="198" fontId="1" fillId="0" borderId="5" xfId="0" applyNumberFormat="1" applyFont="1" applyBorder="1"/>
    <xf numFmtId="0" fontId="1" fillId="0" borderId="0" xfId="4927"/>
    <xf numFmtId="198" fontId="0" fillId="0" borderId="0" xfId="0" applyNumberFormat="1" applyFont="1"/>
    <xf numFmtId="0" fontId="25" fillId="0" borderId="0" xfId="0" applyFont="1" applyAlignment="1">
      <alignment horizontal="center"/>
    </xf>
    <xf numFmtId="1" fontId="0" fillId="0" borderId="0" xfId="4113" applyNumberFormat="1" applyFill="1"/>
    <xf numFmtId="0" fontId="1" fillId="0" borderId="0" xfId="4092" applyFill="1"/>
    <xf numFmtId="0" fontId="1" fillId="0" borderId="0" xfId="4092"/>
    <xf numFmtId="0" fontId="0" fillId="0" borderId="0" xfId="4113" applyFont="1" applyFill="1" applyBorder="1"/>
    <xf numFmtId="0" fontId="0" fillId="0" borderId="0" xfId="4113" applyFill="1" applyBorder="1"/>
    <xf numFmtId="0" fontId="7" fillId="0" borderId="0" xfId="25" applyFill="1" applyBorder="1"/>
    <xf numFmtId="0" fontId="4" fillId="0" borderId="0" xfId="4113" applyFont="1" applyFill="1" applyBorder="1" applyAlignment="1">
      <alignment vertical="center"/>
    </xf>
    <xf numFmtId="1" fontId="4" fillId="0" borderId="0" xfId="4113" applyNumberFormat="1" applyFont="1" applyFill="1" applyBorder="1" applyAlignment="1">
      <alignment vertical="center"/>
    </xf>
    <xf numFmtId="10" fontId="1" fillId="0" borderId="0" xfId="4092" applyNumberFormat="1" applyFill="1" applyBorder="1"/>
    <xf numFmtId="0" fontId="1" fillId="0" borderId="0" xfId="4092" applyFill="1" applyBorder="1"/>
    <xf numFmtId="9" fontId="1" fillId="0" borderId="0" xfId="4092" applyNumberFormat="1" applyFill="1" applyBorder="1"/>
    <xf numFmtId="0" fontId="0" fillId="0" borderId="0" xfId="0" applyFill="1" applyBorder="1"/>
    <xf numFmtId="0" fontId="0" fillId="0" borderId="0" xfId="0" applyFont="1" applyAlignment="1">
      <alignment wrapText="1"/>
    </xf>
    <xf numFmtId="0" fontId="21" fillId="0" borderId="0" xfId="5275"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6" fillId="0" borderId="6" xfId="0" applyFont="1" applyBorder="1"/>
    <xf numFmtId="0" fontId="26" fillId="0" borderId="0" xfId="0" applyFont="1"/>
    <xf numFmtId="0" fontId="21" fillId="0" borderId="0" xfId="0" applyFont="1" applyFill="1" applyBorder="1"/>
    <xf numFmtId="0" fontId="2" fillId="6" borderId="0" xfId="0" applyFont="1" applyFill="1" applyAlignment="1">
      <alignment wrapText="1"/>
    </xf>
    <xf numFmtId="1" fontId="26" fillId="0" borderId="0" xfId="0" applyNumberFormat="1" applyFont="1" applyFill="1"/>
    <xf numFmtId="199" fontId="0" fillId="0" borderId="0" xfId="4093" applyNumberFormat="1"/>
    <xf numFmtId="1" fontId="12" fillId="0" borderId="0" xfId="0" applyNumberFormat="1" applyFont="1" applyFill="1"/>
    <xf numFmtId="199" fontId="0" fillId="6" borderId="0" xfId="4093" applyNumberFormat="1" applyFill="1"/>
    <xf numFmtId="0" fontId="0" fillId="6" borderId="6" xfId="0" applyFill="1" applyBorder="1"/>
    <xf numFmtId="0" fontId="26" fillId="0" borderId="6" xfId="0" applyFont="1" applyFill="1" applyBorder="1"/>
    <xf numFmtId="0" fontId="12" fillId="6" borderId="6" xfId="0" applyFont="1" applyFill="1" applyBorder="1"/>
    <xf numFmtId="0" fontId="27" fillId="0" borderId="6" xfId="0" applyFont="1" applyBorder="1"/>
    <xf numFmtId="10" fontId="0" fillId="0" borderId="6" xfId="0" applyNumberFormat="1" applyBorder="1"/>
    <xf numFmtId="0" fontId="27" fillId="0" borderId="0" xfId="0" applyFont="1"/>
    <xf numFmtId="0" fontId="12" fillId="0" borderId="0" xfId="0" applyFont="1" applyAlignment="1">
      <alignment horizontal="center" wrapText="1"/>
    </xf>
    <xf numFmtId="0" fontId="28" fillId="0" borderId="0" xfId="5275" applyFont="1"/>
    <xf numFmtId="0" fontId="12" fillId="6" borderId="0" xfId="0" applyFont="1" applyFill="1" applyAlignment="1">
      <alignment wrapText="1"/>
    </xf>
    <xf numFmtId="0" fontId="12" fillId="0" borderId="0" xfId="0" applyFont="1" applyAlignment="1">
      <alignment wrapText="1"/>
    </xf>
    <xf numFmtId="0" fontId="28" fillId="0" borderId="6" xfId="0" applyFont="1" applyBorder="1"/>
    <xf numFmtId="0" fontId="28" fillId="0" borderId="0" xfId="0" applyFont="1"/>
    <xf numFmtId="3" fontId="0" fillId="0" borderId="0" xfId="0" applyNumberFormat="1" applyAlignment="1">
      <alignment wrapText="1"/>
    </xf>
    <xf numFmtId="0" fontId="0" fillId="0" borderId="0" xfId="0" applyAlignment="1">
      <alignment wrapText="1"/>
    </xf>
    <xf numFmtId="0" fontId="9" fillId="0" borderId="0" xfId="5275" applyFont="1" applyFill="1"/>
    <xf numFmtId="2" fontId="0" fillId="0" borderId="6" xfId="0" applyNumberFormat="1" applyFont="1" applyFill="1" applyBorder="1"/>
    <xf numFmtId="0" fontId="29" fillId="0" borderId="0" xfId="0" applyFont="1"/>
    <xf numFmtId="0" fontId="30" fillId="0" borderId="0" xfId="0" applyFont="1" applyFill="1"/>
    <xf numFmtId="0" fontId="1" fillId="0" borderId="0" xfId="0" applyFont="1" applyFill="1"/>
    <xf numFmtId="0" fontId="26" fillId="0" borderId="0" xfId="0" applyFont="1" applyFill="1"/>
    <xf numFmtId="0" fontId="0" fillId="6" borderId="0" xfId="4093" applyFill="1"/>
    <xf numFmtId="2" fontId="26" fillId="0" borderId="0" xfId="0" applyNumberFormat="1" applyFont="1" applyFill="1"/>
    <xf numFmtId="0" fontId="0" fillId="0" borderId="5" xfId="4093" applyBorder="1"/>
    <xf numFmtId="0" fontId="21" fillId="0" borderId="5" xfId="5275" applyFont="1" applyBorder="1"/>
    <xf numFmtId="199" fontId="0" fillId="0" borderId="0" xfId="4093" applyNumberFormat="1" applyFill="1"/>
    <xf numFmtId="9" fontId="0" fillId="0" borderId="0" xfId="0" applyNumberFormat="1" applyFill="1"/>
    <xf numFmtId="0" fontId="0" fillId="0" borderId="5" xfId="4093" applyFill="1" applyBorder="1"/>
    <xf numFmtId="0" fontId="31" fillId="0" borderId="0" xfId="0" applyFont="1" applyFill="1"/>
  </cellXfs>
  <cellStyles count="88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44 2" xfId="117"/>
    <cellStyle name="20% - Accent1 5" xfId="118"/>
    <cellStyle name="20% - Accent1 5 2" xfId="119"/>
    <cellStyle name="20% - Accent1 5 2 2" xfId="120"/>
    <cellStyle name="20% - Accent1 5 2 3" xfId="121"/>
    <cellStyle name="20% - Accent1 5 3" xfId="122"/>
    <cellStyle name="20% - Accent1 5 4" xfId="123"/>
    <cellStyle name="20% - Accent1 6" xfId="124"/>
    <cellStyle name="20% - Accent1 6 2" xfId="125"/>
    <cellStyle name="20% - Accent1 6 3" xfId="126"/>
    <cellStyle name="20% - Accent1 6 4" xfId="127"/>
    <cellStyle name="20% - Accent1 6 5" xfId="128"/>
    <cellStyle name="20% - Accent1 7" xfId="129"/>
    <cellStyle name="20% - Accent1 7 2" xfId="130"/>
    <cellStyle name="20% - Accent1 7 3" xfId="131"/>
    <cellStyle name="20% - Accent1 8" xfId="132"/>
    <cellStyle name="20% - Accent1 8 2" xfId="133"/>
    <cellStyle name="20% - Accent1 8 3" xfId="134"/>
    <cellStyle name="20% - Accent1 9" xfId="135"/>
    <cellStyle name="20% - Accent2 10" xfId="136"/>
    <cellStyle name="20% - Accent2 11" xfId="137"/>
    <cellStyle name="20% - Accent2 12" xfId="138"/>
    <cellStyle name="20% - Accent2 13" xfId="139"/>
    <cellStyle name="20% - Accent2 14" xfId="140"/>
    <cellStyle name="20% - Accent2 15" xfId="141"/>
    <cellStyle name="20% - Accent2 16" xfId="142"/>
    <cellStyle name="20% - Accent2 17" xfId="143"/>
    <cellStyle name="20% - Accent2 18" xfId="144"/>
    <cellStyle name="20% - Accent2 19" xfId="145"/>
    <cellStyle name="20% - Accent2 2" xfId="146"/>
    <cellStyle name="20% - Accent2 2 10" xfId="147"/>
    <cellStyle name="20% - Accent2 2 11" xfId="148"/>
    <cellStyle name="20% - Accent2 2 12" xfId="149"/>
    <cellStyle name="20% - Accent2 2 13" xfId="150"/>
    <cellStyle name="20% - Accent2 2 14" xfId="151"/>
    <cellStyle name="20% - Accent2 2 15" xfId="152"/>
    <cellStyle name="20% - Accent2 2 2" xfId="153"/>
    <cellStyle name="20% - Accent2 2 3" xfId="154"/>
    <cellStyle name="20% - Accent2 2 4" xfId="155"/>
    <cellStyle name="20% - Accent2 2 5" xfId="156"/>
    <cellStyle name="20% - Accent2 2 6" xfId="157"/>
    <cellStyle name="20% - Accent2 2 7" xfId="158"/>
    <cellStyle name="20% - Accent2 2 8" xfId="159"/>
    <cellStyle name="20% - Accent2 2 9" xfId="160"/>
    <cellStyle name="20% - Accent2 20" xfId="161"/>
    <cellStyle name="20% - Accent2 21" xfId="162"/>
    <cellStyle name="20% - Accent2 22" xfId="163"/>
    <cellStyle name="20% - Accent2 23" xfId="164"/>
    <cellStyle name="20% - Accent2 24" xfId="165"/>
    <cellStyle name="20% - Accent2 25" xfId="166"/>
    <cellStyle name="20% - Accent2 26" xfId="167"/>
    <cellStyle name="20% - Accent2 27" xfId="168"/>
    <cellStyle name="20% - Accent2 28" xfId="169"/>
    <cellStyle name="20% - Accent2 29" xfId="170"/>
    <cellStyle name="20% - Accent2 3" xfId="171"/>
    <cellStyle name="20% - Accent2 3 2" xfId="172"/>
    <cellStyle name="20% - Accent2 3 3" xfId="173"/>
    <cellStyle name="20% - Accent2 3 4" xfId="174"/>
    <cellStyle name="20% - Accent2 3 5" xfId="175"/>
    <cellStyle name="20% - Accent2 30" xfId="176"/>
    <cellStyle name="20% - Accent2 31" xfId="177"/>
    <cellStyle name="20% - Accent2 32" xfId="178"/>
    <cellStyle name="20% - Accent2 33" xfId="179"/>
    <cellStyle name="20% - Accent2 34" xfId="180"/>
    <cellStyle name="20% - Accent2 35" xfId="181"/>
    <cellStyle name="20% - Accent2 36" xfId="182"/>
    <cellStyle name="20% - Accent2 37" xfId="183"/>
    <cellStyle name="20% - Accent2 38" xfId="184"/>
    <cellStyle name="20% - Accent2 39" xfId="185"/>
    <cellStyle name="20% - Accent2 4" xfId="186"/>
    <cellStyle name="20% - Accent2 4 2" xfId="187"/>
    <cellStyle name="20% - Accent2 4 2 2" xfId="188"/>
    <cellStyle name="20% - Accent2 4 2 3" xfId="189"/>
    <cellStyle name="20% - Accent2 4 3" xfId="190"/>
    <cellStyle name="20% - Accent2 4 4" xfId="191"/>
    <cellStyle name="20% - Accent2 40" xfId="192"/>
    <cellStyle name="20% - Accent2 41" xfId="193"/>
    <cellStyle name="20% - Accent2 42" xfId="194"/>
    <cellStyle name="20% - Accent2 43" xfId="195"/>
    <cellStyle name="20% - Accent2 44" xfId="196"/>
    <cellStyle name="20% - Accent2 44 2" xfId="197"/>
    <cellStyle name="20% - Accent2 5" xfId="198"/>
    <cellStyle name="20% - Accent2 5 2" xfId="199"/>
    <cellStyle name="20% - Accent2 5 2 2" xfId="200"/>
    <cellStyle name="20% - Accent2 5 2 3" xfId="201"/>
    <cellStyle name="20% - Accent2 5 3" xfId="202"/>
    <cellStyle name="20% - Accent2 5 4" xfId="203"/>
    <cellStyle name="20% - Accent2 6" xfId="204"/>
    <cellStyle name="20% - Accent2 6 2" xfId="205"/>
    <cellStyle name="20% - Accent2 6 3" xfId="206"/>
    <cellStyle name="20% - Accent2 6 4" xfId="207"/>
    <cellStyle name="20% - Accent2 6 5" xfId="208"/>
    <cellStyle name="20% - Accent2 7" xfId="209"/>
    <cellStyle name="20% - Accent2 7 2" xfId="210"/>
    <cellStyle name="20% - Accent2 7 3" xfId="211"/>
    <cellStyle name="20% - Accent2 8" xfId="212"/>
    <cellStyle name="20% - Accent2 8 2" xfId="213"/>
    <cellStyle name="20% - Accent2 8 3" xfId="214"/>
    <cellStyle name="20% - Accent2 9" xfId="215"/>
    <cellStyle name="20% - Accent3 10" xfId="216"/>
    <cellStyle name="20% - Accent3 11" xfId="217"/>
    <cellStyle name="20% - Accent3 12" xfId="218"/>
    <cellStyle name="20% - Accent3 13" xfId="219"/>
    <cellStyle name="20% - Accent3 14" xfId="220"/>
    <cellStyle name="20% - Accent3 15" xfId="221"/>
    <cellStyle name="20% - Accent3 16" xfId="222"/>
    <cellStyle name="20% - Accent3 17" xfId="223"/>
    <cellStyle name="20% - Accent3 18" xfId="224"/>
    <cellStyle name="20% - Accent3 19" xfId="225"/>
    <cellStyle name="20% - Accent3 2" xfId="226"/>
    <cellStyle name="20% - Accent3 2 10" xfId="227"/>
    <cellStyle name="20% - Accent3 2 11" xfId="228"/>
    <cellStyle name="20% - Accent3 2 12" xfId="229"/>
    <cellStyle name="20% - Accent3 2 13" xfId="230"/>
    <cellStyle name="20% - Accent3 2 14" xfId="231"/>
    <cellStyle name="20% - Accent3 2 15" xfId="232"/>
    <cellStyle name="20% - Accent3 2 2" xfId="233"/>
    <cellStyle name="20% - Accent3 2 3" xfId="234"/>
    <cellStyle name="20% - Accent3 2 4" xfId="235"/>
    <cellStyle name="20% - Accent3 2 5" xfId="236"/>
    <cellStyle name="20% - Accent3 2 6" xfId="237"/>
    <cellStyle name="20% - Accent3 2 7" xfId="238"/>
    <cellStyle name="20% - Accent3 2 8" xfId="239"/>
    <cellStyle name="20% - Accent3 2 9" xfId="240"/>
    <cellStyle name="20% - Accent3 20" xfId="241"/>
    <cellStyle name="20% - Accent3 21" xfId="242"/>
    <cellStyle name="20% - Accent3 22" xfId="243"/>
    <cellStyle name="20% - Accent3 23" xfId="244"/>
    <cellStyle name="20% - Accent3 24" xfId="245"/>
    <cellStyle name="20% - Accent3 25" xfId="246"/>
    <cellStyle name="20% - Accent3 26" xfId="247"/>
    <cellStyle name="20% - Accent3 27" xfId="248"/>
    <cellStyle name="20% - Accent3 28" xfId="249"/>
    <cellStyle name="20% - Accent3 29" xfId="250"/>
    <cellStyle name="20% - Accent3 3" xfId="251"/>
    <cellStyle name="20% - Accent3 3 2" xfId="252"/>
    <cellStyle name="20% - Accent3 3 3" xfId="253"/>
    <cellStyle name="20% - Accent3 3 4" xfId="254"/>
    <cellStyle name="20% - Accent3 3 5" xfId="255"/>
    <cellStyle name="20% - Accent3 30" xfId="256"/>
    <cellStyle name="20% - Accent3 31" xfId="257"/>
    <cellStyle name="20% - Accent3 32" xfId="258"/>
    <cellStyle name="20% - Accent3 33" xfId="259"/>
    <cellStyle name="20% - Accent3 34" xfId="260"/>
    <cellStyle name="20% - Accent3 35" xfId="261"/>
    <cellStyle name="20% - Accent3 36" xfId="262"/>
    <cellStyle name="20% - Accent3 37" xfId="263"/>
    <cellStyle name="20% - Accent3 38" xfId="264"/>
    <cellStyle name="20% - Accent3 39" xfId="265"/>
    <cellStyle name="20% - Accent3 4" xfId="266"/>
    <cellStyle name="20% - Accent3 4 2" xfId="267"/>
    <cellStyle name="20% - Accent3 4 2 2" xfId="268"/>
    <cellStyle name="20% - Accent3 4 2 3" xfId="269"/>
    <cellStyle name="20% - Accent3 4 3" xfId="270"/>
    <cellStyle name="20% - Accent3 4 4" xfId="271"/>
    <cellStyle name="20% - Accent3 40" xfId="272"/>
    <cellStyle name="20% - Accent3 41" xfId="273"/>
    <cellStyle name="20% - Accent3 42" xfId="274"/>
    <cellStyle name="20% - Accent3 43" xfId="275"/>
    <cellStyle name="20% - Accent3 44" xfId="276"/>
    <cellStyle name="20% - Accent3 44 2" xfId="277"/>
    <cellStyle name="20% - Accent3 5" xfId="278"/>
    <cellStyle name="20% - Accent3 5 2" xfId="279"/>
    <cellStyle name="20% - Accent3 5 2 2" xfId="280"/>
    <cellStyle name="20% - Accent3 5 2 3" xfId="281"/>
    <cellStyle name="20% - Accent3 5 3" xfId="282"/>
    <cellStyle name="20% - Accent3 5 4" xfId="283"/>
    <cellStyle name="20% - Accent3 6" xfId="284"/>
    <cellStyle name="20% - Accent3 6 2" xfId="285"/>
    <cellStyle name="20% - Accent3 6 3" xfId="286"/>
    <cellStyle name="20% - Accent3 6 4" xfId="287"/>
    <cellStyle name="20% - Accent3 6 5" xfId="288"/>
    <cellStyle name="20% - Accent3 7" xfId="289"/>
    <cellStyle name="20% - Accent3 7 2" xfId="290"/>
    <cellStyle name="20% - Accent3 7 3" xfId="291"/>
    <cellStyle name="20% - Accent3 8" xfId="292"/>
    <cellStyle name="20% - Accent3 8 2" xfId="293"/>
    <cellStyle name="20% - Accent3 8 3" xfId="294"/>
    <cellStyle name="20% - Accent3 9" xfId="295"/>
    <cellStyle name="20% - Accent4 10" xfId="296"/>
    <cellStyle name="20% - Accent4 11" xfId="297"/>
    <cellStyle name="20% - Accent4 12" xfId="298"/>
    <cellStyle name="20% - Accent4 13" xfId="299"/>
    <cellStyle name="20% - Accent4 14" xfId="300"/>
    <cellStyle name="20% - Accent4 15" xfId="301"/>
    <cellStyle name="20% - Accent4 16" xfId="302"/>
    <cellStyle name="20% - Accent4 17" xfId="303"/>
    <cellStyle name="20% - Accent4 18" xfId="304"/>
    <cellStyle name="20% - Accent4 19" xfId="305"/>
    <cellStyle name="20% - Accent4 2" xfId="306"/>
    <cellStyle name="20% - Accent4 2 10" xfId="307"/>
    <cellStyle name="20% - Accent4 2 11" xfId="308"/>
    <cellStyle name="20% - Accent4 2 12" xfId="309"/>
    <cellStyle name="20% - Accent4 2 13" xfId="310"/>
    <cellStyle name="20% - Accent4 2 14" xfId="311"/>
    <cellStyle name="20% - Accent4 2 15" xfId="312"/>
    <cellStyle name="20% - Accent4 2 2" xfId="313"/>
    <cellStyle name="20% - Accent4 2 3" xfId="314"/>
    <cellStyle name="20% - Accent4 2 4" xfId="315"/>
    <cellStyle name="20% - Accent4 2 5" xfId="316"/>
    <cellStyle name="20% - Accent4 2 6" xfId="317"/>
    <cellStyle name="20% - Accent4 2 7" xfId="318"/>
    <cellStyle name="20% - Accent4 2 8" xfId="319"/>
    <cellStyle name="20% - Accent4 2 9" xfId="320"/>
    <cellStyle name="20% - Accent4 20" xfId="321"/>
    <cellStyle name="20% - Accent4 21" xfId="322"/>
    <cellStyle name="20% - Accent4 22" xfId="323"/>
    <cellStyle name="20% - Accent4 23" xfId="324"/>
    <cellStyle name="20% - Accent4 24" xfId="325"/>
    <cellStyle name="20% - Accent4 25" xfId="326"/>
    <cellStyle name="20% - Accent4 26" xfId="327"/>
    <cellStyle name="20% - Accent4 27" xfId="328"/>
    <cellStyle name="20% - Accent4 28" xfId="329"/>
    <cellStyle name="20% - Accent4 29" xfId="330"/>
    <cellStyle name="20% - Accent4 3" xfId="331"/>
    <cellStyle name="20% - Accent4 3 2" xfId="332"/>
    <cellStyle name="20% - Accent4 3 3" xfId="333"/>
    <cellStyle name="20% - Accent4 3 4" xfId="334"/>
    <cellStyle name="20% - Accent4 3 5" xfId="335"/>
    <cellStyle name="20% - Accent4 30" xfId="336"/>
    <cellStyle name="20% - Accent4 31" xfId="337"/>
    <cellStyle name="20% - Accent4 32" xfId="338"/>
    <cellStyle name="20% - Accent4 33" xfId="339"/>
    <cellStyle name="20% - Accent4 34" xfId="340"/>
    <cellStyle name="20% - Accent4 35" xfId="341"/>
    <cellStyle name="20% - Accent4 36" xfId="342"/>
    <cellStyle name="20% - Accent4 37" xfId="343"/>
    <cellStyle name="20% - Accent4 38" xfId="344"/>
    <cellStyle name="20% - Accent4 39" xfId="345"/>
    <cellStyle name="20% - Accent4 4" xfId="346"/>
    <cellStyle name="20% - Accent4 4 2" xfId="347"/>
    <cellStyle name="20% - Accent4 4 2 2" xfId="348"/>
    <cellStyle name="20% - Accent4 4 2 3" xfId="349"/>
    <cellStyle name="20% - Accent4 4 3" xfId="350"/>
    <cellStyle name="20% - Accent4 4 4" xfId="351"/>
    <cellStyle name="20% - Accent4 40" xfId="352"/>
    <cellStyle name="20% - Accent4 41" xfId="353"/>
    <cellStyle name="20% - Accent4 42" xfId="354"/>
    <cellStyle name="20% - Accent4 43" xfId="355"/>
    <cellStyle name="20% - Accent4 44" xfId="356"/>
    <cellStyle name="20% - Accent4 44 2" xfId="357"/>
    <cellStyle name="20% - Accent4 5" xfId="358"/>
    <cellStyle name="20% - Accent4 5 2" xfId="359"/>
    <cellStyle name="20% - Accent4 5 2 2" xfId="360"/>
    <cellStyle name="20% - Accent4 5 2 3" xfId="361"/>
    <cellStyle name="20% - Accent4 5 3" xfId="362"/>
    <cellStyle name="20% - Accent4 5 4" xfId="363"/>
    <cellStyle name="20% - Accent4 6" xfId="364"/>
    <cellStyle name="20% - Accent4 6 2" xfId="365"/>
    <cellStyle name="20% - Accent4 6 3" xfId="366"/>
    <cellStyle name="20% - Accent4 6 4" xfId="367"/>
    <cellStyle name="20% - Accent4 6 5" xfId="368"/>
    <cellStyle name="20% - Accent4 7" xfId="369"/>
    <cellStyle name="20% - Accent4 7 2" xfId="370"/>
    <cellStyle name="20% - Accent4 7 3" xfId="371"/>
    <cellStyle name="20% - Accent4 8" xfId="372"/>
    <cellStyle name="20% - Accent4 8 2" xfId="373"/>
    <cellStyle name="20% - Accent4 8 3" xfId="374"/>
    <cellStyle name="20% - Accent4 9" xfId="375"/>
    <cellStyle name="20% - Accent5 10" xfId="376"/>
    <cellStyle name="20% - Accent5 11" xfId="377"/>
    <cellStyle name="20% - Accent5 12" xfId="378"/>
    <cellStyle name="20% - Accent5 13" xfId="379"/>
    <cellStyle name="20% - Accent5 14" xfId="380"/>
    <cellStyle name="20% - Accent5 15" xfId="381"/>
    <cellStyle name="20% - Accent5 16" xfId="382"/>
    <cellStyle name="20% - Accent5 17" xfId="383"/>
    <cellStyle name="20% - Accent5 18" xfId="384"/>
    <cellStyle name="20% - Accent5 19" xfId="385"/>
    <cellStyle name="20% - Accent5 2" xfId="386"/>
    <cellStyle name="20% - Accent5 2 10" xfId="387"/>
    <cellStyle name="20% - Accent5 2 11" xfId="388"/>
    <cellStyle name="20% - Accent5 2 12" xfId="389"/>
    <cellStyle name="20% - Accent5 2 13" xfId="390"/>
    <cellStyle name="20% - Accent5 2 14" xfId="391"/>
    <cellStyle name="20% - Accent5 2 15" xfId="392"/>
    <cellStyle name="20% - Accent5 2 2" xfId="393"/>
    <cellStyle name="20% - Accent5 2 3" xfId="394"/>
    <cellStyle name="20% - Accent5 2 4" xfId="395"/>
    <cellStyle name="20% - Accent5 2 5" xfId="396"/>
    <cellStyle name="20% - Accent5 2 6" xfId="397"/>
    <cellStyle name="20% - Accent5 2 7" xfId="398"/>
    <cellStyle name="20% - Accent5 2 8" xfId="399"/>
    <cellStyle name="20% - Accent5 2 9" xfId="400"/>
    <cellStyle name="20% - Accent5 20" xfId="401"/>
    <cellStyle name="20% - Accent5 21" xfId="402"/>
    <cellStyle name="20% - Accent5 22" xfId="403"/>
    <cellStyle name="20% - Accent5 23" xfId="404"/>
    <cellStyle name="20% - Accent5 24" xfId="405"/>
    <cellStyle name="20% - Accent5 25" xfId="406"/>
    <cellStyle name="20% - Accent5 26" xfId="407"/>
    <cellStyle name="20% - Accent5 27" xfId="408"/>
    <cellStyle name="20% - Accent5 28" xfId="409"/>
    <cellStyle name="20% - Accent5 29" xfId="410"/>
    <cellStyle name="20% - Accent5 3" xfId="411"/>
    <cellStyle name="20% - Accent5 3 2" xfId="412"/>
    <cellStyle name="20% - Accent5 30" xfId="413"/>
    <cellStyle name="20% - Accent5 31" xfId="414"/>
    <cellStyle name="20% - Accent5 32" xfId="415"/>
    <cellStyle name="20% - Accent5 33" xfId="416"/>
    <cellStyle name="20% - Accent5 34" xfId="417"/>
    <cellStyle name="20% - Accent5 35" xfId="418"/>
    <cellStyle name="20% - Accent5 36" xfId="419"/>
    <cellStyle name="20% - Accent5 37" xfId="420"/>
    <cellStyle name="20% - Accent5 38" xfId="421"/>
    <cellStyle name="20% - Accent5 39" xfId="422"/>
    <cellStyle name="20% - Accent5 4" xfId="423"/>
    <cellStyle name="20% - Accent5 40" xfId="424"/>
    <cellStyle name="20% - Accent5 41" xfId="425"/>
    <cellStyle name="20% - Accent5 42" xfId="426"/>
    <cellStyle name="20% - Accent5 43" xfId="427"/>
    <cellStyle name="20% - Accent5 44" xfId="428"/>
    <cellStyle name="20% - Accent5 44 2" xfId="429"/>
    <cellStyle name="20% - Accent5 45" xfId="430"/>
    <cellStyle name="20% - Accent5 5" xfId="431"/>
    <cellStyle name="20% - Accent5 6" xfId="432"/>
    <cellStyle name="20% - Accent5 6 2" xfId="433"/>
    <cellStyle name="20% - Accent5 6 3" xfId="434"/>
    <cellStyle name="20% - Accent5 7" xfId="435"/>
    <cellStyle name="20% - Accent5 8" xfId="436"/>
    <cellStyle name="20% - Accent5 9" xfId="437"/>
    <cellStyle name="20% - Accent5 9 2" xfId="438"/>
    <cellStyle name="20% - Accent5 9 3" xfId="439"/>
    <cellStyle name="20% - Accent6 10" xfId="440"/>
    <cellStyle name="20% - Accent6 11" xfId="441"/>
    <cellStyle name="20% - Accent6 12" xfId="442"/>
    <cellStyle name="20% - Accent6 13" xfId="443"/>
    <cellStyle name="20% - Accent6 14" xfId="444"/>
    <cellStyle name="20% - Accent6 15" xfId="445"/>
    <cellStyle name="20% - Accent6 16" xfId="446"/>
    <cellStyle name="20% - Accent6 17" xfId="447"/>
    <cellStyle name="20% - Accent6 18" xfId="448"/>
    <cellStyle name="20% - Accent6 19" xfId="449"/>
    <cellStyle name="20% - Accent6 2" xfId="450"/>
    <cellStyle name="20% - Accent6 2 10" xfId="451"/>
    <cellStyle name="20% - Accent6 2 11" xfId="452"/>
    <cellStyle name="20% - Accent6 2 12" xfId="453"/>
    <cellStyle name="20% - Accent6 2 13" xfId="454"/>
    <cellStyle name="20% - Accent6 2 14" xfId="455"/>
    <cellStyle name="20% - Accent6 2 15" xfId="456"/>
    <cellStyle name="20% - Accent6 2 2" xfId="457"/>
    <cellStyle name="20% - Accent6 2 3" xfId="458"/>
    <cellStyle name="20% - Accent6 2 4" xfId="459"/>
    <cellStyle name="20% - Accent6 2 5" xfId="460"/>
    <cellStyle name="20% - Accent6 2 6" xfId="461"/>
    <cellStyle name="20% - Accent6 2 7" xfId="462"/>
    <cellStyle name="20% - Accent6 2 8" xfId="463"/>
    <cellStyle name="20% - Accent6 2 9" xfId="464"/>
    <cellStyle name="20% - Accent6 20" xfId="465"/>
    <cellStyle name="20% - Accent6 21" xfId="466"/>
    <cellStyle name="20% - Accent6 22" xfId="467"/>
    <cellStyle name="20% - Accent6 23" xfId="468"/>
    <cellStyle name="20% - Accent6 24" xfId="469"/>
    <cellStyle name="20% - Accent6 25" xfId="470"/>
    <cellStyle name="20% - Accent6 26" xfId="471"/>
    <cellStyle name="20% - Accent6 27" xfId="472"/>
    <cellStyle name="20% - Accent6 28" xfId="473"/>
    <cellStyle name="20% - Accent6 29" xfId="474"/>
    <cellStyle name="20% - Accent6 3" xfId="475"/>
    <cellStyle name="20% - Accent6 3 2" xfId="476"/>
    <cellStyle name="20% - Accent6 3 3" xfId="477"/>
    <cellStyle name="20% - Accent6 3 4" xfId="478"/>
    <cellStyle name="20% - Accent6 3 5" xfId="479"/>
    <cellStyle name="20% - Accent6 30" xfId="480"/>
    <cellStyle name="20% - Accent6 31" xfId="481"/>
    <cellStyle name="20% - Accent6 32" xfId="482"/>
    <cellStyle name="20% - Accent6 33" xfId="483"/>
    <cellStyle name="20% - Accent6 34" xfId="484"/>
    <cellStyle name="20% - Accent6 35" xfId="485"/>
    <cellStyle name="20% - Accent6 36" xfId="486"/>
    <cellStyle name="20% - Accent6 37" xfId="487"/>
    <cellStyle name="20% - Accent6 38" xfId="488"/>
    <cellStyle name="20% - Accent6 39" xfId="489"/>
    <cellStyle name="20% - Accent6 4" xfId="490"/>
    <cellStyle name="20% - Accent6 4 2" xfId="491"/>
    <cellStyle name="20% - Accent6 4 2 2" xfId="492"/>
    <cellStyle name="20% - Accent6 4 2 3" xfId="493"/>
    <cellStyle name="20% - Accent6 4 3" xfId="494"/>
    <cellStyle name="20% - Accent6 4 4" xfId="495"/>
    <cellStyle name="20% - Accent6 40" xfId="496"/>
    <cellStyle name="20% - Accent6 41" xfId="497"/>
    <cellStyle name="20% - Accent6 42" xfId="498"/>
    <cellStyle name="20% - Accent6 43" xfId="499"/>
    <cellStyle name="20% - Accent6 44" xfId="500"/>
    <cellStyle name="20% - Accent6 44 2" xfId="501"/>
    <cellStyle name="20% - Accent6 44 2 2" xfId="502"/>
    <cellStyle name="20% - Accent6 44 3" xfId="503"/>
    <cellStyle name="20% - Accent6 45" xfId="504"/>
    <cellStyle name="20% - Accent6 45 2" xfId="505"/>
    <cellStyle name="20% - Accent6 5" xfId="506"/>
    <cellStyle name="20% - Accent6 5 2" xfId="507"/>
    <cellStyle name="20% - Accent6 5 2 2" xfId="508"/>
    <cellStyle name="20% - Accent6 5 2 3" xfId="509"/>
    <cellStyle name="20% - Accent6 5 3" xfId="510"/>
    <cellStyle name="20% - Accent6 5 4" xfId="511"/>
    <cellStyle name="20% - Accent6 6" xfId="512"/>
    <cellStyle name="20% - Accent6 6 2" xfId="513"/>
    <cellStyle name="20% - Accent6 6 3" xfId="514"/>
    <cellStyle name="20% - Accent6 6 4" xfId="515"/>
    <cellStyle name="20% - Accent6 6 5" xfId="516"/>
    <cellStyle name="20% - Accent6 7" xfId="517"/>
    <cellStyle name="20% - Accent6 7 2" xfId="518"/>
    <cellStyle name="20% - Accent6 7 3" xfId="519"/>
    <cellStyle name="20% - Accent6 8" xfId="520"/>
    <cellStyle name="20% - Accent6 8 2" xfId="521"/>
    <cellStyle name="20% - Accent6 8 3" xfId="522"/>
    <cellStyle name="20% - Accent6 9" xfId="523"/>
    <cellStyle name="20% - Akzent1" xfId="524"/>
    <cellStyle name="20% - Akzent2" xfId="525"/>
    <cellStyle name="20% - Akzent3" xfId="526"/>
    <cellStyle name="20% - Akzent4" xfId="527"/>
    <cellStyle name="20% - Akzent5" xfId="528"/>
    <cellStyle name="20% - Akzent6" xfId="529"/>
    <cellStyle name="2x indented GHG Textfiels" xfId="530"/>
    <cellStyle name="40% - 1. jelölőszín" xfId="531"/>
    <cellStyle name="40% - 2. jelölőszín" xfId="532"/>
    <cellStyle name="40% - 3. jelölőszín" xfId="533"/>
    <cellStyle name="40% - 4. jelölőszín" xfId="534"/>
    <cellStyle name="40% - 5. jelölőszín" xfId="535"/>
    <cellStyle name="40% - 6. jelölőszín" xfId="536"/>
    <cellStyle name="40% - Accent1 10" xfId="537"/>
    <cellStyle name="40% - Accent1 11" xfId="538"/>
    <cellStyle name="40% - Accent1 12" xfId="539"/>
    <cellStyle name="40% - Accent1 13" xfId="540"/>
    <cellStyle name="40% - Accent1 14" xfId="541"/>
    <cellStyle name="40% - Accent1 15" xfId="542"/>
    <cellStyle name="40% - Accent1 16" xfId="543"/>
    <cellStyle name="40% - Accent1 17" xfId="544"/>
    <cellStyle name="40% - Accent1 18" xfId="545"/>
    <cellStyle name="40% - Accent1 19" xfId="546"/>
    <cellStyle name="40% - Accent1 2" xfId="547"/>
    <cellStyle name="40% - Accent1 2 10" xfId="548"/>
    <cellStyle name="40% - Accent1 2 11" xfId="549"/>
    <cellStyle name="40% - Accent1 2 12" xfId="550"/>
    <cellStyle name="40% - Accent1 2 13" xfId="551"/>
    <cellStyle name="40% - Accent1 2 14" xfId="552"/>
    <cellStyle name="40% - Accent1 2 15" xfId="553"/>
    <cellStyle name="40% - Accent1 2 2" xfId="554"/>
    <cellStyle name="40% - Accent1 2 3" xfId="555"/>
    <cellStyle name="40% - Accent1 2 4" xfId="556"/>
    <cellStyle name="40% - Accent1 2 5" xfId="557"/>
    <cellStyle name="40% - Accent1 2 6" xfId="558"/>
    <cellStyle name="40% - Accent1 2 7" xfId="559"/>
    <cellStyle name="40% - Accent1 2 8" xfId="560"/>
    <cellStyle name="40% - Accent1 2 9" xfId="561"/>
    <cellStyle name="40% - Accent1 20" xfId="562"/>
    <cellStyle name="40% - Accent1 21" xfId="563"/>
    <cellStyle name="40% - Accent1 22" xfId="564"/>
    <cellStyle name="40% - Accent1 23" xfId="565"/>
    <cellStyle name="40% - Accent1 24" xfId="566"/>
    <cellStyle name="40% - Accent1 25" xfId="567"/>
    <cellStyle name="40% - Accent1 26" xfId="568"/>
    <cellStyle name="40% - Accent1 27" xfId="569"/>
    <cellStyle name="40% - Accent1 28" xfId="570"/>
    <cellStyle name="40% - Accent1 29" xfId="571"/>
    <cellStyle name="40% - Accent1 3" xfId="572"/>
    <cellStyle name="40% - Accent1 3 2" xfId="573"/>
    <cellStyle name="40% - Accent1 3 3" xfId="574"/>
    <cellStyle name="40% - Accent1 3 4" xfId="575"/>
    <cellStyle name="40% - Accent1 3 5" xfId="576"/>
    <cellStyle name="40% - Accent1 30" xfId="577"/>
    <cellStyle name="40% - Accent1 31" xfId="578"/>
    <cellStyle name="40% - Accent1 32" xfId="579"/>
    <cellStyle name="40% - Accent1 33" xfId="580"/>
    <cellStyle name="40% - Accent1 34" xfId="581"/>
    <cellStyle name="40% - Accent1 35" xfId="582"/>
    <cellStyle name="40% - Accent1 36" xfId="583"/>
    <cellStyle name="40% - Accent1 37" xfId="584"/>
    <cellStyle name="40% - Accent1 38" xfId="585"/>
    <cellStyle name="40% - Accent1 39" xfId="586"/>
    <cellStyle name="40% - Accent1 4" xfId="587"/>
    <cellStyle name="40% - Accent1 4 2" xfId="588"/>
    <cellStyle name="40% - Accent1 4 2 2" xfId="589"/>
    <cellStyle name="40% - Accent1 4 2 3" xfId="590"/>
    <cellStyle name="40% - Accent1 4 3" xfId="591"/>
    <cellStyle name="40% - Accent1 4 4" xfId="592"/>
    <cellStyle name="40% - Accent1 40" xfId="593"/>
    <cellStyle name="40% - Accent1 41" xfId="594"/>
    <cellStyle name="40% - Accent1 42" xfId="595"/>
    <cellStyle name="40% - Accent1 43" xfId="596"/>
    <cellStyle name="40% - Accent1 44" xfId="597"/>
    <cellStyle name="40% - Accent1 5" xfId="598"/>
    <cellStyle name="40% - Accent1 5 2" xfId="599"/>
    <cellStyle name="40% - Accent1 5 2 2" xfId="600"/>
    <cellStyle name="40% - Accent1 5 2 3" xfId="601"/>
    <cellStyle name="40% - Accent1 5 3" xfId="602"/>
    <cellStyle name="40% - Accent1 5 4" xfId="603"/>
    <cellStyle name="40% - Accent1 6" xfId="604"/>
    <cellStyle name="40% - Accent1 6 2" xfId="605"/>
    <cellStyle name="40% - Accent1 6 3" xfId="606"/>
    <cellStyle name="40% - Accent1 6 4" xfId="607"/>
    <cellStyle name="40% - Accent1 7" xfId="608"/>
    <cellStyle name="40% - Accent1 7 2" xfId="609"/>
    <cellStyle name="40% - Accent1 7 3" xfId="610"/>
    <cellStyle name="40% - Accent1 8" xfId="611"/>
    <cellStyle name="40% - Accent1 8 2" xfId="612"/>
    <cellStyle name="40% - Accent1 8 3" xfId="613"/>
    <cellStyle name="40% - Accent1 9" xfId="614"/>
    <cellStyle name="40% - Accent2 10" xfId="615"/>
    <cellStyle name="40% - Accent2 11" xfId="616"/>
    <cellStyle name="40% - Accent2 12" xfId="617"/>
    <cellStyle name="40% - Accent2 13" xfId="618"/>
    <cellStyle name="40% - Accent2 14" xfId="619"/>
    <cellStyle name="40% - Accent2 15" xfId="620"/>
    <cellStyle name="40% - Accent2 16" xfId="621"/>
    <cellStyle name="40% - Accent2 17" xfId="622"/>
    <cellStyle name="40% - Accent2 18" xfId="623"/>
    <cellStyle name="40% - Accent2 19" xfId="624"/>
    <cellStyle name="40% - Accent2 2" xfId="625"/>
    <cellStyle name="40% - Accent2 2 10" xfId="626"/>
    <cellStyle name="40% - Accent2 2 11" xfId="627"/>
    <cellStyle name="40% - Accent2 2 12" xfId="628"/>
    <cellStyle name="40% - Accent2 2 13" xfId="629"/>
    <cellStyle name="40% - Accent2 2 14" xfId="630"/>
    <cellStyle name="40% - Accent2 2 15" xfId="631"/>
    <cellStyle name="40% - Accent2 2 2" xfId="632"/>
    <cellStyle name="40% - Accent2 2 2 2" xfId="633"/>
    <cellStyle name="40% - Accent2 2 3" xfId="634"/>
    <cellStyle name="40% - Accent2 2 3 2" xfId="635"/>
    <cellStyle name="40% - Accent2 2 4" xfId="636"/>
    <cellStyle name="40% - Accent2 2 5" xfId="637"/>
    <cellStyle name="40% - Accent2 2 6" xfId="638"/>
    <cellStyle name="40% - Accent2 2 7" xfId="639"/>
    <cellStyle name="40% - Accent2 2 8" xfId="640"/>
    <cellStyle name="40% - Accent2 2 9" xfId="641"/>
    <cellStyle name="40% - Accent2 20" xfId="642"/>
    <cellStyle name="40% - Accent2 21" xfId="643"/>
    <cellStyle name="40% - Accent2 22" xfId="644"/>
    <cellStyle name="40% - Accent2 23" xfId="645"/>
    <cellStyle name="40% - Accent2 24" xfId="646"/>
    <cellStyle name="40% - Accent2 25" xfId="647"/>
    <cellStyle name="40% - Accent2 26" xfId="648"/>
    <cellStyle name="40% - Accent2 27" xfId="649"/>
    <cellStyle name="40% - Accent2 28" xfId="650"/>
    <cellStyle name="40% - Accent2 29" xfId="651"/>
    <cellStyle name="40% - Accent2 3" xfId="652"/>
    <cellStyle name="40% - Accent2 3 2" xfId="653"/>
    <cellStyle name="40% - Accent2 30" xfId="654"/>
    <cellStyle name="40% - Accent2 31" xfId="655"/>
    <cellStyle name="40% - Accent2 32" xfId="656"/>
    <cellStyle name="40% - Accent2 33" xfId="657"/>
    <cellStyle name="40% - Accent2 34" xfId="658"/>
    <cellStyle name="40% - Accent2 35" xfId="659"/>
    <cellStyle name="40% - Accent2 36" xfId="660"/>
    <cellStyle name="40% - Accent2 37" xfId="661"/>
    <cellStyle name="40% - Accent2 38" xfId="662"/>
    <cellStyle name="40% - Accent2 39" xfId="663"/>
    <cellStyle name="40% - Accent2 4" xfId="664"/>
    <cellStyle name="40% - Accent2 40" xfId="665"/>
    <cellStyle name="40% - Accent2 41" xfId="666"/>
    <cellStyle name="40% - Accent2 42" xfId="667"/>
    <cellStyle name="40% - Accent2 43" xfId="668"/>
    <cellStyle name="40% - Accent2 44" xfId="669"/>
    <cellStyle name="40% - Accent2 5" xfId="670"/>
    <cellStyle name="40% - Accent2 6" xfId="671"/>
    <cellStyle name="40% - Accent2 6 2" xfId="672"/>
    <cellStyle name="40% - Accent2 7" xfId="673"/>
    <cellStyle name="40% - Accent2 8" xfId="674"/>
    <cellStyle name="40% - Accent2 9" xfId="675"/>
    <cellStyle name="40% - Accent3 10" xfId="676"/>
    <cellStyle name="40% - Accent3 11" xfId="677"/>
    <cellStyle name="40% - Accent3 12" xfId="678"/>
    <cellStyle name="40% - Accent3 13" xfId="679"/>
    <cellStyle name="40% - Accent3 14" xfId="680"/>
    <cellStyle name="40% - Accent3 15" xfId="681"/>
    <cellStyle name="40% - Accent3 16" xfId="682"/>
    <cellStyle name="40% - Accent3 17" xfId="683"/>
    <cellStyle name="40% - Accent3 18" xfId="684"/>
    <cellStyle name="40% - Accent3 19" xfId="685"/>
    <cellStyle name="40% - Accent3 2" xfId="686"/>
    <cellStyle name="40% - Accent3 2 10" xfId="687"/>
    <cellStyle name="40% - Accent3 2 11" xfId="688"/>
    <cellStyle name="40% - Accent3 2 12" xfId="689"/>
    <cellStyle name="40% - Accent3 2 13" xfId="690"/>
    <cellStyle name="40% - Accent3 2 14" xfId="691"/>
    <cellStyle name="40% - Accent3 2 15" xfId="692"/>
    <cellStyle name="40% - Accent3 2 2" xfId="693"/>
    <cellStyle name="40% - Accent3 2 3" xfId="694"/>
    <cellStyle name="40% - Accent3 2 4" xfId="695"/>
    <cellStyle name="40% - Accent3 2 5" xfId="696"/>
    <cellStyle name="40% - Accent3 2 6" xfId="697"/>
    <cellStyle name="40% - Accent3 2 7" xfId="698"/>
    <cellStyle name="40% - Accent3 2 8" xfId="699"/>
    <cellStyle name="40% - Accent3 2 9" xfId="700"/>
    <cellStyle name="40% - Accent3 20" xfId="701"/>
    <cellStyle name="40% - Accent3 21" xfId="702"/>
    <cellStyle name="40% - Accent3 22" xfId="703"/>
    <cellStyle name="40% - Accent3 23" xfId="704"/>
    <cellStyle name="40% - Accent3 24" xfId="705"/>
    <cellStyle name="40% - Accent3 25" xfId="706"/>
    <cellStyle name="40% - Accent3 26" xfId="707"/>
    <cellStyle name="40% - Accent3 27" xfId="708"/>
    <cellStyle name="40% - Accent3 28" xfId="709"/>
    <cellStyle name="40% - Accent3 29" xfId="710"/>
    <cellStyle name="40% - Accent3 3" xfId="711"/>
    <cellStyle name="40% - Accent3 3 2" xfId="712"/>
    <cellStyle name="40% - Accent3 3 3" xfId="713"/>
    <cellStyle name="40% - Accent3 3 4" xfId="714"/>
    <cellStyle name="40% - Accent3 3 5" xfId="715"/>
    <cellStyle name="40% - Accent3 30" xfId="716"/>
    <cellStyle name="40% - Accent3 31" xfId="717"/>
    <cellStyle name="40% - Accent3 32" xfId="718"/>
    <cellStyle name="40% - Accent3 33" xfId="719"/>
    <cellStyle name="40% - Accent3 34" xfId="720"/>
    <cellStyle name="40% - Accent3 35" xfId="721"/>
    <cellStyle name="40% - Accent3 36" xfId="722"/>
    <cellStyle name="40% - Accent3 37" xfId="723"/>
    <cellStyle name="40% - Accent3 38" xfId="724"/>
    <cellStyle name="40% - Accent3 39" xfId="725"/>
    <cellStyle name="40% - Accent3 4" xfId="726"/>
    <cellStyle name="40% - Accent3 4 2" xfId="727"/>
    <cellStyle name="40% - Accent3 4 2 2" xfId="728"/>
    <cellStyle name="40% - Accent3 4 2 3" xfId="729"/>
    <cellStyle name="40% - Accent3 4 3" xfId="730"/>
    <cellStyle name="40% - Accent3 4 4" xfId="731"/>
    <cellStyle name="40% - Accent3 40" xfId="732"/>
    <cellStyle name="40% - Accent3 41" xfId="733"/>
    <cellStyle name="40% - Accent3 42" xfId="734"/>
    <cellStyle name="40% - Accent3 43" xfId="735"/>
    <cellStyle name="40% - Accent3 44" xfId="736"/>
    <cellStyle name="40% - Accent3 5" xfId="737"/>
    <cellStyle name="40% - Accent3 5 2" xfId="738"/>
    <cellStyle name="40% - Accent3 5 2 2" xfId="739"/>
    <cellStyle name="40% - Accent3 5 2 3" xfId="740"/>
    <cellStyle name="40% - Accent3 5 3" xfId="741"/>
    <cellStyle name="40% - Accent3 5 4" xfId="742"/>
    <cellStyle name="40% - Accent3 6" xfId="743"/>
    <cellStyle name="40% - Accent3 6 2" xfId="744"/>
    <cellStyle name="40% - Accent3 6 3" xfId="745"/>
    <cellStyle name="40% - Accent3 6 4" xfId="746"/>
    <cellStyle name="40% - Accent3 7" xfId="747"/>
    <cellStyle name="40% - Accent3 7 2" xfId="748"/>
    <cellStyle name="40% - Accent3 7 3" xfId="749"/>
    <cellStyle name="40% - Accent3 8" xfId="750"/>
    <cellStyle name="40% - Accent3 8 2" xfId="751"/>
    <cellStyle name="40% - Accent3 8 3" xfId="752"/>
    <cellStyle name="40% - Accent3 9" xfId="753"/>
    <cellStyle name="40% - Accent4 10" xfId="754"/>
    <cellStyle name="40% - Accent4 11" xfId="755"/>
    <cellStyle name="40% - Accent4 12" xfId="756"/>
    <cellStyle name="40% - Accent4 13" xfId="757"/>
    <cellStyle name="40% - Accent4 14" xfId="758"/>
    <cellStyle name="40% - Accent4 15" xfId="759"/>
    <cellStyle name="40% - Accent4 16" xfId="760"/>
    <cellStyle name="40% - Accent4 17" xfId="761"/>
    <cellStyle name="40% - Accent4 18" xfId="762"/>
    <cellStyle name="40% - Accent4 19" xfId="763"/>
    <cellStyle name="40% - Accent4 2" xfId="764"/>
    <cellStyle name="40% - Accent4 2 10" xfId="765"/>
    <cellStyle name="40% - Accent4 2 11" xfId="766"/>
    <cellStyle name="40% - Accent4 2 12" xfId="767"/>
    <cellStyle name="40% - Accent4 2 13" xfId="768"/>
    <cellStyle name="40% - Accent4 2 14" xfId="769"/>
    <cellStyle name="40% - Accent4 2 15" xfId="770"/>
    <cellStyle name="40% - Accent4 2 2" xfId="771"/>
    <cellStyle name="40% - Accent4 2 3" xfId="772"/>
    <cellStyle name="40% - Accent4 2 4" xfId="773"/>
    <cellStyle name="40% - Accent4 2 5" xfId="774"/>
    <cellStyle name="40% - Accent4 2 6" xfId="775"/>
    <cellStyle name="40% - Accent4 2 7" xfId="776"/>
    <cellStyle name="40% - Accent4 2 8" xfId="777"/>
    <cellStyle name="40% - Accent4 2 9" xfId="778"/>
    <cellStyle name="40% - Accent4 20" xfId="779"/>
    <cellStyle name="40% - Accent4 21" xfId="780"/>
    <cellStyle name="40% - Accent4 22" xfId="781"/>
    <cellStyle name="40% - Accent4 23" xfId="782"/>
    <cellStyle name="40% - Accent4 24" xfId="783"/>
    <cellStyle name="40% - Accent4 25" xfId="784"/>
    <cellStyle name="40% - Accent4 26" xfId="785"/>
    <cellStyle name="40% - Accent4 27" xfId="786"/>
    <cellStyle name="40% - Accent4 28" xfId="787"/>
    <cellStyle name="40% - Accent4 29" xfId="788"/>
    <cellStyle name="40% - Accent4 3" xfId="789"/>
    <cellStyle name="40% - Accent4 3 2" xfId="790"/>
    <cellStyle name="40% - Accent4 3 3" xfId="791"/>
    <cellStyle name="40% - Accent4 3 4" xfId="792"/>
    <cellStyle name="40% - Accent4 3 5" xfId="793"/>
    <cellStyle name="40% - Accent4 30" xfId="794"/>
    <cellStyle name="40% - Accent4 31" xfId="795"/>
    <cellStyle name="40% - Accent4 32" xfId="796"/>
    <cellStyle name="40% - Accent4 33" xfId="797"/>
    <cellStyle name="40% - Accent4 34" xfId="798"/>
    <cellStyle name="40% - Accent4 35" xfId="799"/>
    <cellStyle name="40% - Accent4 36" xfId="800"/>
    <cellStyle name="40% - Accent4 37" xfId="801"/>
    <cellStyle name="40% - Accent4 38" xfId="802"/>
    <cellStyle name="40% - Accent4 39" xfId="803"/>
    <cellStyle name="40% - Accent4 4" xfId="804"/>
    <cellStyle name="40% - Accent4 4 2" xfId="805"/>
    <cellStyle name="40% - Accent4 4 2 2" xfId="806"/>
    <cellStyle name="40% - Accent4 4 2 3" xfId="807"/>
    <cellStyle name="40% - Accent4 4 3" xfId="808"/>
    <cellStyle name="40% - Accent4 4 4" xfId="809"/>
    <cellStyle name="40% - Accent4 40" xfId="810"/>
    <cellStyle name="40% - Accent4 41" xfId="811"/>
    <cellStyle name="40% - Accent4 42" xfId="812"/>
    <cellStyle name="40% - Accent4 43" xfId="813"/>
    <cellStyle name="40% - Accent4 44" xfId="814"/>
    <cellStyle name="40% - Accent4 5" xfId="815"/>
    <cellStyle name="40% - Accent4 5 2" xfId="816"/>
    <cellStyle name="40% - Accent4 5 2 2" xfId="817"/>
    <cellStyle name="40% - Accent4 5 2 3" xfId="818"/>
    <cellStyle name="40% - Accent4 5 3" xfId="819"/>
    <cellStyle name="40% - Accent4 5 4" xfId="820"/>
    <cellStyle name="40% - Accent4 6" xfId="821"/>
    <cellStyle name="40% - Accent4 6 2" xfId="822"/>
    <cellStyle name="40% - Accent4 6 3" xfId="823"/>
    <cellStyle name="40% - Accent4 6 4" xfId="824"/>
    <cellStyle name="40% - Accent4 7" xfId="825"/>
    <cellStyle name="40% - Accent4 7 2" xfId="826"/>
    <cellStyle name="40% - Accent4 7 3" xfId="827"/>
    <cellStyle name="40% - Accent4 8" xfId="828"/>
    <cellStyle name="40% - Accent4 8 2" xfId="829"/>
    <cellStyle name="40% - Accent4 8 3" xfId="830"/>
    <cellStyle name="40% - Accent4 9" xfId="831"/>
    <cellStyle name="40% - Accent5 10" xfId="832"/>
    <cellStyle name="40% - Accent5 11" xfId="833"/>
    <cellStyle name="40% - Accent5 12" xfId="834"/>
    <cellStyle name="40% - Accent5 13" xfId="835"/>
    <cellStyle name="40% - Accent5 14" xfId="836"/>
    <cellStyle name="40% - Accent5 15" xfId="837"/>
    <cellStyle name="40% - Accent5 16" xfId="838"/>
    <cellStyle name="40% - Accent5 17" xfId="839"/>
    <cellStyle name="40% - Accent5 18" xfId="840"/>
    <cellStyle name="40% - Accent5 19" xfId="841"/>
    <cellStyle name="40% - Accent5 2" xfId="842"/>
    <cellStyle name="40% - Accent5 2 10" xfId="843"/>
    <cellStyle name="40% - Accent5 2 11" xfId="844"/>
    <cellStyle name="40% - Accent5 2 12" xfId="845"/>
    <cellStyle name="40% - Accent5 2 13" xfId="846"/>
    <cellStyle name="40% - Accent5 2 14" xfId="847"/>
    <cellStyle name="40% - Accent5 2 15" xfId="848"/>
    <cellStyle name="40% - Accent5 2 2" xfId="849"/>
    <cellStyle name="40% - Accent5 2 3" xfId="850"/>
    <cellStyle name="40% - Accent5 2 4" xfId="851"/>
    <cellStyle name="40% - Accent5 2 5" xfId="852"/>
    <cellStyle name="40% - Accent5 2 6" xfId="853"/>
    <cellStyle name="40% - Accent5 2 7" xfId="854"/>
    <cellStyle name="40% - Accent5 2 8" xfId="855"/>
    <cellStyle name="40% - Accent5 2 9" xfId="856"/>
    <cellStyle name="40% - Accent5 20" xfId="857"/>
    <cellStyle name="40% - Accent5 21" xfId="858"/>
    <cellStyle name="40% - Accent5 22" xfId="859"/>
    <cellStyle name="40% - Accent5 23" xfId="860"/>
    <cellStyle name="40% - Accent5 24" xfId="861"/>
    <cellStyle name="40% - Accent5 25" xfId="862"/>
    <cellStyle name="40% - Accent5 26" xfId="863"/>
    <cellStyle name="40% - Accent5 27" xfId="864"/>
    <cellStyle name="40% - Accent5 28" xfId="865"/>
    <cellStyle name="40% - Accent5 29" xfId="866"/>
    <cellStyle name="40% - Accent5 3" xfId="867"/>
    <cellStyle name="40% - Accent5 3 2" xfId="868"/>
    <cellStyle name="40% - Accent5 3 3" xfId="869"/>
    <cellStyle name="40% - Accent5 3 4" xfId="870"/>
    <cellStyle name="40% - Accent5 3 5" xfId="871"/>
    <cellStyle name="40% - Accent5 30" xfId="872"/>
    <cellStyle name="40% - Accent5 31" xfId="873"/>
    <cellStyle name="40% - Accent5 32" xfId="874"/>
    <cellStyle name="40% - Accent5 33" xfId="875"/>
    <cellStyle name="40% - Accent5 34" xfId="876"/>
    <cellStyle name="40% - Accent5 35" xfId="877"/>
    <cellStyle name="40% - Accent5 36" xfId="878"/>
    <cellStyle name="40% - Accent5 37" xfId="879"/>
    <cellStyle name="40% - Accent5 38" xfId="880"/>
    <cellStyle name="40% - Accent5 39" xfId="881"/>
    <cellStyle name="40% - Accent5 4" xfId="882"/>
    <cellStyle name="40% - Accent5 4 2" xfId="883"/>
    <cellStyle name="40% - Accent5 4 2 2" xfId="884"/>
    <cellStyle name="40% - Accent5 4 2 3" xfId="885"/>
    <cellStyle name="40% - Accent5 4 3" xfId="886"/>
    <cellStyle name="40% - Accent5 4 4" xfId="887"/>
    <cellStyle name="40% - Accent5 40" xfId="888"/>
    <cellStyle name="40% - Accent5 41" xfId="889"/>
    <cellStyle name="40% - Accent5 42" xfId="890"/>
    <cellStyle name="40% - Accent5 43" xfId="891"/>
    <cellStyle name="40% - Accent5 44" xfId="892"/>
    <cellStyle name="40% - Accent5 5" xfId="893"/>
    <cellStyle name="40% - Accent5 5 2" xfId="894"/>
    <cellStyle name="40% - Accent5 5 2 2" xfId="895"/>
    <cellStyle name="40% - Accent5 5 2 3" xfId="896"/>
    <cellStyle name="40% - Accent5 5 3" xfId="897"/>
    <cellStyle name="40% - Accent5 5 4" xfId="898"/>
    <cellStyle name="40% - Accent5 6" xfId="899"/>
    <cellStyle name="40% - Accent5 6 2" xfId="900"/>
    <cellStyle name="40% - Accent5 6 3" xfId="901"/>
    <cellStyle name="40% - Accent5 6 4" xfId="902"/>
    <cellStyle name="40% - Accent5 7" xfId="903"/>
    <cellStyle name="40% - Accent5 7 2" xfId="904"/>
    <cellStyle name="40% - Accent5 7 3" xfId="905"/>
    <cellStyle name="40% - Accent5 8" xfId="906"/>
    <cellStyle name="40% - Accent5 8 2" xfId="907"/>
    <cellStyle name="40% - Accent5 8 3" xfId="908"/>
    <cellStyle name="40% - Accent5 9" xfId="909"/>
    <cellStyle name="40% - Accent6 10" xfId="910"/>
    <cellStyle name="40% - Accent6 11" xfId="911"/>
    <cellStyle name="40% - Accent6 12" xfId="912"/>
    <cellStyle name="40% - Accent6 13" xfId="913"/>
    <cellStyle name="40% - Accent6 14" xfId="914"/>
    <cellStyle name="40% - Accent6 15" xfId="915"/>
    <cellStyle name="40% - Accent6 16" xfId="916"/>
    <cellStyle name="40% - Accent6 17" xfId="917"/>
    <cellStyle name="40% - Accent6 18" xfId="918"/>
    <cellStyle name="40% - Accent6 19" xfId="919"/>
    <cellStyle name="40% - Accent6 2" xfId="920"/>
    <cellStyle name="40% - Accent6 2 10" xfId="921"/>
    <cellStyle name="40% - Accent6 2 11" xfId="922"/>
    <cellStyle name="40% - Accent6 2 12" xfId="923"/>
    <cellStyle name="40% - Accent6 2 13" xfId="924"/>
    <cellStyle name="40% - Accent6 2 14" xfId="925"/>
    <cellStyle name="40% - Accent6 2 15" xfId="926"/>
    <cellStyle name="40% - Accent6 2 2" xfId="927"/>
    <cellStyle name="40% - Accent6 2 3" xfId="928"/>
    <cellStyle name="40% - Accent6 2 4" xfId="929"/>
    <cellStyle name="40% - Accent6 2 5" xfId="930"/>
    <cellStyle name="40% - Accent6 2 6" xfId="931"/>
    <cellStyle name="40% - Accent6 2 7" xfId="932"/>
    <cellStyle name="40% - Accent6 2 8" xfId="933"/>
    <cellStyle name="40% - Accent6 2 9" xfId="934"/>
    <cellStyle name="40% - Accent6 20" xfId="935"/>
    <cellStyle name="40% - Accent6 21" xfId="936"/>
    <cellStyle name="40% - Accent6 22" xfId="937"/>
    <cellStyle name="40% - Accent6 23" xfId="938"/>
    <cellStyle name="40% - Accent6 24" xfId="939"/>
    <cellStyle name="40% - Accent6 25" xfId="940"/>
    <cellStyle name="40% - Accent6 26" xfId="941"/>
    <cellStyle name="40% - Accent6 27" xfId="942"/>
    <cellStyle name="40% - Accent6 28" xfId="943"/>
    <cellStyle name="40% - Accent6 29" xfId="944"/>
    <cellStyle name="40% - Accent6 3" xfId="945"/>
    <cellStyle name="40% - Accent6 3 2" xfId="946"/>
    <cellStyle name="40% - Accent6 3 3" xfId="947"/>
    <cellStyle name="40% - Accent6 3 4" xfId="948"/>
    <cellStyle name="40% - Accent6 3 5" xfId="949"/>
    <cellStyle name="40% - Accent6 30" xfId="950"/>
    <cellStyle name="40% - Accent6 31" xfId="951"/>
    <cellStyle name="40% - Accent6 32" xfId="952"/>
    <cellStyle name="40% - Accent6 33" xfId="953"/>
    <cellStyle name="40% - Accent6 34" xfId="954"/>
    <cellStyle name="40% - Accent6 35" xfId="955"/>
    <cellStyle name="40% - Accent6 36" xfId="956"/>
    <cellStyle name="40% - Accent6 37" xfId="957"/>
    <cellStyle name="40% - Accent6 38" xfId="958"/>
    <cellStyle name="40% - Accent6 39" xfId="959"/>
    <cellStyle name="40% - Accent6 4" xfId="960"/>
    <cellStyle name="40% - Accent6 4 2" xfId="961"/>
    <cellStyle name="40% - Accent6 4 2 2" xfId="962"/>
    <cellStyle name="40% - Accent6 4 2 3" xfId="963"/>
    <cellStyle name="40% - Accent6 4 3" xfId="964"/>
    <cellStyle name="40% - Accent6 4 4" xfId="965"/>
    <cellStyle name="40% - Accent6 40" xfId="966"/>
    <cellStyle name="40% - Accent6 41" xfId="967"/>
    <cellStyle name="40% - Accent6 42" xfId="968"/>
    <cellStyle name="40% - Accent6 43" xfId="969"/>
    <cellStyle name="40% - Accent6 44" xfId="970"/>
    <cellStyle name="40% - Accent6 5" xfId="971"/>
    <cellStyle name="40% - Accent6 5 2" xfId="972"/>
    <cellStyle name="40% - Accent6 5 2 2" xfId="973"/>
    <cellStyle name="40% - Accent6 5 2 3" xfId="974"/>
    <cellStyle name="40% - Accent6 5 3" xfId="975"/>
    <cellStyle name="40% - Accent6 5 4" xfId="976"/>
    <cellStyle name="40% - Accent6 6" xfId="977"/>
    <cellStyle name="40% - Accent6 6 2" xfId="978"/>
    <cellStyle name="40% - Accent6 6 3" xfId="979"/>
    <cellStyle name="40% - Accent6 6 4" xfId="980"/>
    <cellStyle name="40% - Accent6 7" xfId="981"/>
    <cellStyle name="40% - Accent6 7 2" xfId="982"/>
    <cellStyle name="40% - Accent6 7 3" xfId="983"/>
    <cellStyle name="40% - Accent6 8" xfId="984"/>
    <cellStyle name="40% - Accent6 8 2" xfId="985"/>
    <cellStyle name="40% - Accent6 8 3" xfId="986"/>
    <cellStyle name="40% - Accent6 9" xfId="987"/>
    <cellStyle name="40% - Akzent1" xfId="988"/>
    <cellStyle name="40% - Akzent2" xfId="989"/>
    <cellStyle name="40% - Akzent3" xfId="990"/>
    <cellStyle name="40% - Akzent4" xfId="991"/>
    <cellStyle name="40% - Akzent5" xfId="992"/>
    <cellStyle name="40% - Akzent6" xfId="993"/>
    <cellStyle name="5x indented GHG Textfiels" xfId="994"/>
    <cellStyle name="60% - 1. jelölőszín" xfId="995"/>
    <cellStyle name="60% - 2. jelölőszín" xfId="996"/>
    <cellStyle name="60% - 3. jelölőszín" xfId="997"/>
    <cellStyle name="60% - 4. jelölőszín" xfId="998"/>
    <cellStyle name="60% - 5. jelölőszín" xfId="999"/>
    <cellStyle name="60% - 6. jelölőszín" xfId="1000"/>
    <cellStyle name="60% - Accent1 10" xfId="1001"/>
    <cellStyle name="60% - Accent1 11" xfId="1002"/>
    <cellStyle name="60% - Accent1 12" xfId="1003"/>
    <cellStyle name="60% - Accent1 13" xfId="1004"/>
    <cellStyle name="60% - Accent1 14" xfId="1005"/>
    <cellStyle name="60% - Accent1 15" xfId="1006"/>
    <cellStyle name="60% - Accent1 16" xfId="1007"/>
    <cellStyle name="60% - Accent1 17" xfId="1008"/>
    <cellStyle name="60% - Accent1 18" xfId="1009"/>
    <cellStyle name="60% - Accent1 19" xfId="1010"/>
    <cellStyle name="60% - Accent1 2" xfId="1011"/>
    <cellStyle name="60% - Accent1 2 10" xfId="1012"/>
    <cellStyle name="60% - Accent1 2 11" xfId="1013"/>
    <cellStyle name="60% - Accent1 2 2" xfId="1014"/>
    <cellStyle name="60% - Accent1 2 2 2" xfId="1015"/>
    <cellStyle name="60% - Accent1 2 2 2 2" xfId="1016"/>
    <cellStyle name="60% - Accent1 2 2 3" xfId="1017"/>
    <cellStyle name="60% - Accent1 2 3" xfId="1018"/>
    <cellStyle name="60% - Accent1 2 4" xfId="1019"/>
    <cellStyle name="60% - Accent1 2 5" xfId="1020"/>
    <cellStyle name="60% - Accent1 2 6" xfId="1021"/>
    <cellStyle name="60% - Accent1 2 7" xfId="1022"/>
    <cellStyle name="60% - Accent1 2 8" xfId="1023"/>
    <cellStyle name="60% - Accent1 2 9" xfId="1024"/>
    <cellStyle name="60% - Accent1 20" xfId="1025"/>
    <cellStyle name="60% - Accent1 21" xfId="1026"/>
    <cellStyle name="60% - Accent1 22" xfId="1027"/>
    <cellStyle name="60% - Accent1 23" xfId="1028"/>
    <cellStyle name="60% - Accent1 24" xfId="1029"/>
    <cellStyle name="60% - Accent1 25" xfId="1030"/>
    <cellStyle name="60% - Accent1 26" xfId="1031"/>
    <cellStyle name="60% - Accent1 27" xfId="1032"/>
    <cellStyle name="60% - Accent1 28" xfId="1033"/>
    <cellStyle name="60% - Accent1 29" xfId="1034"/>
    <cellStyle name="60% - Accent1 3" xfId="1035"/>
    <cellStyle name="60% - Accent1 3 2" xfId="1036"/>
    <cellStyle name="60% - Accent1 3 3" xfId="1037"/>
    <cellStyle name="60% - Accent1 3 4" xfId="1038"/>
    <cellStyle name="60% - Accent1 3 5" xfId="1039"/>
    <cellStyle name="60% - Accent1 30" xfId="1040"/>
    <cellStyle name="60% - Accent1 31" xfId="1041"/>
    <cellStyle name="60% - Accent1 32" xfId="1042"/>
    <cellStyle name="60% - Accent1 33" xfId="1043"/>
    <cellStyle name="60% - Accent1 34" xfId="1044"/>
    <cellStyle name="60% - Accent1 35" xfId="1045"/>
    <cellStyle name="60% - Accent1 36" xfId="1046"/>
    <cellStyle name="60% - Accent1 37" xfId="1047"/>
    <cellStyle name="60% - Accent1 38" xfId="1048"/>
    <cellStyle name="60% - Accent1 39" xfId="1049"/>
    <cellStyle name="60% - Accent1 4" xfId="1050"/>
    <cellStyle name="60% - Accent1 40" xfId="1051"/>
    <cellStyle name="60% - Accent1 41" xfId="1052"/>
    <cellStyle name="60% - Accent1 42" xfId="1053"/>
    <cellStyle name="60% - Accent1 43" xfId="1054"/>
    <cellStyle name="60% - Accent1 5" xfId="1055"/>
    <cellStyle name="60% - Accent1 6" xfId="1056"/>
    <cellStyle name="60% - Accent1 6 2" xfId="1057"/>
    <cellStyle name="60% - Accent1 6 3" xfId="1058"/>
    <cellStyle name="60% - Accent1 7" xfId="1059"/>
    <cellStyle name="60% - Accent1 8" xfId="1060"/>
    <cellStyle name="60% - Accent1 9" xfId="1061"/>
    <cellStyle name="60% - Accent2 10" xfId="1062"/>
    <cellStyle name="60% - Accent2 11" xfId="1063"/>
    <cellStyle name="60% - Accent2 12" xfId="1064"/>
    <cellStyle name="60% - Accent2 13" xfId="1065"/>
    <cellStyle name="60% - Accent2 14" xfId="1066"/>
    <cellStyle name="60% - Accent2 15" xfId="1067"/>
    <cellStyle name="60% - Accent2 16" xfId="1068"/>
    <cellStyle name="60% - Accent2 17" xfId="1069"/>
    <cellStyle name="60% - Accent2 18" xfId="1070"/>
    <cellStyle name="60% - Accent2 19" xfId="1071"/>
    <cellStyle name="60% - Accent2 2" xfId="1072"/>
    <cellStyle name="60% - Accent2 2 10" xfId="1073"/>
    <cellStyle name="60% - Accent2 2 11" xfId="1074"/>
    <cellStyle name="60% - Accent2 2 2" xfId="1075"/>
    <cellStyle name="60% - Accent2 2 2 2" xfId="1076"/>
    <cellStyle name="60% - Accent2 2 2 2 2" xfId="1077"/>
    <cellStyle name="60% - Accent2 2 2 3" xfId="1078"/>
    <cellStyle name="60% - Accent2 2 3" xfId="1079"/>
    <cellStyle name="60% - Accent2 2 4" xfId="1080"/>
    <cellStyle name="60% - Accent2 2 5" xfId="1081"/>
    <cellStyle name="60% - Accent2 2 6" xfId="1082"/>
    <cellStyle name="60% - Accent2 2 7" xfId="1083"/>
    <cellStyle name="60% - Accent2 2 8" xfId="1084"/>
    <cellStyle name="60% - Accent2 2 9" xfId="1085"/>
    <cellStyle name="60% - Accent2 20" xfId="1086"/>
    <cellStyle name="60% - Accent2 21" xfId="1087"/>
    <cellStyle name="60% - Accent2 22" xfId="1088"/>
    <cellStyle name="60% - Accent2 23" xfId="1089"/>
    <cellStyle name="60% - Accent2 24" xfId="1090"/>
    <cellStyle name="60% - Accent2 25" xfId="1091"/>
    <cellStyle name="60% - Accent2 26" xfId="1092"/>
    <cellStyle name="60% - Accent2 27" xfId="1093"/>
    <cellStyle name="60% - Accent2 28" xfId="1094"/>
    <cellStyle name="60% - Accent2 29" xfId="1095"/>
    <cellStyle name="60% - Accent2 3" xfId="1096"/>
    <cellStyle name="60% - Accent2 3 2" xfId="1097"/>
    <cellStyle name="60% - Accent2 3 3" xfId="1098"/>
    <cellStyle name="60% - Accent2 3 4" xfId="1099"/>
    <cellStyle name="60% - Accent2 3 5" xfId="1100"/>
    <cellStyle name="60% - Accent2 30" xfId="1101"/>
    <cellStyle name="60% - Accent2 31" xfId="1102"/>
    <cellStyle name="60% - Accent2 32" xfId="1103"/>
    <cellStyle name="60% - Accent2 33" xfId="1104"/>
    <cellStyle name="60% - Accent2 34" xfId="1105"/>
    <cellStyle name="60% - Accent2 35" xfId="1106"/>
    <cellStyle name="60% - Accent2 36" xfId="1107"/>
    <cellStyle name="60% - Accent2 37" xfId="1108"/>
    <cellStyle name="60% - Accent2 38" xfId="1109"/>
    <cellStyle name="60% - Accent2 39" xfId="1110"/>
    <cellStyle name="60% - Accent2 4" xfId="1111"/>
    <cellStyle name="60% - Accent2 40" xfId="1112"/>
    <cellStyle name="60% - Accent2 41" xfId="1113"/>
    <cellStyle name="60% - Accent2 42" xfId="1114"/>
    <cellStyle name="60% - Accent2 43" xfId="1115"/>
    <cellStyle name="60% - Accent2 5" xfId="1116"/>
    <cellStyle name="60% - Accent2 6" xfId="1117"/>
    <cellStyle name="60% - Accent2 6 2" xfId="1118"/>
    <cellStyle name="60% - Accent2 6 3" xfId="1119"/>
    <cellStyle name="60% - Accent2 7" xfId="1120"/>
    <cellStyle name="60% - Accent2 8" xfId="1121"/>
    <cellStyle name="60% - Accent2 9" xfId="1122"/>
    <cellStyle name="60% - Accent3 10" xfId="1123"/>
    <cellStyle name="60% - Accent3 11" xfId="1124"/>
    <cellStyle name="60% - Accent3 12" xfId="1125"/>
    <cellStyle name="60% - Accent3 13" xfId="1126"/>
    <cellStyle name="60% - Accent3 14" xfId="1127"/>
    <cellStyle name="60% - Accent3 15" xfId="1128"/>
    <cellStyle name="60% - Accent3 16" xfId="1129"/>
    <cellStyle name="60% - Accent3 17" xfId="1130"/>
    <cellStyle name="60% - Accent3 18" xfId="1131"/>
    <cellStyle name="60% - Accent3 19" xfId="1132"/>
    <cellStyle name="60% - Accent3 2" xfId="1133"/>
    <cellStyle name="60% - Accent3 2 10" xfId="1134"/>
    <cellStyle name="60% - Accent3 2 11" xfId="1135"/>
    <cellStyle name="60% - Accent3 2 2" xfId="1136"/>
    <cellStyle name="60% - Accent3 2 2 2" xfId="1137"/>
    <cellStyle name="60% - Accent3 2 2 2 2" xfId="1138"/>
    <cellStyle name="60% - Accent3 2 2 3" xfId="1139"/>
    <cellStyle name="60% - Accent3 2 3" xfId="1140"/>
    <cellStyle name="60% - Accent3 2 4" xfId="1141"/>
    <cellStyle name="60% - Accent3 2 5" xfId="1142"/>
    <cellStyle name="60% - Accent3 2 6" xfId="1143"/>
    <cellStyle name="60% - Accent3 2 7" xfId="1144"/>
    <cellStyle name="60% - Accent3 2 8" xfId="1145"/>
    <cellStyle name="60% - Accent3 2 9" xfId="1146"/>
    <cellStyle name="60% - Accent3 20" xfId="1147"/>
    <cellStyle name="60% - Accent3 21" xfId="1148"/>
    <cellStyle name="60% - Accent3 22" xfId="1149"/>
    <cellStyle name="60% - Accent3 23" xfId="1150"/>
    <cellStyle name="60% - Accent3 24" xfId="1151"/>
    <cellStyle name="60% - Accent3 25" xfId="1152"/>
    <cellStyle name="60% - Accent3 26" xfId="1153"/>
    <cellStyle name="60% - Accent3 27" xfId="1154"/>
    <cellStyle name="60% - Accent3 28" xfId="1155"/>
    <cellStyle name="60% - Accent3 29" xfId="1156"/>
    <cellStyle name="60% - Accent3 3" xfId="1157"/>
    <cellStyle name="60% - Accent3 3 2" xfId="1158"/>
    <cellStyle name="60% - Accent3 3 3" xfId="1159"/>
    <cellStyle name="60% - Accent3 3 4" xfId="1160"/>
    <cellStyle name="60% - Accent3 3 5" xfId="1161"/>
    <cellStyle name="60% - Accent3 30" xfId="1162"/>
    <cellStyle name="60% - Accent3 31" xfId="1163"/>
    <cellStyle name="60% - Accent3 32" xfId="1164"/>
    <cellStyle name="60% - Accent3 33" xfId="1165"/>
    <cellStyle name="60% - Accent3 34" xfId="1166"/>
    <cellStyle name="60% - Accent3 35" xfId="1167"/>
    <cellStyle name="60% - Accent3 36" xfId="1168"/>
    <cellStyle name="60% - Accent3 37" xfId="1169"/>
    <cellStyle name="60% - Accent3 38" xfId="1170"/>
    <cellStyle name="60% - Accent3 39" xfId="1171"/>
    <cellStyle name="60% - Accent3 4" xfId="1172"/>
    <cellStyle name="60% - Accent3 40" xfId="1173"/>
    <cellStyle name="60% - Accent3 41" xfId="1174"/>
    <cellStyle name="60% - Accent3 42" xfId="1175"/>
    <cellStyle name="60% - Accent3 43" xfId="1176"/>
    <cellStyle name="60% - Accent3 5" xfId="1177"/>
    <cellStyle name="60% - Accent3 6" xfId="1178"/>
    <cellStyle name="60% - Accent3 6 2" xfId="1179"/>
    <cellStyle name="60% - Accent3 6 3" xfId="1180"/>
    <cellStyle name="60% - Accent3 7" xfId="1181"/>
    <cellStyle name="60% - Accent3 8" xfId="1182"/>
    <cellStyle name="60% - Accent3 9" xfId="1183"/>
    <cellStyle name="60% - Accent4 10" xfId="1184"/>
    <cellStyle name="60% - Accent4 11" xfId="1185"/>
    <cellStyle name="60% - Accent4 12" xfId="1186"/>
    <cellStyle name="60% - Accent4 13" xfId="1187"/>
    <cellStyle name="60% - Accent4 14" xfId="1188"/>
    <cellStyle name="60% - Accent4 15" xfId="1189"/>
    <cellStyle name="60% - Accent4 16" xfId="1190"/>
    <cellStyle name="60% - Accent4 17" xfId="1191"/>
    <cellStyle name="60% - Accent4 18" xfId="1192"/>
    <cellStyle name="60% - Accent4 19" xfId="1193"/>
    <cellStyle name="60% - Accent4 2" xfId="1194"/>
    <cellStyle name="60% - Accent4 2 10" xfId="1195"/>
    <cellStyle name="60% - Accent4 2 11" xfId="1196"/>
    <cellStyle name="60% - Accent4 2 2" xfId="1197"/>
    <cellStyle name="60% - Accent4 2 2 2" xfId="1198"/>
    <cellStyle name="60% - Accent4 2 2 2 2" xfId="1199"/>
    <cellStyle name="60% - Accent4 2 2 3" xfId="1200"/>
    <cellStyle name="60% - Accent4 2 3" xfId="1201"/>
    <cellStyle name="60% - Accent4 2 4" xfId="1202"/>
    <cellStyle name="60% - Accent4 2 5" xfId="1203"/>
    <cellStyle name="60% - Accent4 2 6" xfId="1204"/>
    <cellStyle name="60% - Accent4 2 7" xfId="1205"/>
    <cellStyle name="60% - Accent4 2 8" xfId="1206"/>
    <cellStyle name="60% - Accent4 2 9" xfId="1207"/>
    <cellStyle name="60% - Accent4 20" xfId="1208"/>
    <cellStyle name="60% - Accent4 21" xfId="1209"/>
    <cellStyle name="60% - Accent4 22" xfId="1210"/>
    <cellStyle name="60% - Accent4 23" xfId="1211"/>
    <cellStyle name="60% - Accent4 24" xfId="1212"/>
    <cellStyle name="60% - Accent4 25" xfId="1213"/>
    <cellStyle name="60% - Accent4 26" xfId="1214"/>
    <cellStyle name="60% - Accent4 27" xfId="1215"/>
    <cellStyle name="60% - Accent4 28" xfId="1216"/>
    <cellStyle name="60% - Accent4 29" xfId="1217"/>
    <cellStyle name="60% - Accent4 3" xfId="1218"/>
    <cellStyle name="60% - Accent4 3 2" xfId="1219"/>
    <cellStyle name="60% - Accent4 3 3" xfId="1220"/>
    <cellStyle name="60% - Accent4 3 4" xfId="1221"/>
    <cellStyle name="60% - Accent4 3 5" xfId="1222"/>
    <cellStyle name="60% - Accent4 30" xfId="1223"/>
    <cellStyle name="60% - Accent4 31" xfId="1224"/>
    <cellStyle name="60% - Accent4 32" xfId="1225"/>
    <cellStyle name="60% - Accent4 33" xfId="1226"/>
    <cellStyle name="60% - Accent4 34" xfId="1227"/>
    <cellStyle name="60% - Accent4 35" xfId="1228"/>
    <cellStyle name="60% - Accent4 36" xfId="1229"/>
    <cellStyle name="60% - Accent4 37" xfId="1230"/>
    <cellStyle name="60% - Accent4 38" xfId="1231"/>
    <cellStyle name="60% - Accent4 39" xfId="1232"/>
    <cellStyle name="60% - Accent4 4" xfId="1233"/>
    <cellStyle name="60% - Accent4 40" xfId="1234"/>
    <cellStyle name="60% - Accent4 41" xfId="1235"/>
    <cellStyle name="60% - Accent4 42" xfId="1236"/>
    <cellStyle name="60% - Accent4 43" xfId="1237"/>
    <cellStyle name="60% - Accent4 5" xfId="1238"/>
    <cellStyle name="60% - Accent4 6" xfId="1239"/>
    <cellStyle name="60% - Accent4 6 2" xfId="1240"/>
    <cellStyle name="60% - Accent4 6 3" xfId="1241"/>
    <cellStyle name="60% - Accent4 7" xfId="1242"/>
    <cellStyle name="60% - Accent4 8" xfId="1243"/>
    <cellStyle name="60% - Accent4 9" xfId="1244"/>
    <cellStyle name="60% - Accent5 10" xfId="1245"/>
    <cellStyle name="60% - Accent5 11" xfId="1246"/>
    <cellStyle name="60% - Accent5 12" xfId="1247"/>
    <cellStyle name="60% - Accent5 13" xfId="1248"/>
    <cellStyle name="60% - Accent5 14" xfId="1249"/>
    <cellStyle name="60% - Accent5 15" xfId="1250"/>
    <cellStyle name="60% - Accent5 16" xfId="1251"/>
    <cellStyle name="60% - Accent5 17" xfId="1252"/>
    <cellStyle name="60% - Accent5 18" xfId="1253"/>
    <cellStyle name="60% - Accent5 19" xfId="1254"/>
    <cellStyle name="60% - Accent5 2" xfId="1255"/>
    <cellStyle name="60% - Accent5 2 10" xfId="1256"/>
    <cellStyle name="60% - Accent5 2 11" xfId="1257"/>
    <cellStyle name="60% - Accent5 2 2" xfId="1258"/>
    <cellStyle name="60% - Accent5 2 2 2" xfId="1259"/>
    <cellStyle name="60% - Accent5 2 2 2 2" xfId="1260"/>
    <cellStyle name="60% - Accent5 2 2 3" xfId="1261"/>
    <cellStyle name="60% - Accent5 2 3" xfId="1262"/>
    <cellStyle name="60% - Accent5 2 4" xfId="1263"/>
    <cellStyle name="60% - Accent5 2 5" xfId="1264"/>
    <cellStyle name="60% - Accent5 2 6" xfId="1265"/>
    <cellStyle name="60% - Accent5 2 7" xfId="1266"/>
    <cellStyle name="60% - Accent5 2 8" xfId="1267"/>
    <cellStyle name="60% - Accent5 2 9" xfId="1268"/>
    <cellStyle name="60% - Accent5 20" xfId="1269"/>
    <cellStyle name="60% - Accent5 21" xfId="1270"/>
    <cellStyle name="60% - Accent5 22" xfId="1271"/>
    <cellStyle name="60% - Accent5 23" xfId="1272"/>
    <cellStyle name="60% - Accent5 24" xfId="1273"/>
    <cellStyle name="60% - Accent5 25" xfId="1274"/>
    <cellStyle name="60% - Accent5 26" xfId="1275"/>
    <cellStyle name="60% - Accent5 27" xfId="1276"/>
    <cellStyle name="60% - Accent5 28" xfId="1277"/>
    <cellStyle name="60% - Accent5 29" xfId="1278"/>
    <cellStyle name="60% - Accent5 3" xfId="1279"/>
    <cellStyle name="60% - Accent5 3 2" xfId="1280"/>
    <cellStyle name="60% - Accent5 3 3" xfId="1281"/>
    <cellStyle name="60% - Accent5 3 4" xfId="1282"/>
    <cellStyle name="60% - Accent5 3 5" xfId="1283"/>
    <cellStyle name="60% - Accent5 30" xfId="1284"/>
    <cellStyle name="60% - Accent5 31" xfId="1285"/>
    <cellStyle name="60% - Accent5 32" xfId="1286"/>
    <cellStyle name="60% - Accent5 33" xfId="1287"/>
    <cellStyle name="60% - Accent5 34" xfId="1288"/>
    <cellStyle name="60% - Accent5 35" xfId="1289"/>
    <cellStyle name="60% - Accent5 36" xfId="1290"/>
    <cellStyle name="60% - Accent5 37" xfId="1291"/>
    <cellStyle name="60% - Accent5 38" xfId="1292"/>
    <cellStyle name="60% - Accent5 39" xfId="1293"/>
    <cellStyle name="60% - Accent5 4" xfId="1294"/>
    <cellStyle name="60% - Accent5 40" xfId="1295"/>
    <cellStyle name="60% - Accent5 41" xfId="1296"/>
    <cellStyle name="60% - Accent5 42" xfId="1297"/>
    <cellStyle name="60% - Accent5 43" xfId="1298"/>
    <cellStyle name="60% - Accent5 5" xfId="1299"/>
    <cellStyle name="60% - Accent5 6" xfId="1300"/>
    <cellStyle name="60% - Accent5 6 2" xfId="1301"/>
    <cellStyle name="60% - Accent5 6 3" xfId="1302"/>
    <cellStyle name="60% - Accent5 7" xfId="1303"/>
    <cellStyle name="60% - Accent5 8" xfId="1304"/>
    <cellStyle name="60% - Accent5 9" xfId="1305"/>
    <cellStyle name="60% - Accent6 10" xfId="1306"/>
    <cellStyle name="60% - Accent6 11" xfId="1307"/>
    <cellStyle name="60% - Accent6 12" xfId="1308"/>
    <cellStyle name="60% - Accent6 13" xfId="1309"/>
    <cellStyle name="60% - Accent6 14" xfId="1310"/>
    <cellStyle name="60% - Accent6 15" xfId="1311"/>
    <cellStyle name="60% - Accent6 16" xfId="1312"/>
    <cellStyle name="60% - Accent6 17" xfId="1313"/>
    <cellStyle name="60% - Accent6 18" xfId="1314"/>
    <cellStyle name="60% - Accent6 19" xfId="1315"/>
    <cellStyle name="60% - Accent6 2" xfId="1316"/>
    <cellStyle name="60% - Accent6 2 10" xfId="1317"/>
    <cellStyle name="60% - Accent6 2 11" xfId="1318"/>
    <cellStyle name="60% - Accent6 2 2" xfId="1319"/>
    <cellStyle name="60% - Accent6 2 2 2" xfId="1320"/>
    <cellStyle name="60% - Accent6 2 2 2 2" xfId="1321"/>
    <cellStyle name="60% - Accent6 2 2 3" xfId="1322"/>
    <cellStyle name="60% - Accent6 2 3" xfId="1323"/>
    <cellStyle name="60% - Accent6 2 4" xfId="1324"/>
    <cellStyle name="60% - Accent6 2 5" xfId="1325"/>
    <cellStyle name="60% - Accent6 2 6" xfId="1326"/>
    <cellStyle name="60% - Accent6 2 7" xfId="1327"/>
    <cellStyle name="60% - Accent6 2 8" xfId="1328"/>
    <cellStyle name="60% - Accent6 2 9" xfId="1329"/>
    <cellStyle name="60% - Accent6 20" xfId="1330"/>
    <cellStyle name="60% - Accent6 21" xfId="1331"/>
    <cellStyle name="60% - Accent6 22" xfId="1332"/>
    <cellStyle name="60% - Accent6 23" xfId="1333"/>
    <cellStyle name="60% - Accent6 24" xfId="1334"/>
    <cellStyle name="60% - Accent6 25" xfId="1335"/>
    <cellStyle name="60% - Accent6 26" xfId="1336"/>
    <cellStyle name="60% - Accent6 27" xfId="1337"/>
    <cellStyle name="60% - Accent6 28" xfId="1338"/>
    <cellStyle name="60% - Accent6 29" xfId="1339"/>
    <cellStyle name="60% - Accent6 3" xfId="1340"/>
    <cellStyle name="60% - Accent6 3 2" xfId="1341"/>
    <cellStyle name="60% - Accent6 3 3" xfId="1342"/>
    <cellStyle name="60% - Accent6 3 4" xfId="1343"/>
    <cellStyle name="60% - Accent6 3 5" xfId="1344"/>
    <cellStyle name="60% - Accent6 30" xfId="1345"/>
    <cellStyle name="60% - Accent6 31" xfId="1346"/>
    <cellStyle name="60% - Accent6 32" xfId="1347"/>
    <cellStyle name="60% - Accent6 33" xfId="1348"/>
    <cellStyle name="60% - Accent6 34" xfId="1349"/>
    <cellStyle name="60% - Accent6 35" xfId="1350"/>
    <cellStyle name="60% - Accent6 36" xfId="1351"/>
    <cellStyle name="60% - Accent6 37" xfId="1352"/>
    <cellStyle name="60% - Accent6 38" xfId="1353"/>
    <cellStyle name="60% - Accent6 39" xfId="1354"/>
    <cellStyle name="60% - Accent6 4" xfId="1355"/>
    <cellStyle name="60% - Accent6 40" xfId="1356"/>
    <cellStyle name="60% - Accent6 41" xfId="1357"/>
    <cellStyle name="60% - Accent6 42" xfId="1358"/>
    <cellStyle name="60% - Accent6 43" xfId="1359"/>
    <cellStyle name="60% - Accent6 5" xfId="1360"/>
    <cellStyle name="60% - Accent6 6" xfId="1361"/>
    <cellStyle name="60% - Accent6 6 2" xfId="1362"/>
    <cellStyle name="60% - Accent6 6 3" xfId="1363"/>
    <cellStyle name="60% - Accent6 7" xfId="1364"/>
    <cellStyle name="60% - Accent6 8" xfId="1365"/>
    <cellStyle name="60% - Accent6 9" xfId="1366"/>
    <cellStyle name="60% - Akzent1" xfId="1367"/>
    <cellStyle name="60% - Akzent2" xfId="1368"/>
    <cellStyle name="60% - Akzent3" xfId="1369"/>
    <cellStyle name="60% - Akzent4" xfId="1370"/>
    <cellStyle name="60% - Akzent5" xfId="1371"/>
    <cellStyle name="60% - Akzent6" xfId="1372"/>
    <cellStyle name="60% - Cor4 2" xfId="1373"/>
    <cellStyle name="Accent1 10" xfId="1374"/>
    <cellStyle name="Accent1 11" xfId="1375"/>
    <cellStyle name="Accent1 12" xfId="1376"/>
    <cellStyle name="Accent1 13" xfId="1377"/>
    <cellStyle name="Accent1 14" xfId="1378"/>
    <cellStyle name="Accent1 15" xfId="1379"/>
    <cellStyle name="Accent1 16" xfId="1380"/>
    <cellStyle name="Accent1 17" xfId="1381"/>
    <cellStyle name="Accent1 18" xfId="1382"/>
    <cellStyle name="Accent1 19" xfId="1383"/>
    <cellStyle name="Accent1 2" xfId="1384"/>
    <cellStyle name="Accent1 2 10" xfId="1385"/>
    <cellStyle name="Accent1 2 2" xfId="1386"/>
    <cellStyle name="Accent1 2 3" xfId="1387"/>
    <cellStyle name="Accent1 2 4" xfId="1388"/>
    <cellStyle name="Accent1 2 5" xfId="1389"/>
    <cellStyle name="Accent1 2 6" xfId="1390"/>
    <cellStyle name="Accent1 2 7" xfId="1391"/>
    <cellStyle name="Accent1 2 8" xfId="1392"/>
    <cellStyle name="Accent1 2 9" xfId="1393"/>
    <cellStyle name="Accent1 20" xfId="1394"/>
    <cellStyle name="Accent1 21" xfId="1395"/>
    <cellStyle name="Accent1 22" xfId="1396"/>
    <cellStyle name="Accent1 23" xfId="1397"/>
    <cellStyle name="Accent1 24" xfId="1398"/>
    <cellStyle name="Accent1 25" xfId="1399"/>
    <cellStyle name="Accent1 26" xfId="1400"/>
    <cellStyle name="Accent1 27" xfId="1401"/>
    <cellStyle name="Accent1 28" xfId="1402"/>
    <cellStyle name="Accent1 29" xfId="1403"/>
    <cellStyle name="Accent1 3" xfId="1404"/>
    <cellStyle name="Accent1 3 2" xfId="1405"/>
    <cellStyle name="Accent1 3 3" xfId="1406"/>
    <cellStyle name="Accent1 3 4" xfId="1407"/>
    <cellStyle name="Accent1 3 5" xfId="1408"/>
    <cellStyle name="Accent1 30" xfId="1409"/>
    <cellStyle name="Accent1 31" xfId="1410"/>
    <cellStyle name="Accent1 32" xfId="1411"/>
    <cellStyle name="Accent1 33" xfId="1412"/>
    <cellStyle name="Accent1 34" xfId="1413"/>
    <cellStyle name="Accent1 35" xfId="1414"/>
    <cellStyle name="Accent1 36" xfId="1415"/>
    <cellStyle name="Accent1 37" xfId="1416"/>
    <cellStyle name="Accent1 38" xfId="1417"/>
    <cellStyle name="Accent1 39" xfId="1418"/>
    <cellStyle name="Accent1 4" xfId="1419"/>
    <cellStyle name="Accent1 40" xfId="1420"/>
    <cellStyle name="Accent1 41" xfId="1421"/>
    <cellStyle name="Accent1 42" xfId="1422"/>
    <cellStyle name="Accent1 43" xfId="1423"/>
    <cellStyle name="Accent1 5" xfId="1424"/>
    <cellStyle name="Accent1 6" xfId="1425"/>
    <cellStyle name="Accent1 7" xfId="1426"/>
    <cellStyle name="Accent1 8" xfId="1427"/>
    <cellStyle name="Accent1 9" xfId="1428"/>
    <cellStyle name="Accent2 10" xfId="1429"/>
    <cellStyle name="Accent2 11" xfId="1430"/>
    <cellStyle name="Accent2 12" xfId="1431"/>
    <cellStyle name="Accent2 13" xfId="1432"/>
    <cellStyle name="Accent2 14" xfId="1433"/>
    <cellStyle name="Accent2 15" xfId="1434"/>
    <cellStyle name="Accent2 16" xfId="1435"/>
    <cellStyle name="Accent2 17" xfId="1436"/>
    <cellStyle name="Accent2 18" xfId="1437"/>
    <cellStyle name="Accent2 19" xfId="1438"/>
    <cellStyle name="Accent2 2" xfId="1439"/>
    <cellStyle name="Accent2 2 10" xfId="1440"/>
    <cellStyle name="Accent2 2 2" xfId="1441"/>
    <cellStyle name="Accent2 2 3" xfId="1442"/>
    <cellStyle name="Accent2 2 4" xfId="1443"/>
    <cellStyle name="Accent2 2 5" xfId="1444"/>
    <cellStyle name="Accent2 2 6" xfId="1445"/>
    <cellStyle name="Accent2 2 7" xfId="1446"/>
    <cellStyle name="Accent2 2 8" xfId="1447"/>
    <cellStyle name="Accent2 2 9" xfId="1448"/>
    <cellStyle name="Accent2 20" xfId="1449"/>
    <cellStyle name="Accent2 21" xfId="1450"/>
    <cellStyle name="Accent2 22" xfId="1451"/>
    <cellStyle name="Accent2 23" xfId="1452"/>
    <cellStyle name="Accent2 24" xfId="1453"/>
    <cellStyle name="Accent2 25" xfId="1454"/>
    <cellStyle name="Accent2 26" xfId="1455"/>
    <cellStyle name="Accent2 27" xfId="1456"/>
    <cellStyle name="Accent2 28" xfId="1457"/>
    <cellStyle name="Accent2 29" xfId="1458"/>
    <cellStyle name="Accent2 3" xfId="1459"/>
    <cellStyle name="Accent2 3 2" xfId="1460"/>
    <cellStyle name="Accent2 3 3" xfId="1461"/>
    <cellStyle name="Accent2 3 4" xfId="1462"/>
    <cellStyle name="Accent2 3 5" xfId="1463"/>
    <cellStyle name="Accent2 30" xfId="1464"/>
    <cellStyle name="Accent2 31" xfId="1465"/>
    <cellStyle name="Accent2 32" xfId="1466"/>
    <cellStyle name="Accent2 33" xfId="1467"/>
    <cellStyle name="Accent2 34" xfId="1468"/>
    <cellStyle name="Accent2 35" xfId="1469"/>
    <cellStyle name="Accent2 36" xfId="1470"/>
    <cellStyle name="Accent2 37" xfId="1471"/>
    <cellStyle name="Accent2 38" xfId="1472"/>
    <cellStyle name="Accent2 39" xfId="1473"/>
    <cellStyle name="Accent2 4" xfId="1474"/>
    <cellStyle name="Accent2 40" xfId="1475"/>
    <cellStyle name="Accent2 41" xfId="1476"/>
    <cellStyle name="Accent2 42" xfId="1477"/>
    <cellStyle name="Accent2 43" xfId="1478"/>
    <cellStyle name="Accent2 5" xfId="1479"/>
    <cellStyle name="Accent2 6" xfId="1480"/>
    <cellStyle name="Accent2 7" xfId="1481"/>
    <cellStyle name="Accent2 8" xfId="1482"/>
    <cellStyle name="Accent2 9" xfId="1483"/>
    <cellStyle name="Accent3 10" xfId="1484"/>
    <cellStyle name="Accent3 11" xfId="1485"/>
    <cellStyle name="Accent3 12" xfId="1486"/>
    <cellStyle name="Accent3 13" xfId="1487"/>
    <cellStyle name="Accent3 14" xfId="1488"/>
    <cellStyle name="Accent3 15" xfId="1489"/>
    <cellStyle name="Accent3 16" xfId="1490"/>
    <cellStyle name="Accent3 17" xfId="1491"/>
    <cellStyle name="Accent3 18" xfId="1492"/>
    <cellStyle name="Accent3 19" xfId="1493"/>
    <cellStyle name="Accent3 2" xfId="1494"/>
    <cellStyle name="Accent3 2 10" xfId="1495"/>
    <cellStyle name="Accent3 2 2" xfId="1496"/>
    <cellStyle name="Accent3 2 3" xfId="1497"/>
    <cellStyle name="Accent3 2 4" xfId="1498"/>
    <cellStyle name="Accent3 2 5" xfId="1499"/>
    <cellStyle name="Accent3 2 6" xfId="1500"/>
    <cellStyle name="Accent3 2 7" xfId="1501"/>
    <cellStyle name="Accent3 2 8" xfId="1502"/>
    <cellStyle name="Accent3 2 9" xfId="1503"/>
    <cellStyle name="Accent3 20" xfId="1504"/>
    <cellStyle name="Accent3 21" xfId="1505"/>
    <cellStyle name="Accent3 22" xfId="1506"/>
    <cellStyle name="Accent3 23" xfId="1507"/>
    <cellStyle name="Accent3 24" xfId="1508"/>
    <cellStyle name="Accent3 25" xfId="1509"/>
    <cellStyle name="Accent3 26" xfId="1510"/>
    <cellStyle name="Accent3 27" xfId="1511"/>
    <cellStyle name="Accent3 28" xfId="1512"/>
    <cellStyle name="Accent3 29" xfId="1513"/>
    <cellStyle name="Accent3 3" xfId="1514"/>
    <cellStyle name="Accent3 3 2" xfId="1515"/>
    <cellStyle name="Accent3 3 3" xfId="1516"/>
    <cellStyle name="Accent3 3 4" xfId="1517"/>
    <cellStyle name="Accent3 3 5" xfId="1518"/>
    <cellStyle name="Accent3 30" xfId="1519"/>
    <cellStyle name="Accent3 31" xfId="1520"/>
    <cellStyle name="Accent3 32" xfId="1521"/>
    <cellStyle name="Accent3 33" xfId="1522"/>
    <cellStyle name="Accent3 34" xfId="1523"/>
    <cellStyle name="Accent3 35" xfId="1524"/>
    <cellStyle name="Accent3 36" xfId="1525"/>
    <cellStyle name="Accent3 37" xfId="1526"/>
    <cellStyle name="Accent3 38" xfId="1527"/>
    <cellStyle name="Accent3 39" xfId="1528"/>
    <cellStyle name="Accent3 4" xfId="1529"/>
    <cellStyle name="Accent3 40" xfId="1530"/>
    <cellStyle name="Accent3 41" xfId="1531"/>
    <cellStyle name="Accent3 42" xfId="1532"/>
    <cellStyle name="Accent3 43" xfId="1533"/>
    <cellStyle name="Accent3 5" xfId="1534"/>
    <cellStyle name="Accent3 6" xfId="1535"/>
    <cellStyle name="Accent3 7" xfId="1536"/>
    <cellStyle name="Accent3 8" xfId="1537"/>
    <cellStyle name="Accent3 9" xfId="1538"/>
    <cellStyle name="Accent4 10" xfId="1539"/>
    <cellStyle name="Accent4 11" xfId="1540"/>
    <cellStyle name="Accent4 12" xfId="1541"/>
    <cellStyle name="Accent4 13" xfId="1542"/>
    <cellStyle name="Accent4 14" xfId="1543"/>
    <cellStyle name="Accent4 15" xfId="1544"/>
    <cellStyle name="Accent4 16" xfId="1545"/>
    <cellStyle name="Accent4 17" xfId="1546"/>
    <cellStyle name="Accent4 18" xfId="1547"/>
    <cellStyle name="Accent4 19" xfId="1548"/>
    <cellStyle name="Accent4 2" xfId="1549"/>
    <cellStyle name="Accent4 2 10" xfId="1550"/>
    <cellStyle name="Accent4 2 2" xfId="1551"/>
    <cellStyle name="Accent4 2 3" xfId="1552"/>
    <cellStyle name="Accent4 2 4" xfId="1553"/>
    <cellStyle name="Accent4 2 5" xfId="1554"/>
    <cellStyle name="Accent4 2 6" xfId="1555"/>
    <cellStyle name="Accent4 2 7" xfId="1556"/>
    <cellStyle name="Accent4 2 8" xfId="1557"/>
    <cellStyle name="Accent4 2 9" xfId="1558"/>
    <cellStyle name="Accent4 20" xfId="1559"/>
    <cellStyle name="Accent4 21" xfId="1560"/>
    <cellStyle name="Accent4 22" xfId="1561"/>
    <cellStyle name="Accent4 23" xfId="1562"/>
    <cellStyle name="Accent4 24" xfId="1563"/>
    <cellStyle name="Accent4 25" xfId="1564"/>
    <cellStyle name="Accent4 26" xfId="1565"/>
    <cellStyle name="Accent4 27" xfId="1566"/>
    <cellStyle name="Accent4 28" xfId="1567"/>
    <cellStyle name="Accent4 29" xfId="1568"/>
    <cellStyle name="Accent4 3" xfId="1569"/>
    <cellStyle name="Accent4 3 2" xfId="1570"/>
    <cellStyle name="Accent4 3 3" xfId="1571"/>
    <cellStyle name="Accent4 3 4" xfId="1572"/>
    <cellStyle name="Accent4 3 5" xfId="1573"/>
    <cellStyle name="Accent4 30" xfId="1574"/>
    <cellStyle name="Accent4 31" xfId="1575"/>
    <cellStyle name="Accent4 32" xfId="1576"/>
    <cellStyle name="Accent4 33" xfId="1577"/>
    <cellStyle name="Accent4 34" xfId="1578"/>
    <cellStyle name="Accent4 35" xfId="1579"/>
    <cellStyle name="Accent4 36" xfId="1580"/>
    <cellStyle name="Accent4 37" xfId="1581"/>
    <cellStyle name="Accent4 38" xfId="1582"/>
    <cellStyle name="Accent4 39" xfId="1583"/>
    <cellStyle name="Accent4 4" xfId="1584"/>
    <cellStyle name="Accent4 40" xfId="1585"/>
    <cellStyle name="Accent4 41" xfId="1586"/>
    <cellStyle name="Accent4 42" xfId="1587"/>
    <cellStyle name="Accent4 43" xfId="1588"/>
    <cellStyle name="Accent4 5" xfId="1589"/>
    <cellStyle name="Accent4 6" xfId="1590"/>
    <cellStyle name="Accent4 7" xfId="1591"/>
    <cellStyle name="Accent4 8" xfId="1592"/>
    <cellStyle name="Accent4 9" xfId="1593"/>
    <cellStyle name="Accent5 10" xfId="1594"/>
    <cellStyle name="Accent5 11" xfId="1595"/>
    <cellStyle name="Accent5 12" xfId="1596"/>
    <cellStyle name="Accent5 13" xfId="1597"/>
    <cellStyle name="Accent5 14" xfId="1598"/>
    <cellStyle name="Accent5 15" xfId="1599"/>
    <cellStyle name="Accent5 16" xfId="1600"/>
    <cellStyle name="Accent5 17" xfId="1601"/>
    <cellStyle name="Accent5 18" xfId="1602"/>
    <cellStyle name="Accent5 19" xfId="1603"/>
    <cellStyle name="Accent5 2" xfId="1604"/>
    <cellStyle name="Accent5 2 10"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0" xfId="1614"/>
    <cellStyle name="Accent5 21" xfId="1615"/>
    <cellStyle name="Accent5 22" xfId="1616"/>
    <cellStyle name="Accent5 23" xfId="1617"/>
    <cellStyle name="Accent5 24" xfId="1618"/>
    <cellStyle name="Accent5 25" xfId="1619"/>
    <cellStyle name="Accent5 26" xfId="1620"/>
    <cellStyle name="Accent5 27" xfId="1621"/>
    <cellStyle name="Accent5 28" xfId="1622"/>
    <cellStyle name="Accent5 29" xfId="1623"/>
    <cellStyle name="Accent5 3" xfId="1624"/>
    <cellStyle name="Accent5 3 2" xfId="1625"/>
    <cellStyle name="Accent5 30" xfId="1626"/>
    <cellStyle name="Accent5 31" xfId="1627"/>
    <cellStyle name="Accent5 32" xfId="1628"/>
    <cellStyle name="Accent5 33" xfId="1629"/>
    <cellStyle name="Accent5 34" xfId="1630"/>
    <cellStyle name="Accent5 35" xfId="1631"/>
    <cellStyle name="Accent5 36" xfId="1632"/>
    <cellStyle name="Accent5 37" xfId="1633"/>
    <cellStyle name="Accent5 38" xfId="1634"/>
    <cellStyle name="Accent5 39" xfId="1635"/>
    <cellStyle name="Accent5 4" xfId="1636"/>
    <cellStyle name="Accent5 40" xfId="1637"/>
    <cellStyle name="Accent5 41" xfId="1638"/>
    <cellStyle name="Accent5 42" xfId="1639"/>
    <cellStyle name="Accent5 43" xfId="1640"/>
    <cellStyle name="Accent5 5" xfId="1641"/>
    <cellStyle name="Accent5 6" xfId="1642"/>
    <cellStyle name="Accent5 7" xfId="1643"/>
    <cellStyle name="Accent5 8" xfId="1644"/>
    <cellStyle name="Accent5 9" xfId="1645"/>
    <cellStyle name="Accent6 10" xfId="1646"/>
    <cellStyle name="Accent6 11" xfId="1647"/>
    <cellStyle name="Accent6 12" xfId="1648"/>
    <cellStyle name="Accent6 13" xfId="1649"/>
    <cellStyle name="Accent6 14" xfId="1650"/>
    <cellStyle name="Accent6 15" xfId="1651"/>
    <cellStyle name="Accent6 16" xfId="1652"/>
    <cellStyle name="Accent6 17" xfId="1653"/>
    <cellStyle name="Accent6 18" xfId="1654"/>
    <cellStyle name="Accent6 19" xfId="1655"/>
    <cellStyle name="Accent6 2" xfId="1656"/>
    <cellStyle name="Accent6 2 10" xfId="1657"/>
    <cellStyle name="Accent6 2 2" xfId="1658"/>
    <cellStyle name="Accent6 2 3" xfId="1659"/>
    <cellStyle name="Accent6 2 4" xfId="1660"/>
    <cellStyle name="Accent6 2 5" xfId="1661"/>
    <cellStyle name="Accent6 2 6" xfId="1662"/>
    <cellStyle name="Accent6 2 7" xfId="1663"/>
    <cellStyle name="Accent6 2 8" xfId="1664"/>
    <cellStyle name="Accent6 2 9" xfId="1665"/>
    <cellStyle name="Accent6 20" xfId="1666"/>
    <cellStyle name="Accent6 21" xfId="1667"/>
    <cellStyle name="Accent6 22" xfId="1668"/>
    <cellStyle name="Accent6 23" xfId="1669"/>
    <cellStyle name="Accent6 24" xfId="1670"/>
    <cellStyle name="Accent6 25" xfId="1671"/>
    <cellStyle name="Accent6 26" xfId="1672"/>
    <cellStyle name="Accent6 27" xfId="1673"/>
    <cellStyle name="Accent6 28" xfId="1674"/>
    <cellStyle name="Accent6 29" xfId="1675"/>
    <cellStyle name="Accent6 3" xfId="1676"/>
    <cellStyle name="Accent6 3 2" xfId="1677"/>
    <cellStyle name="Accent6 3 3" xfId="1678"/>
    <cellStyle name="Accent6 3 4" xfId="1679"/>
    <cellStyle name="Accent6 3 5" xfId="1680"/>
    <cellStyle name="Accent6 30" xfId="1681"/>
    <cellStyle name="Accent6 31" xfId="1682"/>
    <cellStyle name="Accent6 32" xfId="1683"/>
    <cellStyle name="Accent6 33" xfId="1684"/>
    <cellStyle name="Accent6 34" xfId="1685"/>
    <cellStyle name="Accent6 35" xfId="1686"/>
    <cellStyle name="Accent6 36" xfId="1687"/>
    <cellStyle name="Accent6 37" xfId="1688"/>
    <cellStyle name="Accent6 38" xfId="1689"/>
    <cellStyle name="Accent6 39" xfId="1690"/>
    <cellStyle name="Accent6 4" xfId="1691"/>
    <cellStyle name="Accent6 40" xfId="1692"/>
    <cellStyle name="Accent6 41" xfId="1693"/>
    <cellStyle name="Accent6 42" xfId="1694"/>
    <cellStyle name="Accent6 43" xfId="1695"/>
    <cellStyle name="Accent6 5" xfId="1696"/>
    <cellStyle name="Accent6 6" xfId="1697"/>
    <cellStyle name="Accent6 7" xfId="1698"/>
    <cellStyle name="Accent6 8" xfId="1699"/>
    <cellStyle name="Accent6 9" xfId="1700"/>
    <cellStyle name="AggblueBoldCels" xfId="1701"/>
    <cellStyle name="AggblueCels" xfId="1702"/>
    <cellStyle name="AggBoldCells" xfId="1703"/>
    <cellStyle name="AggCels" xfId="1704"/>
    <cellStyle name="AggGreen" xfId="1705"/>
    <cellStyle name="AggGreen12" xfId="1706"/>
    <cellStyle name="AggOrange" xfId="1707"/>
    <cellStyle name="AggOrange9" xfId="1708"/>
    <cellStyle name="AggOrangeLB_2x" xfId="1709"/>
    <cellStyle name="AggOrangeLBorder" xfId="1710"/>
    <cellStyle name="AggOrangeRBorder" xfId="1711"/>
    <cellStyle name="Akzent1" xfId="1712"/>
    <cellStyle name="Akzent2" xfId="1713"/>
    <cellStyle name="Akzent3" xfId="1714"/>
    <cellStyle name="Akzent4" xfId="1715"/>
    <cellStyle name="Akzent5" xfId="1716"/>
    <cellStyle name="Akzent6" xfId="1717"/>
    <cellStyle name="Ausgabe" xfId="1718"/>
    <cellStyle name="Bad 10" xfId="1719"/>
    <cellStyle name="Bad 11" xfId="1720"/>
    <cellStyle name="Bad 12" xfId="1721"/>
    <cellStyle name="Bad 13" xfId="1722"/>
    <cellStyle name="Bad 14" xfId="1723"/>
    <cellStyle name="Bad 15" xfId="1724"/>
    <cellStyle name="Bad 16" xfId="1725"/>
    <cellStyle name="Bad 17" xfId="1726"/>
    <cellStyle name="Bad 18" xfId="1727"/>
    <cellStyle name="Bad 19" xfId="1728"/>
    <cellStyle name="Bad 2" xfId="1729"/>
    <cellStyle name="Bad 2 10" xfId="1730"/>
    <cellStyle name="Bad 2 2" xfId="1731"/>
    <cellStyle name="Bad 2 3" xfId="1732"/>
    <cellStyle name="Bad 2 4" xfId="1733"/>
    <cellStyle name="Bad 2 5" xfId="1734"/>
    <cellStyle name="Bad 2 6" xfId="1735"/>
    <cellStyle name="Bad 2 7" xfId="1736"/>
    <cellStyle name="Bad 2 8" xfId="1737"/>
    <cellStyle name="Bad 2 9" xfId="1738"/>
    <cellStyle name="Bad 20" xfId="1739"/>
    <cellStyle name="Bad 21" xfId="1740"/>
    <cellStyle name="Bad 22" xfId="1741"/>
    <cellStyle name="Bad 23" xfId="1742"/>
    <cellStyle name="Bad 24" xfId="1743"/>
    <cellStyle name="Bad 25" xfId="1744"/>
    <cellStyle name="Bad 26" xfId="1745"/>
    <cellStyle name="Bad 27" xfId="1746"/>
    <cellStyle name="Bad 28" xfId="1747"/>
    <cellStyle name="Bad 29" xfId="1748"/>
    <cellStyle name="Bad 3" xfId="1749"/>
    <cellStyle name="Bad 3 2" xfId="1750"/>
    <cellStyle name="Bad 3 3" xfId="1751"/>
    <cellStyle name="Bad 3 4" xfId="1752"/>
    <cellStyle name="Bad 3 5" xfId="1753"/>
    <cellStyle name="Bad 30" xfId="1754"/>
    <cellStyle name="Bad 31" xfId="1755"/>
    <cellStyle name="Bad 32" xfId="1756"/>
    <cellStyle name="Bad 33" xfId="1757"/>
    <cellStyle name="Bad 34" xfId="1758"/>
    <cellStyle name="Bad 35" xfId="1759"/>
    <cellStyle name="Bad 36" xfId="1760"/>
    <cellStyle name="Bad 37" xfId="1761"/>
    <cellStyle name="Bad 38" xfId="1762"/>
    <cellStyle name="Bad 39" xfId="1763"/>
    <cellStyle name="Bad 4" xfId="1764"/>
    <cellStyle name="Bad 40" xfId="1765"/>
    <cellStyle name="Bad 41" xfId="1766"/>
    <cellStyle name="Bad 42" xfId="1767"/>
    <cellStyle name="Bad 43" xfId="1768"/>
    <cellStyle name="Bad 44" xfId="1769"/>
    <cellStyle name="Bad 5" xfId="1770"/>
    <cellStyle name="Bad 6" xfId="1771"/>
    <cellStyle name="Bad 7" xfId="1772"/>
    <cellStyle name="Bad 8" xfId="1773"/>
    <cellStyle name="Bad 9" xfId="1774"/>
    <cellStyle name="Berechnung" xfId="1775"/>
    <cellStyle name="Bevitel" xfId="1776"/>
    <cellStyle name="Bold GHG Numbers (0.00)" xfId="1777"/>
    <cellStyle name="Calculation 10" xfId="1778"/>
    <cellStyle name="Calculation 11" xfId="1779"/>
    <cellStyle name="Calculation 12" xfId="1780"/>
    <cellStyle name="Calculation 13" xfId="1781"/>
    <cellStyle name="Calculation 14" xfId="1782"/>
    <cellStyle name="Calculation 15" xfId="1783"/>
    <cellStyle name="Calculation 16" xfId="1784"/>
    <cellStyle name="Calculation 17" xfId="1785"/>
    <cellStyle name="Calculation 18" xfId="1786"/>
    <cellStyle name="Calculation 19" xfId="1787"/>
    <cellStyle name="Calculation 2" xfId="1788"/>
    <cellStyle name="Calculation 2 10" xfId="1789"/>
    <cellStyle name="Calculation 2 2" xfId="1790"/>
    <cellStyle name="Calculation 2 3" xfId="1791"/>
    <cellStyle name="Calculation 2 4" xfId="1792"/>
    <cellStyle name="Calculation 2 5" xfId="1793"/>
    <cellStyle name="Calculation 2 6" xfId="1794"/>
    <cellStyle name="Calculation 2 7" xfId="1795"/>
    <cellStyle name="Calculation 2 8" xfId="1796"/>
    <cellStyle name="Calculation 2 9" xfId="1797"/>
    <cellStyle name="Calculation 20" xfId="1798"/>
    <cellStyle name="Calculation 21" xfId="1799"/>
    <cellStyle name="Calculation 22" xfId="1800"/>
    <cellStyle name="Calculation 23" xfId="1801"/>
    <cellStyle name="Calculation 24" xfId="1802"/>
    <cellStyle name="Calculation 25" xfId="1803"/>
    <cellStyle name="Calculation 26" xfId="1804"/>
    <cellStyle name="Calculation 27" xfId="1805"/>
    <cellStyle name="Calculation 28" xfId="1806"/>
    <cellStyle name="Calculation 29" xfId="1807"/>
    <cellStyle name="Calculation 3" xfId="1808"/>
    <cellStyle name="Calculation 3 2" xfId="1809"/>
    <cellStyle name="Calculation 3 3" xfId="1810"/>
    <cellStyle name="Calculation 3 4" xfId="1811"/>
    <cellStyle name="Calculation 3 5" xfId="1812"/>
    <cellStyle name="Calculation 30" xfId="1813"/>
    <cellStyle name="Calculation 31" xfId="1814"/>
    <cellStyle name="Calculation 32" xfId="1815"/>
    <cellStyle name="Calculation 33" xfId="1816"/>
    <cellStyle name="Calculation 34" xfId="1817"/>
    <cellStyle name="Calculation 35" xfId="1818"/>
    <cellStyle name="Calculation 36" xfId="1819"/>
    <cellStyle name="Calculation 37" xfId="1820"/>
    <cellStyle name="Calculation 38" xfId="1821"/>
    <cellStyle name="Calculation 39" xfId="1822"/>
    <cellStyle name="Calculation 4" xfId="1823"/>
    <cellStyle name="Calculation 40" xfId="1824"/>
    <cellStyle name="Calculation 41" xfId="1825"/>
    <cellStyle name="Calculation 42" xfId="1826"/>
    <cellStyle name="Calculation 43" xfId="1827"/>
    <cellStyle name="Calculation 5" xfId="1828"/>
    <cellStyle name="Calculation 6" xfId="1829"/>
    <cellStyle name="Calculation 7" xfId="1830"/>
    <cellStyle name="Calculation 8" xfId="1831"/>
    <cellStyle name="Calculation 9" xfId="1832"/>
    <cellStyle name="Check Cell 10" xfId="1833"/>
    <cellStyle name="Check Cell 11" xfId="1834"/>
    <cellStyle name="Check Cell 12" xfId="1835"/>
    <cellStyle name="Check Cell 13" xfId="1836"/>
    <cellStyle name="Check Cell 14" xfId="1837"/>
    <cellStyle name="Check Cell 15" xfId="1838"/>
    <cellStyle name="Check Cell 16" xfId="1839"/>
    <cellStyle name="Check Cell 17" xfId="1840"/>
    <cellStyle name="Check Cell 18" xfId="1841"/>
    <cellStyle name="Check Cell 19" xfId="1842"/>
    <cellStyle name="Check Cell 2" xfId="1843"/>
    <cellStyle name="Check Cell 2 10" xfId="1844"/>
    <cellStyle name="Check Cell 2 2" xfId="1845"/>
    <cellStyle name="Check Cell 2 3" xfId="1846"/>
    <cellStyle name="Check Cell 2 4" xfId="1847"/>
    <cellStyle name="Check Cell 2 5" xfId="1848"/>
    <cellStyle name="Check Cell 2 6" xfId="1849"/>
    <cellStyle name="Check Cell 2 7" xfId="1850"/>
    <cellStyle name="Check Cell 2 8" xfId="1851"/>
    <cellStyle name="Check Cell 2 9" xfId="1852"/>
    <cellStyle name="Check Cell 20" xfId="1853"/>
    <cellStyle name="Check Cell 21" xfId="1854"/>
    <cellStyle name="Check Cell 22" xfId="1855"/>
    <cellStyle name="Check Cell 23" xfId="1856"/>
    <cellStyle name="Check Cell 24" xfId="1857"/>
    <cellStyle name="Check Cell 25" xfId="1858"/>
    <cellStyle name="Check Cell 26" xfId="1859"/>
    <cellStyle name="Check Cell 27" xfId="1860"/>
    <cellStyle name="Check Cell 28" xfId="1861"/>
    <cellStyle name="Check Cell 29" xfId="1862"/>
    <cellStyle name="Check Cell 3" xfId="1863"/>
    <cellStyle name="Check Cell 3 2" xfId="1864"/>
    <cellStyle name="Check Cell 30" xfId="1865"/>
    <cellStyle name="Check Cell 31" xfId="1866"/>
    <cellStyle name="Check Cell 32" xfId="1867"/>
    <cellStyle name="Check Cell 33" xfId="1868"/>
    <cellStyle name="Check Cell 34" xfId="1869"/>
    <cellStyle name="Check Cell 35" xfId="1870"/>
    <cellStyle name="Check Cell 36" xfId="1871"/>
    <cellStyle name="Check Cell 37" xfId="1872"/>
    <cellStyle name="Check Cell 38" xfId="1873"/>
    <cellStyle name="Check Cell 39" xfId="1874"/>
    <cellStyle name="Check Cell 4" xfId="1875"/>
    <cellStyle name="Check Cell 40" xfId="1876"/>
    <cellStyle name="Check Cell 41" xfId="1877"/>
    <cellStyle name="Check Cell 42" xfId="1878"/>
    <cellStyle name="Check Cell 43" xfId="1879"/>
    <cellStyle name="Check Cell 5" xfId="1880"/>
    <cellStyle name="Check Cell 6" xfId="1881"/>
    <cellStyle name="Check Cell 7" xfId="1882"/>
    <cellStyle name="Check Cell 8" xfId="1883"/>
    <cellStyle name="Check Cell 9" xfId="1884"/>
    <cellStyle name="Cím" xfId="1885"/>
    <cellStyle name="Címsor 1" xfId="1886"/>
    <cellStyle name="Címsor 2" xfId="1887"/>
    <cellStyle name="Címsor 3" xfId="1888"/>
    <cellStyle name="Címsor 4" xfId="1889"/>
    <cellStyle name="coin" xfId="1890"/>
    <cellStyle name="Comma [0] 2 10" xfId="1891"/>
    <cellStyle name="Comma [0] 2 10 2" xfId="1892"/>
    <cellStyle name="Comma [0] 2 10 3" xfId="1893"/>
    <cellStyle name="Comma [0] 2 10 4" xfId="1894"/>
    <cellStyle name="Comma [0] 2 10 5" xfId="1895"/>
    <cellStyle name="Comma [0] 2 2" xfId="1896"/>
    <cellStyle name="Comma [0] 2 2 2" xfId="1897"/>
    <cellStyle name="Comma [0] 2 2 3" xfId="1898"/>
    <cellStyle name="Comma [0] 2 2 4" xfId="1899"/>
    <cellStyle name="Comma [0] 2 2 5" xfId="1900"/>
    <cellStyle name="Comma [0] 2 3" xfId="1901"/>
    <cellStyle name="Comma [0] 2 3 2" xfId="1902"/>
    <cellStyle name="Comma [0] 2 3 3" xfId="1903"/>
    <cellStyle name="Comma [0] 2 3 4" xfId="1904"/>
    <cellStyle name="Comma [0] 2 3 5" xfId="1905"/>
    <cellStyle name="Comma [0] 2 4" xfId="1906"/>
    <cellStyle name="Comma [0] 2 4 2" xfId="1907"/>
    <cellStyle name="Comma [0] 2 4 3" xfId="1908"/>
    <cellStyle name="Comma [0] 2 4 4" xfId="1909"/>
    <cellStyle name="Comma [0] 2 4 5" xfId="1910"/>
    <cellStyle name="Comma [0] 2 5" xfId="1911"/>
    <cellStyle name="Comma [0] 2 5 2" xfId="1912"/>
    <cellStyle name="Comma [0] 2 5 3" xfId="1913"/>
    <cellStyle name="Comma [0] 2 5 4" xfId="1914"/>
    <cellStyle name="Comma [0] 2 5 5" xfId="1915"/>
    <cellStyle name="Comma [0] 2 6" xfId="1916"/>
    <cellStyle name="Comma [0] 2 6 2" xfId="1917"/>
    <cellStyle name="Comma [0] 2 6 3" xfId="1918"/>
    <cellStyle name="Comma [0] 2 6 4" xfId="1919"/>
    <cellStyle name="Comma [0] 2 6 5" xfId="1920"/>
    <cellStyle name="Comma [0] 2 7" xfId="1921"/>
    <cellStyle name="Comma [0] 2 7 2" xfId="1922"/>
    <cellStyle name="Comma [0] 2 7 3" xfId="1923"/>
    <cellStyle name="Comma [0] 2 7 4" xfId="1924"/>
    <cellStyle name="Comma [0] 2 7 5" xfId="1925"/>
    <cellStyle name="Comma [0] 2 8" xfId="1926"/>
    <cellStyle name="Comma [0] 2 8 2" xfId="1927"/>
    <cellStyle name="Comma [0] 2 8 3" xfId="1928"/>
    <cellStyle name="Comma [0] 2 8 4" xfId="1929"/>
    <cellStyle name="Comma [0] 2 8 5" xfId="1930"/>
    <cellStyle name="Comma [0] 2 9" xfId="1931"/>
    <cellStyle name="Comma [0] 2 9 2" xfId="1932"/>
    <cellStyle name="Comma [0] 2 9 3" xfId="1933"/>
    <cellStyle name="Comma [0] 2 9 4" xfId="1934"/>
    <cellStyle name="Comma [0] 2 9 5" xfId="1935"/>
    <cellStyle name="Comma 10" xfId="1936"/>
    <cellStyle name="Comma 10 10" xfId="1937"/>
    <cellStyle name="Comma 10 2" xfId="1938"/>
    <cellStyle name="Comma 10 2 10" xfId="1939"/>
    <cellStyle name="Comma 10 2 10 2" xfId="1940"/>
    <cellStyle name="Comma 10 2 10 3" xfId="1941"/>
    <cellStyle name="Comma 10 2 10 4" xfId="1942"/>
    <cellStyle name="Comma 10 2 10 5" xfId="1943"/>
    <cellStyle name="Comma 10 2 11" xfId="1944"/>
    <cellStyle name="Comma 10 2 11 2" xfId="1945"/>
    <cellStyle name="Comma 10 2 11 3" xfId="1946"/>
    <cellStyle name="Comma 10 2 11 4" xfId="1947"/>
    <cellStyle name="Comma 10 2 11 5" xfId="1948"/>
    <cellStyle name="Comma 10 2 12" xfId="1949"/>
    <cellStyle name="Comma 10 2 12 2" xfId="1950"/>
    <cellStyle name="Comma 10 2 12 3" xfId="1951"/>
    <cellStyle name="Comma 10 2 12 4" xfId="1952"/>
    <cellStyle name="Comma 10 2 12 5" xfId="1953"/>
    <cellStyle name="Comma 10 2 13" xfId="1954"/>
    <cellStyle name="Comma 10 2 13 2" xfId="1955"/>
    <cellStyle name="Comma 10 2 13 3" xfId="1956"/>
    <cellStyle name="Comma 10 2 13 4" xfId="1957"/>
    <cellStyle name="Comma 10 2 13 5" xfId="1958"/>
    <cellStyle name="Comma 10 2 14" xfId="1959"/>
    <cellStyle name="Comma 10 2 14 2" xfId="1960"/>
    <cellStyle name="Comma 10 2 14 3" xfId="1961"/>
    <cellStyle name="Comma 10 2 14 4" xfId="1962"/>
    <cellStyle name="Comma 10 2 14 5" xfId="1963"/>
    <cellStyle name="Comma 10 2 15" xfId="1964"/>
    <cellStyle name="Comma 10 2 15 2" xfId="1965"/>
    <cellStyle name="Comma 10 2 15 3" xfId="1966"/>
    <cellStyle name="Comma 10 2 15 4" xfId="1967"/>
    <cellStyle name="Comma 10 2 15 5" xfId="1968"/>
    <cellStyle name="Comma 10 2 16" xfId="1969"/>
    <cellStyle name="Comma 10 2 16 2" xfId="1970"/>
    <cellStyle name="Comma 10 2 16 3" xfId="1971"/>
    <cellStyle name="Comma 10 2 16 4" xfId="1972"/>
    <cellStyle name="Comma 10 2 16 5" xfId="1973"/>
    <cellStyle name="Comma 10 2 17" xfId="1974"/>
    <cellStyle name="Comma 10 2 17 2" xfId="1975"/>
    <cellStyle name="Comma 10 2 17 3" xfId="1976"/>
    <cellStyle name="Comma 10 2 17 4" xfId="1977"/>
    <cellStyle name="Comma 10 2 17 5" xfId="1978"/>
    <cellStyle name="Comma 10 2 18" xfId="1979"/>
    <cellStyle name="Comma 10 2 19" xfId="1980"/>
    <cellStyle name="Comma 10 2 2" xfId="1981"/>
    <cellStyle name="Comma 10 2 2 2" xfId="1982"/>
    <cellStyle name="Comma 10 2 2 3" xfId="1983"/>
    <cellStyle name="Comma 10 2 2 4" xfId="1984"/>
    <cellStyle name="Comma 10 2 2 5" xfId="1985"/>
    <cellStyle name="Comma 10 2 20" xfId="1986"/>
    <cellStyle name="Comma 10 2 21" xfId="1987"/>
    <cellStyle name="Comma 10 2 3" xfId="1988"/>
    <cellStyle name="Comma 10 2 3 2" xfId="1989"/>
    <cellStyle name="Comma 10 2 3 3" xfId="1990"/>
    <cellStyle name="Comma 10 2 3 4" xfId="1991"/>
    <cellStyle name="Comma 10 2 3 5" xfId="1992"/>
    <cellStyle name="Comma 10 2 4" xfId="1993"/>
    <cellStyle name="Comma 10 2 4 2" xfId="1994"/>
    <cellStyle name="Comma 10 2 4 3" xfId="1995"/>
    <cellStyle name="Comma 10 2 4 4" xfId="1996"/>
    <cellStyle name="Comma 10 2 4 5" xfId="1997"/>
    <cellStyle name="Comma 10 2 5" xfId="1998"/>
    <cellStyle name="Comma 10 2 5 2" xfId="1999"/>
    <cellStyle name="Comma 10 2 5 3" xfId="2000"/>
    <cellStyle name="Comma 10 2 5 4" xfId="2001"/>
    <cellStyle name="Comma 10 2 5 5" xfId="2002"/>
    <cellStyle name="Comma 10 2 6" xfId="2003"/>
    <cellStyle name="Comma 10 2 6 2" xfId="2004"/>
    <cellStyle name="Comma 10 2 6 3" xfId="2005"/>
    <cellStyle name="Comma 10 2 6 4" xfId="2006"/>
    <cellStyle name="Comma 10 2 6 5" xfId="2007"/>
    <cellStyle name="Comma 10 2 7" xfId="2008"/>
    <cellStyle name="Comma 10 2 7 2" xfId="2009"/>
    <cellStyle name="Comma 10 2 7 3" xfId="2010"/>
    <cellStyle name="Comma 10 2 7 4" xfId="2011"/>
    <cellStyle name="Comma 10 2 7 5" xfId="2012"/>
    <cellStyle name="Comma 10 2 8" xfId="2013"/>
    <cellStyle name="Comma 10 2 8 2" xfId="2014"/>
    <cellStyle name="Comma 10 2 8 3" xfId="2015"/>
    <cellStyle name="Comma 10 2 8 4" xfId="2016"/>
    <cellStyle name="Comma 10 2 8 5" xfId="2017"/>
    <cellStyle name="Comma 10 2 9" xfId="2018"/>
    <cellStyle name="Comma 10 2 9 2" xfId="2019"/>
    <cellStyle name="Comma 10 2 9 3" xfId="2020"/>
    <cellStyle name="Comma 10 2 9 4" xfId="2021"/>
    <cellStyle name="Comma 10 2 9 5" xfId="2022"/>
    <cellStyle name="Comma 10 3" xfId="2023"/>
    <cellStyle name="Comma 10 3 10" xfId="2024"/>
    <cellStyle name="Comma 10 3 10 2" xfId="2025"/>
    <cellStyle name="Comma 10 3 10 3" xfId="2026"/>
    <cellStyle name="Comma 10 3 10 4" xfId="2027"/>
    <cellStyle name="Comma 10 3 10 5" xfId="2028"/>
    <cellStyle name="Comma 10 3 11" xfId="2029"/>
    <cellStyle name="Comma 10 3 11 2" xfId="2030"/>
    <cellStyle name="Comma 10 3 11 3" xfId="2031"/>
    <cellStyle name="Comma 10 3 11 4" xfId="2032"/>
    <cellStyle name="Comma 10 3 11 5" xfId="2033"/>
    <cellStyle name="Comma 10 3 12" xfId="2034"/>
    <cellStyle name="Comma 10 3 12 2" xfId="2035"/>
    <cellStyle name="Comma 10 3 12 3" xfId="2036"/>
    <cellStyle name="Comma 10 3 12 4" xfId="2037"/>
    <cellStyle name="Comma 10 3 12 5" xfId="2038"/>
    <cellStyle name="Comma 10 3 13" xfId="2039"/>
    <cellStyle name="Comma 10 3 13 2" xfId="2040"/>
    <cellStyle name="Comma 10 3 13 3" xfId="2041"/>
    <cellStyle name="Comma 10 3 13 4" xfId="2042"/>
    <cellStyle name="Comma 10 3 13 5" xfId="2043"/>
    <cellStyle name="Comma 10 3 14" xfId="2044"/>
    <cellStyle name="Comma 10 3 14 2" xfId="2045"/>
    <cellStyle name="Comma 10 3 14 3" xfId="2046"/>
    <cellStyle name="Comma 10 3 14 4" xfId="2047"/>
    <cellStyle name="Comma 10 3 14 5" xfId="2048"/>
    <cellStyle name="Comma 10 3 15" xfId="2049"/>
    <cellStyle name="Comma 10 3 15 2" xfId="2050"/>
    <cellStyle name="Comma 10 3 15 3" xfId="2051"/>
    <cellStyle name="Comma 10 3 15 4" xfId="2052"/>
    <cellStyle name="Comma 10 3 15 5" xfId="2053"/>
    <cellStyle name="Comma 10 3 16" xfId="2054"/>
    <cellStyle name="Comma 10 3 16 2" xfId="2055"/>
    <cellStyle name="Comma 10 3 16 3" xfId="2056"/>
    <cellStyle name="Comma 10 3 16 4" xfId="2057"/>
    <cellStyle name="Comma 10 3 16 5" xfId="2058"/>
    <cellStyle name="Comma 10 3 17" xfId="2059"/>
    <cellStyle name="Comma 10 3 17 2" xfId="2060"/>
    <cellStyle name="Comma 10 3 17 3" xfId="2061"/>
    <cellStyle name="Comma 10 3 17 4" xfId="2062"/>
    <cellStyle name="Comma 10 3 17 5" xfId="2063"/>
    <cellStyle name="Comma 10 3 18" xfId="2064"/>
    <cellStyle name="Comma 10 3 19" xfId="2065"/>
    <cellStyle name="Comma 10 3 2" xfId="2066"/>
    <cellStyle name="Comma 10 3 2 2" xfId="2067"/>
    <cellStyle name="Comma 10 3 2 3" xfId="2068"/>
    <cellStyle name="Comma 10 3 2 4" xfId="2069"/>
    <cellStyle name="Comma 10 3 2 5" xfId="2070"/>
    <cellStyle name="Comma 10 3 20" xfId="2071"/>
    <cellStyle name="Comma 10 3 21" xfId="2072"/>
    <cellStyle name="Comma 10 3 3" xfId="2073"/>
    <cellStyle name="Comma 10 3 3 2" xfId="2074"/>
    <cellStyle name="Comma 10 3 3 3" xfId="2075"/>
    <cellStyle name="Comma 10 3 3 4" xfId="2076"/>
    <cellStyle name="Comma 10 3 3 5" xfId="2077"/>
    <cellStyle name="Comma 10 3 4" xfId="2078"/>
    <cellStyle name="Comma 10 3 4 2" xfId="2079"/>
    <cellStyle name="Comma 10 3 4 3" xfId="2080"/>
    <cellStyle name="Comma 10 3 4 4" xfId="2081"/>
    <cellStyle name="Comma 10 3 4 5" xfId="2082"/>
    <cellStyle name="Comma 10 3 5" xfId="2083"/>
    <cellStyle name="Comma 10 3 5 2" xfId="2084"/>
    <cellStyle name="Comma 10 3 5 3" xfId="2085"/>
    <cellStyle name="Comma 10 3 5 4" xfId="2086"/>
    <cellStyle name="Comma 10 3 5 5" xfId="2087"/>
    <cellStyle name="Comma 10 3 6" xfId="2088"/>
    <cellStyle name="Comma 10 3 6 2" xfId="2089"/>
    <cellStyle name="Comma 10 3 6 3" xfId="2090"/>
    <cellStyle name="Comma 10 3 6 4" xfId="2091"/>
    <cellStyle name="Comma 10 3 6 5" xfId="2092"/>
    <cellStyle name="Comma 10 3 7" xfId="2093"/>
    <cellStyle name="Comma 10 3 7 2" xfId="2094"/>
    <cellStyle name="Comma 10 3 7 3" xfId="2095"/>
    <cellStyle name="Comma 10 3 7 4" xfId="2096"/>
    <cellStyle name="Comma 10 3 7 5" xfId="2097"/>
    <cellStyle name="Comma 10 3 8" xfId="2098"/>
    <cellStyle name="Comma 10 3 8 2" xfId="2099"/>
    <cellStyle name="Comma 10 3 8 3" xfId="2100"/>
    <cellStyle name="Comma 10 3 8 4" xfId="2101"/>
    <cellStyle name="Comma 10 3 8 5" xfId="2102"/>
    <cellStyle name="Comma 10 3 9" xfId="2103"/>
    <cellStyle name="Comma 10 3 9 2" xfId="2104"/>
    <cellStyle name="Comma 10 3 9 3" xfId="2105"/>
    <cellStyle name="Comma 10 3 9 4" xfId="2106"/>
    <cellStyle name="Comma 10 3 9 5" xfId="2107"/>
    <cellStyle name="Comma 10 4" xfId="2108"/>
    <cellStyle name="Comma 10 4 10" xfId="2109"/>
    <cellStyle name="Comma 10 4 10 2" xfId="2110"/>
    <cellStyle name="Comma 10 4 10 3" xfId="2111"/>
    <cellStyle name="Comma 10 4 10 4" xfId="2112"/>
    <cellStyle name="Comma 10 4 10 5" xfId="2113"/>
    <cellStyle name="Comma 10 4 11" xfId="2114"/>
    <cellStyle name="Comma 10 4 11 2" xfId="2115"/>
    <cellStyle name="Comma 10 4 11 3" xfId="2116"/>
    <cellStyle name="Comma 10 4 11 4" xfId="2117"/>
    <cellStyle name="Comma 10 4 11 5" xfId="2118"/>
    <cellStyle name="Comma 10 4 12" xfId="2119"/>
    <cellStyle name="Comma 10 4 12 2" xfId="2120"/>
    <cellStyle name="Comma 10 4 12 3" xfId="2121"/>
    <cellStyle name="Comma 10 4 12 4" xfId="2122"/>
    <cellStyle name="Comma 10 4 12 5" xfId="2123"/>
    <cellStyle name="Comma 10 4 13" xfId="2124"/>
    <cellStyle name="Comma 10 4 13 2" xfId="2125"/>
    <cellStyle name="Comma 10 4 13 3" xfId="2126"/>
    <cellStyle name="Comma 10 4 13 4" xfId="2127"/>
    <cellStyle name="Comma 10 4 13 5" xfId="2128"/>
    <cellStyle name="Comma 10 4 14" xfId="2129"/>
    <cellStyle name="Comma 10 4 14 2" xfId="2130"/>
    <cellStyle name="Comma 10 4 14 3" xfId="2131"/>
    <cellStyle name="Comma 10 4 14 4" xfId="2132"/>
    <cellStyle name="Comma 10 4 14 5" xfId="2133"/>
    <cellStyle name="Comma 10 4 15" xfId="2134"/>
    <cellStyle name="Comma 10 4 15 2" xfId="2135"/>
    <cellStyle name="Comma 10 4 15 3" xfId="2136"/>
    <cellStyle name="Comma 10 4 15 4" xfId="2137"/>
    <cellStyle name="Comma 10 4 15 5" xfId="2138"/>
    <cellStyle name="Comma 10 4 16" xfId="2139"/>
    <cellStyle name="Comma 10 4 16 2" xfId="2140"/>
    <cellStyle name="Comma 10 4 16 3" xfId="2141"/>
    <cellStyle name="Comma 10 4 16 4" xfId="2142"/>
    <cellStyle name="Comma 10 4 16 5" xfId="2143"/>
    <cellStyle name="Comma 10 4 17" xfId="2144"/>
    <cellStyle name="Comma 10 4 17 2" xfId="2145"/>
    <cellStyle name="Comma 10 4 17 3" xfId="2146"/>
    <cellStyle name="Comma 10 4 17 4" xfId="2147"/>
    <cellStyle name="Comma 10 4 17 5" xfId="2148"/>
    <cellStyle name="Comma 10 4 18" xfId="2149"/>
    <cellStyle name="Comma 10 4 19" xfId="2150"/>
    <cellStyle name="Comma 10 4 2" xfId="2151"/>
    <cellStyle name="Comma 10 4 2 2" xfId="2152"/>
    <cellStyle name="Comma 10 4 2 3" xfId="2153"/>
    <cellStyle name="Comma 10 4 2 4" xfId="2154"/>
    <cellStyle name="Comma 10 4 2 5" xfId="2155"/>
    <cellStyle name="Comma 10 4 20" xfId="2156"/>
    <cellStyle name="Comma 10 4 21" xfId="2157"/>
    <cellStyle name="Comma 10 4 3" xfId="2158"/>
    <cellStyle name="Comma 10 4 3 2" xfId="2159"/>
    <cellStyle name="Comma 10 4 3 3" xfId="2160"/>
    <cellStyle name="Comma 10 4 3 4" xfId="2161"/>
    <cellStyle name="Comma 10 4 3 5" xfId="2162"/>
    <cellStyle name="Comma 10 4 4" xfId="2163"/>
    <cellStyle name="Comma 10 4 4 2" xfId="2164"/>
    <cellStyle name="Comma 10 4 4 3" xfId="2165"/>
    <cellStyle name="Comma 10 4 4 4" xfId="2166"/>
    <cellStyle name="Comma 10 4 4 5" xfId="2167"/>
    <cellStyle name="Comma 10 4 5" xfId="2168"/>
    <cellStyle name="Comma 10 4 5 2" xfId="2169"/>
    <cellStyle name="Comma 10 4 5 3" xfId="2170"/>
    <cellStyle name="Comma 10 4 5 4" xfId="2171"/>
    <cellStyle name="Comma 10 4 5 5" xfId="2172"/>
    <cellStyle name="Comma 10 4 6" xfId="2173"/>
    <cellStyle name="Comma 10 4 6 2" xfId="2174"/>
    <cellStyle name="Comma 10 4 6 3" xfId="2175"/>
    <cellStyle name="Comma 10 4 6 4" xfId="2176"/>
    <cellStyle name="Comma 10 4 6 5" xfId="2177"/>
    <cellStyle name="Comma 10 4 7" xfId="2178"/>
    <cellStyle name="Comma 10 4 7 2" xfId="2179"/>
    <cellStyle name="Comma 10 4 7 3" xfId="2180"/>
    <cellStyle name="Comma 10 4 7 4" xfId="2181"/>
    <cellStyle name="Comma 10 4 7 5" xfId="2182"/>
    <cellStyle name="Comma 10 4 8" xfId="2183"/>
    <cellStyle name="Comma 10 4 8 2" xfId="2184"/>
    <cellStyle name="Comma 10 4 8 3" xfId="2185"/>
    <cellStyle name="Comma 10 4 8 4" xfId="2186"/>
    <cellStyle name="Comma 10 4 8 5" xfId="2187"/>
    <cellStyle name="Comma 10 4 9" xfId="2188"/>
    <cellStyle name="Comma 10 4 9 2" xfId="2189"/>
    <cellStyle name="Comma 10 4 9 3" xfId="2190"/>
    <cellStyle name="Comma 10 4 9 4" xfId="2191"/>
    <cellStyle name="Comma 10 4 9 5" xfId="2192"/>
    <cellStyle name="Comma 10 5" xfId="2193"/>
    <cellStyle name="Comma 10 5 10" xfId="2194"/>
    <cellStyle name="Comma 10 5 10 2" xfId="2195"/>
    <cellStyle name="Comma 10 5 10 3" xfId="2196"/>
    <cellStyle name="Comma 10 5 10 4" xfId="2197"/>
    <cellStyle name="Comma 10 5 10 5" xfId="2198"/>
    <cellStyle name="Comma 10 5 11" xfId="2199"/>
    <cellStyle name="Comma 10 5 11 2" xfId="2200"/>
    <cellStyle name="Comma 10 5 11 3" xfId="2201"/>
    <cellStyle name="Comma 10 5 11 4" xfId="2202"/>
    <cellStyle name="Comma 10 5 11 5" xfId="2203"/>
    <cellStyle name="Comma 10 5 12" xfId="2204"/>
    <cellStyle name="Comma 10 5 12 2" xfId="2205"/>
    <cellStyle name="Comma 10 5 12 3" xfId="2206"/>
    <cellStyle name="Comma 10 5 12 4" xfId="2207"/>
    <cellStyle name="Comma 10 5 12 5" xfId="2208"/>
    <cellStyle name="Comma 10 5 13" xfId="2209"/>
    <cellStyle name="Comma 10 5 13 2" xfId="2210"/>
    <cellStyle name="Comma 10 5 13 3" xfId="2211"/>
    <cellStyle name="Comma 10 5 13 4" xfId="2212"/>
    <cellStyle name="Comma 10 5 13 5" xfId="2213"/>
    <cellStyle name="Comma 10 5 14" xfId="2214"/>
    <cellStyle name="Comma 10 5 14 2" xfId="2215"/>
    <cellStyle name="Comma 10 5 14 3" xfId="2216"/>
    <cellStyle name="Comma 10 5 14 4" xfId="2217"/>
    <cellStyle name="Comma 10 5 14 5" xfId="2218"/>
    <cellStyle name="Comma 10 5 15" xfId="2219"/>
    <cellStyle name="Comma 10 5 15 2" xfId="2220"/>
    <cellStyle name="Comma 10 5 15 3" xfId="2221"/>
    <cellStyle name="Comma 10 5 15 4" xfId="2222"/>
    <cellStyle name="Comma 10 5 15 5" xfId="2223"/>
    <cellStyle name="Comma 10 5 16" xfId="2224"/>
    <cellStyle name="Comma 10 5 16 2" xfId="2225"/>
    <cellStyle name="Comma 10 5 16 3" xfId="2226"/>
    <cellStyle name="Comma 10 5 16 4" xfId="2227"/>
    <cellStyle name="Comma 10 5 16 5" xfId="2228"/>
    <cellStyle name="Comma 10 5 17" xfId="2229"/>
    <cellStyle name="Comma 10 5 17 2" xfId="2230"/>
    <cellStyle name="Comma 10 5 17 3" xfId="2231"/>
    <cellStyle name="Comma 10 5 17 4" xfId="2232"/>
    <cellStyle name="Comma 10 5 17 5" xfId="2233"/>
    <cellStyle name="Comma 10 5 18" xfId="2234"/>
    <cellStyle name="Comma 10 5 19" xfId="2235"/>
    <cellStyle name="Comma 10 5 2" xfId="2236"/>
    <cellStyle name="Comma 10 5 2 2" xfId="2237"/>
    <cellStyle name="Comma 10 5 2 3" xfId="2238"/>
    <cellStyle name="Comma 10 5 2 4" xfId="2239"/>
    <cellStyle name="Comma 10 5 2 5" xfId="2240"/>
    <cellStyle name="Comma 10 5 20" xfId="2241"/>
    <cellStyle name="Comma 10 5 21" xfId="2242"/>
    <cellStyle name="Comma 10 5 3" xfId="2243"/>
    <cellStyle name="Comma 10 5 3 2" xfId="2244"/>
    <cellStyle name="Comma 10 5 3 3" xfId="2245"/>
    <cellStyle name="Comma 10 5 3 4" xfId="2246"/>
    <cellStyle name="Comma 10 5 3 5" xfId="2247"/>
    <cellStyle name="Comma 10 5 4" xfId="2248"/>
    <cellStyle name="Comma 10 5 4 2" xfId="2249"/>
    <cellStyle name="Comma 10 5 4 3" xfId="2250"/>
    <cellStyle name="Comma 10 5 4 4" xfId="2251"/>
    <cellStyle name="Comma 10 5 4 5" xfId="2252"/>
    <cellStyle name="Comma 10 5 5" xfId="2253"/>
    <cellStyle name="Comma 10 5 5 2" xfId="2254"/>
    <cellStyle name="Comma 10 5 5 3" xfId="2255"/>
    <cellStyle name="Comma 10 5 5 4" xfId="2256"/>
    <cellStyle name="Comma 10 5 5 5" xfId="2257"/>
    <cellStyle name="Comma 10 5 6" xfId="2258"/>
    <cellStyle name="Comma 10 5 6 2" xfId="2259"/>
    <cellStyle name="Comma 10 5 6 3" xfId="2260"/>
    <cellStyle name="Comma 10 5 6 4" xfId="2261"/>
    <cellStyle name="Comma 10 5 6 5" xfId="2262"/>
    <cellStyle name="Comma 10 5 7" xfId="2263"/>
    <cellStyle name="Comma 10 5 7 2" xfId="2264"/>
    <cellStyle name="Comma 10 5 7 3" xfId="2265"/>
    <cellStyle name="Comma 10 5 7 4" xfId="2266"/>
    <cellStyle name="Comma 10 5 7 5" xfId="2267"/>
    <cellStyle name="Comma 10 5 8" xfId="2268"/>
    <cellStyle name="Comma 10 5 8 2" xfId="2269"/>
    <cellStyle name="Comma 10 5 8 3" xfId="2270"/>
    <cellStyle name="Comma 10 5 8 4" xfId="2271"/>
    <cellStyle name="Comma 10 5 8 5" xfId="2272"/>
    <cellStyle name="Comma 10 5 9" xfId="2273"/>
    <cellStyle name="Comma 10 5 9 2" xfId="2274"/>
    <cellStyle name="Comma 10 5 9 3" xfId="2275"/>
    <cellStyle name="Comma 10 5 9 4" xfId="2276"/>
    <cellStyle name="Comma 10 5 9 5" xfId="2277"/>
    <cellStyle name="Comma 10 6" xfId="2278"/>
    <cellStyle name="Comma 10 6 10" xfId="2279"/>
    <cellStyle name="Comma 10 6 10 2" xfId="2280"/>
    <cellStyle name="Comma 10 6 10 3" xfId="2281"/>
    <cellStyle name="Comma 10 6 10 4" xfId="2282"/>
    <cellStyle name="Comma 10 6 10 5" xfId="2283"/>
    <cellStyle name="Comma 10 6 11" xfId="2284"/>
    <cellStyle name="Comma 10 6 11 2" xfId="2285"/>
    <cellStyle name="Comma 10 6 11 3" xfId="2286"/>
    <cellStyle name="Comma 10 6 11 4" xfId="2287"/>
    <cellStyle name="Comma 10 6 11 5" xfId="2288"/>
    <cellStyle name="Comma 10 6 12" xfId="2289"/>
    <cellStyle name="Comma 10 6 12 2" xfId="2290"/>
    <cellStyle name="Comma 10 6 12 3" xfId="2291"/>
    <cellStyle name="Comma 10 6 12 4" xfId="2292"/>
    <cellStyle name="Comma 10 6 12 5" xfId="2293"/>
    <cellStyle name="Comma 10 6 13" xfId="2294"/>
    <cellStyle name="Comma 10 6 13 2" xfId="2295"/>
    <cellStyle name="Comma 10 6 13 3" xfId="2296"/>
    <cellStyle name="Comma 10 6 13 4" xfId="2297"/>
    <cellStyle name="Comma 10 6 13 5" xfId="2298"/>
    <cellStyle name="Comma 10 6 14" xfId="2299"/>
    <cellStyle name="Comma 10 6 14 2" xfId="2300"/>
    <cellStyle name="Comma 10 6 14 3" xfId="2301"/>
    <cellStyle name="Comma 10 6 14 4" xfId="2302"/>
    <cellStyle name="Comma 10 6 14 5" xfId="2303"/>
    <cellStyle name="Comma 10 6 15" xfId="2304"/>
    <cellStyle name="Comma 10 6 15 2" xfId="2305"/>
    <cellStyle name="Comma 10 6 15 3" xfId="2306"/>
    <cellStyle name="Comma 10 6 15 4" xfId="2307"/>
    <cellStyle name="Comma 10 6 15 5" xfId="2308"/>
    <cellStyle name="Comma 10 6 16" xfId="2309"/>
    <cellStyle name="Comma 10 6 16 2" xfId="2310"/>
    <cellStyle name="Comma 10 6 16 3" xfId="2311"/>
    <cellStyle name="Comma 10 6 16 4" xfId="2312"/>
    <cellStyle name="Comma 10 6 16 5" xfId="2313"/>
    <cellStyle name="Comma 10 6 17" xfId="2314"/>
    <cellStyle name="Comma 10 6 17 2" xfId="2315"/>
    <cellStyle name="Comma 10 6 17 3" xfId="2316"/>
    <cellStyle name="Comma 10 6 17 4" xfId="2317"/>
    <cellStyle name="Comma 10 6 17 5" xfId="2318"/>
    <cellStyle name="Comma 10 6 18" xfId="2319"/>
    <cellStyle name="Comma 10 6 19" xfId="2320"/>
    <cellStyle name="Comma 10 6 2" xfId="2321"/>
    <cellStyle name="Comma 10 6 2 2" xfId="2322"/>
    <cellStyle name="Comma 10 6 2 3" xfId="2323"/>
    <cellStyle name="Comma 10 6 2 4" xfId="2324"/>
    <cellStyle name="Comma 10 6 2 5" xfId="2325"/>
    <cellStyle name="Comma 10 6 20" xfId="2326"/>
    <cellStyle name="Comma 10 6 21" xfId="2327"/>
    <cellStyle name="Comma 10 6 3" xfId="2328"/>
    <cellStyle name="Comma 10 6 3 2" xfId="2329"/>
    <cellStyle name="Comma 10 6 3 3" xfId="2330"/>
    <cellStyle name="Comma 10 6 3 4" xfId="2331"/>
    <cellStyle name="Comma 10 6 3 5" xfId="2332"/>
    <cellStyle name="Comma 10 6 4" xfId="2333"/>
    <cellStyle name="Comma 10 6 4 2" xfId="2334"/>
    <cellStyle name="Comma 10 6 4 3" xfId="2335"/>
    <cellStyle name="Comma 10 6 4 4" xfId="2336"/>
    <cellStyle name="Comma 10 6 4 5" xfId="2337"/>
    <cellStyle name="Comma 10 6 5" xfId="2338"/>
    <cellStyle name="Comma 10 6 5 2" xfId="2339"/>
    <cellStyle name="Comma 10 6 5 3" xfId="2340"/>
    <cellStyle name="Comma 10 6 5 4" xfId="2341"/>
    <cellStyle name="Comma 10 6 5 5" xfId="2342"/>
    <cellStyle name="Comma 10 6 6" xfId="2343"/>
    <cellStyle name="Comma 10 6 6 2" xfId="2344"/>
    <cellStyle name="Comma 10 6 6 3" xfId="2345"/>
    <cellStyle name="Comma 10 6 6 4" xfId="2346"/>
    <cellStyle name="Comma 10 6 6 5" xfId="2347"/>
    <cellStyle name="Comma 10 6 7" xfId="2348"/>
    <cellStyle name="Comma 10 6 7 2" xfId="2349"/>
    <cellStyle name="Comma 10 6 7 3" xfId="2350"/>
    <cellStyle name="Comma 10 6 7 4" xfId="2351"/>
    <cellStyle name="Comma 10 6 7 5" xfId="2352"/>
    <cellStyle name="Comma 10 6 8" xfId="2353"/>
    <cellStyle name="Comma 10 6 8 2" xfId="2354"/>
    <cellStyle name="Comma 10 6 8 3" xfId="2355"/>
    <cellStyle name="Comma 10 6 8 4" xfId="2356"/>
    <cellStyle name="Comma 10 6 8 5" xfId="2357"/>
    <cellStyle name="Comma 10 6 9" xfId="2358"/>
    <cellStyle name="Comma 10 6 9 2" xfId="2359"/>
    <cellStyle name="Comma 10 6 9 3" xfId="2360"/>
    <cellStyle name="Comma 10 6 9 4" xfId="2361"/>
    <cellStyle name="Comma 10 6 9 5" xfId="2362"/>
    <cellStyle name="Comma 10 7" xfId="2363"/>
    <cellStyle name="Comma 10 7 10" xfId="2364"/>
    <cellStyle name="Comma 10 7 10 2" xfId="2365"/>
    <cellStyle name="Comma 10 7 10 3" xfId="2366"/>
    <cellStyle name="Comma 10 7 10 4" xfId="2367"/>
    <cellStyle name="Comma 10 7 10 5" xfId="2368"/>
    <cellStyle name="Comma 10 7 11" xfId="2369"/>
    <cellStyle name="Comma 10 7 11 2" xfId="2370"/>
    <cellStyle name="Comma 10 7 11 3" xfId="2371"/>
    <cellStyle name="Comma 10 7 11 4" xfId="2372"/>
    <cellStyle name="Comma 10 7 11 5" xfId="2373"/>
    <cellStyle name="Comma 10 7 12" xfId="2374"/>
    <cellStyle name="Comma 10 7 12 2" xfId="2375"/>
    <cellStyle name="Comma 10 7 12 3" xfId="2376"/>
    <cellStyle name="Comma 10 7 12 4" xfId="2377"/>
    <cellStyle name="Comma 10 7 12 5" xfId="2378"/>
    <cellStyle name="Comma 10 7 13" xfId="2379"/>
    <cellStyle name="Comma 10 7 13 2" xfId="2380"/>
    <cellStyle name="Comma 10 7 13 3" xfId="2381"/>
    <cellStyle name="Comma 10 7 13 4" xfId="2382"/>
    <cellStyle name="Comma 10 7 13 5" xfId="2383"/>
    <cellStyle name="Comma 10 7 14" xfId="2384"/>
    <cellStyle name="Comma 10 7 14 2" xfId="2385"/>
    <cellStyle name="Comma 10 7 14 3" xfId="2386"/>
    <cellStyle name="Comma 10 7 14 4" xfId="2387"/>
    <cellStyle name="Comma 10 7 14 5" xfId="2388"/>
    <cellStyle name="Comma 10 7 15" xfId="2389"/>
    <cellStyle name="Comma 10 7 15 2" xfId="2390"/>
    <cellStyle name="Comma 10 7 15 3" xfId="2391"/>
    <cellStyle name="Comma 10 7 15 4" xfId="2392"/>
    <cellStyle name="Comma 10 7 15 5" xfId="2393"/>
    <cellStyle name="Comma 10 7 16" xfId="2394"/>
    <cellStyle name="Comma 10 7 16 2" xfId="2395"/>
    <cellStyle name="Comma 10 7 16 3" xfId="2396"/>
    <cellStyle name="Comma 10 7 16 4" xfId="2397"/>
    <cellStyle name="Comma 10 7 16 5" xfId="2398"/>
    <cellStyle name="Comma 10 7 17" xfId="2399"/>
    <cellStyle name="Comma 10 7 17 2" xfId="2400"/>
    <cellStyle name="Comma 10 7 17 3" xfId="2401"/>
    <cellStyle name="Comma 10 7 17 4" xfId="2402"/>
    <cellStyle name="Comma 10 7 17 5" xfId="2403"/>
    <cellStyle name="Comma 10 7 18" xfId="2404"/>
    <cellStyle name="Comma 10 7 19" xfId="2405"/>
    <cellStyle name="Comma 10 7 2" xfId="2406"/>
    <cellStyle name="Comma 10 7 2 2" xfId="2407"/>
    <cellStyle name="Comma 10 7 2 3" xfId="2408"/>
    <cellStyle name="Comma 10 7 2 4" xfId="2409"/>
    <cellStyle name="Comma 10 7 2 5" xfId="2410"/>
    <cellStyle name="Comma 10 7 20" xfId="2411"/>
    <cellStyle name="Comma 10 7 21" xfId="2412"/>
    <cellStyle name="Comma 10 7 3" xfId="2413"/>
    <cellStyle name="Comma 10 7 3 2" xfId="2414"/>
    <cellStyle name="Comma 10 7 3 3" xfId="2415"/>
    <cellStyle name="Comma 10 7 3 4" xfId="2416"/>
    <cellStyle name="Comma 10 7 3 5" xfId="2417"/>
    <cellStyle name="Comma 10 7 4" xfId="2418"/>
    <cellStyle name="Comma 10 7 4 2" xfId="2419"/>
    <cellStyle name="Comma 10 7 4 3" xfId="2420"/>
    <cellStyle name="Comma 10 7 4 4" xfId="2421"/>
    <cellStyle name="Comma 10 7 4 5" xfId="2422"/>
    <cellStyle name="Comma 10 7 5" xfId="2423"/>
    <cellStyle name="Comma 10 7 5 2" xfId="2424"/>
    <cellStyle name="Comma 10 7 5 3" xfId="2425"/>
    <cellStyle name="Comma 10 7 5 4" xfId="2426"/>
    <cellStyle name="Comma 10 7 5 5" xfId="2427"/>
    <cellStyle name="Comma 10 7 6" xfId="2428"/>
    <cellStyle name="Comma 10 7 6 2" xfId="2429"/>
    <cellStyle name="Comma 10 7 6 3" xfId="2430"/>
    <cellStyle name="Comma 10 7 6 4" xfId="2431"/>
    <cellStyle name="Comma 10 7 6 5" xfId="2432"/>
    <cellStyle name="Comma 10 7 7" xfId="2433"/>
    <cellStyle name="Comma 10 7 7 2" xfId="2434"/>
    <cellStyle name="Comma 10 7 7 3" xfId="2435"/>
    <cellStyle name="Comma 10 7 7 4" xfId="2436"/>
    <cellStyle name="Comma 10 7 7 5" xfId="2437"/>
    <cellStyle name="Comma 10 7 8" xfId="2438"/>
    <cellStyle name="Comma 10 7 8 2" xfId="2439"/>
    <cellStyle name="Comma 10 7 8 3" xfId="2440"/>
    <cellStyle name="Comma 10 7 8 4" xfId="2441"/>
    <cellStyle name="Comma 10 7 8 5" xfId="2442"/>
    <cellStyle name="Comma 10 7 9" xfId="2443"/>
    <cellStyle name="Comma 10 7 9 2" xfId="2444"/>
    <cellStyle name="Comma 10 7 9 3" xfId="2445"/>
    <cellStyle name="Comma 10 7 9 4" xfId="2446"/>
    <cellStyle name="Comma 10 7 9 5" xfId="2447"/>
    <cellStyle name="Comma 10 8" xfId="2448"/>
    <cellStyle name="Comma 10 8 10" xfId="2449"/>
    <cellStyle name="Comma 10 8 10 2" xfId="2450"/>
    <cellStyle name="Comma 10 8 10 3" xfId="2451"/>
    <cellStyle name="Comma 10 8 10 4" xfId="2452"/>
    <cellStyle name="Comma 10 8 10 5" xfId="2453"/>
    <cellStyle name="Comma 10 8 11" xfId="2454"/>
    <cellStyle name="Comma 10 8 11 2" xfId="2455"/>
    <cellStyle name="Comma 10 8 11 3" xfId="2456"/>
    <cellStyle name="Comma 10 8 11 4" xfId="2457"/>
    <cellStyle name="Comma 10 8 11 5" xfId="2458"/>
    <cellStyle name="Comma 10 8 12" xfId="2459"/>
    <cellStyle name="Comma 10 8 12 2" xfId="2460"/>
    <cellStyle name="Comma 10 8 12 3" xfId="2461"/>
    <cellStyle name="Comma 10 8 12 4" xfId="2462"/>
    <cellStyle name="Comma 10 8 12 5" xfId="2463"/>
    <cellStyle name="Comma 10 8 13" xfId="2464"/>
    <cellStyle name="Comma 10 8 13 2" xfId="2465"/>
    <cellStyle name="Comma 10 8 13 3" xfId="2466"/>
    <cellStyle name="Comma 10 8 13 4" xfId="2467"/>
    <cellStyle name="Comma 10 8 13 5" xfId="2468"/>
    <cellStyle name="Comma 10 8 14" xfId="2469"/>
    <cellStyle name="Comma 10 8 14 2" xfId="2470"/>
    <cellStyle name="Comma 10 8 14 3" xfId="2471"/>
    <cellStyle name="Comma 10 8 14 4" xfId="2472"/>
    <cellStyle name="Comma 10 8 14 5" xfId="2473"/>
    <cellStyle name="Comma 10 8 15" xfId="2474"/>
    <cellStyle name="Comma 10 8 15 2" xfId="2475"/>
    <cellStyle name="Comma 10 8 15 3" xfId="2476"/>
    <cellStyle name="Comma 10 8 15 4" xfId="2477"/>
    <cellStyle name="Comma 10 8 15 5" xfId="2478"/>
    <cellStyle name="Comma 10 8 16" xfId="2479"/>
    <cellStyle name="Comma 10 8 16 2" xfId="2480"/>
    <cellStyle name="Comma 10 8 16 3" xfId="2481"/>
    <cellStyle name="Comma 10 8 16 4" xfId="2482"/>
    <cellStyle name="Comma 10 8 16 5" xfId="2483"/>
    <cellStyle name="Comma 10 8 17" xfId="2484"/>
    <cellStyle name="Comma 10 8 17 2" xfId="2485"/>
    <cellStyle name="Comma 10 8 17 3" xfId="2486"/>
    <cellStyle name="Comma 10 8 17 4" xfId="2487"/>
    <cellStyle name="Comma 10 8 17 5" xfId="2488"/>
    <cellStyle name="Comma 10 8 18" xfId="2489"/>
    <cellStyle name="Comma 10 8 19" xfId="2490"/>
    <cellStyle name="Comma 10 8 2" xfId="2491"/>
    <cellStyle name="Comma 10 8 2 2" xfId="2492"/>
    <cellStyle name="Comma 10 8 2 3" xfId="2493"/>
    <cellStyle name="Comma 10 8 2 4" xfId="2494"/>
    <cellStyle name="Comma 10 8 2 5" xfId="2495"/>
    <cellStyle name="Comma 10 8 20" xfId="2496"/>
    <cellStyle name="Comma 10 8 21" xfId="2497"/>
    <cellStyle name="Comma 10 8 3" xfId="2498"/>
    <cellStyle name="Comma 10 8 3 2" xfId="2499"/>
    <cellStyle name="Comma 10 8 3 3" xfId="2500"/>
    <cellStyle name="Comma 10 8 3 4" xfId="2501"/>
    <cellStyle name="Comma 10 8 3 5" xfId="2502"/>
    <cellStyle name="Comma 10 8 4" xfId="2503"/>
    <cellStyle name="Comma 10 8 4 2" xfId="2504"/>
    <cellStyle name="Comma 10 8 4 3" xfId="2505"/>
    <cellStyle name="Comma 10 8 4 4" xfId="2506"/>
    <cellStyle name="Comma 10 8 4 5" xfId="2507"/>
    <cellStyle name="Comma 10 8 5" xfId="2508"/>
    <cellStyle name="Comma 10 8 5 2" xfId="2509"/>
    <cellStyle name="Comma 10 8 5 3" xfId="2510"/>
    <cellStyle name="Comma 10 8 5 4" xfId="2511"/>
    <cellStyle name="Comma 10 8 5 5" xfId="2512"/>
    <cellStyle name="Comma 10 8 6" xfId="2513"/>
    <cellStyle name="Comma 10 8 6 2" xfId="2514"/>
    <cellStyle name="Comma 10 8 6 3" xfId="2515"/>
    <cellStyle name="Comma 10 8 6 4" xfId="2516"/>
    <cellStyle name="Comma 10 8 6 5" xfId="2517"/>
    <cellStyle name="Comma 10 8 7" xfId="2518"/>
    <cellStyle name="Comma 10 8 7 2" xfId="2519"/>
    <cellStyle name="Comma 10 8 7 3" xfId="2520"/>
    <cellStyle name="Comma 10 8 7 4" xfId="2521"/>
    <cellStyle name="Comma 10 8 7 5" xfId="2522"/>
    <cellStyle name="Comma 10 8 8" xfId="2523"/>
    <cellStyle name="Comma 10 8 8 2" xfId="2524"/>
    <cellStyle name="Comma 10 8 8 3" xfId="2525"/>
    <cellStyle name="Comma 10 8 8 4" xfId="2526"/>
    <cellStyle name="Comma 10 8 8 5" xfId="2527"/>
    <cellStyle name="Comma 10 8 9" xfId="2528"/>
    <cellStyle name="Comma 10 8 9 2" xfId="2529"/>
    <cellStyle name="Comma 10 8 9 3" xfId="2530"/>
    <cellStyle name="Comma 10 8 9 4" xfId="2531"/>
    <cellStyle name="Comma 10 8 9 5" xfId="2532"/>
    <cellStyle name="Comma 10 9" xfId="2533"/>
    <cellStyle name="Comma 11" xfId="2534"/>
    <cellStyle name="Comma 11 2" xfId="2535"/>
    <cellStyle name="Comma 11 2 2" xfId="2536"/>
    <cellStyle name="Comma 11 2 3" xfId="2537"/>
    <cellStyle name="Comma 11 3" xfId="2538"/>
    <cellStyle name="Comma 11 4" xfId="2539"/>
    <cellStyle name="Comma 12" xfId="2540"/>
    <cellStyle name="Comma 12 2" xfId="2541"/>
    <cellStyle name="Comma 12 2 2" xfId="2542"/>
    <cellStyle name="Comma 12 2 3" xfId="2543"/>
    <cellStyle name="Comma 12 3" xfId="2544"/>
    <cellStyle name="Comma 12 4" xfId="2545"/>
    <cellStyle name="Comma 13" xfId="2546"/>
    <cellStyle name="Comma 13 2" xfId="2547"/>
    <cellStyle name="Comma 13 2 2" xfId="2548"/>
    <cellStyle name="Comma 13 2 3" xfId="2549"/>
    <cellStyle name="Comma 13 3" xfId="2550"/>
    <cellStyle name="Comma 13 4" xfId="2551"/>
    <cellStyle name="Comma 14" xfId="2552"/>
    <cellStyle name="Comma 14 2" xfId="2553"/>
    <cellStyle name="Comma 14 2 2" xfId="2554"/>
    <cellStyle name="Comma 14 2 3" xfId="2555"/>
    <cellStyle name="Comma 14 3" xfId="2556"/>
    <cellStyle name="Comma 14 4" xfId="2557"/>
    <cellStyle name="Comma 14 5" xfId="2558"/>
    <cellStyle name="Comma 15" xfId="2559"/>
    <cellStyle name="Comma 15 2" xfId="2560"/>
    <cellStyle name="Comma 15 2 2" xfId="2561"/>
    <cellStyle name="Comma 15 2 3" xfId="2562"/>
    <cellStyle name="Comma 15 3" xfId="2563"/>
    <cellStyle name="Comma 15 4" xfId="2564"/>
    <cellStyle name="Comma 16" xfId="2565"/>
    <cellStyle name="Comma 16 2" xfId="2566"/>
    <cellStyle name="Comma 16 2 2" xfId="2567"/>
    <cellStyle name="Comma 16 2 3" xfId="2568"/>
    <cellStyle name="Comma 16 3" xfId="2569"/>
    <cellStyle name="Comma 16 4" xfId="2570"/>
    <cellStyle name="Comma 17" xfId="2571"/>
    <cellStyle name="Comma 17 2" xfId="2572"/>
    <cellStyle name="Comma 17 2 2" xfId="2573"/>
    <cellStyle name="Comma 17 2 3" xfId="2574"/>
    <cellStyle name="Comma 17 3" xfId="2575"/>
    <cellStyle name="Comma 17 4" xfId="2576"/>
    <cellStyle name="Comma 18" xfId="2577"/>
    <cellStyle name="Comma 18 2" xfId="2578"/>
    <cellStyle name="Comma 18 2 2" xfId="2579"/>
    <cellStyle name="Comma 18 2 3" xfId="2580"/>
    <cellStyle name="Comma 18 3" xfId="2581"/>
    <cellStyle name="Comma 18 4" xfId="2582"/>
    <cellStyle name="Comma 19" xfId="2583"/>
    <cellStyle name="Comma 19 2" xfId="2584"/>
    <cellStyle name="Comma 19 2 2" xfId="2585"/>
    <cellStyle name="Comma 19 2 3" xfId="2586"/>
    <cellStyle name="Comma 19 3" xfId="2587"/>
    <cellStyle name="Comma 19 4" xfId="2588"/>
    <cellStyle name="Comma 2" xfId="2589"/>
    <cellStyle name="Comma 2 10" xfId="2590"/>
    <cellStyle name="Comma 2 10 2" xfId="2591"/>
    <cellStyle name="Comma 2 10 3" xfId="2592"/>
    <cellStyle name="Comma 2 10 3 2" xfId="2593"/>
    <cellStyle name="Comma 2 10 3 3" xfId="2594"/>
    <cellStyle name="Comma 2 11" xfId="2595"/>
    <cellStyle name="Comma 2 11 2" xfId="2596"/>
    <cellStyle name="Comma 2 11 3" xfId="2597"/>
    <cellStyle name="Comma 2 11 3 2" xfId="2598"/>
    <cellStyle name="Comma 2 11 3 3" xfId="2599"/>
    <cellStyle name="Comma 2 12" xfId="2600"/>
    <cellStyle name="Comma 2 12 2" xfId="2601"/>
    <cellStyle name="Comma 2 12 3" xfId="2602"/>
    <cellStyle name="Comma 2 12 3 2" xfId="2603"/>
    <cellStyle name="Comma 2 12 3 3" xfId="2604"/>
    <cellStyle name="Comma 2 13" xfId="2605"/>
    <cellStyle name="Comma 2 13 2" xfId="2606"/>
    <cellStyle name="Comma 2 13 3" xfId="2607"/>
    <cellStyle name="Comma 2 13 3 2" xfId="2608"/>
    <cellStyle name="Comma 2 13 3 3" xfId="2609"/>
    <cellStyle name="Comma 2 14" xfId="2610"/>
    <cellStyle name="Comma 2 15" xfId="2611"/>
    <cellStyle name="Comma 2 16" xfId="2612"/>
    <cellStyle name="Comma 2 17" xfId="2613"/>
    <cellStyle name="Comma 2 17 2" xfId="2614"/>
    <cellStyle name="Comma 2 17 2 2" xfId="2615"/>
    <cellStyle name="Comma 2 17 2 3" xfId="2616"/>
    <cellStyle name="Comma 2 17 3" xfId="2617"/>
    <cellStyle name="Comma 2 17 4" xfId="2618"/>
    <cellStyle name="Comma 2 18" xfId="2619"/>
    <cellStyle name="Comma 2 18 2" xfId="2620"/>
    <cellStyle name="Comma 2 18 2 2" xfId="2621"/>
    <cellStyle name="Comma 2 18 2 3" xfId="2622"/>
    <cellStyle name="Comma 2 18 3" xfId="2623"/>
    <cellStyle name="Comma 2 18 4" xfId="2624"/>
    <cellStyle name="Comma 2 19" xfId="2625"/>
    <cellStyle name="Comma 2 19 2" xfId="2626"/>
    <cellStyle name="Comma 2 19 2 2" xfId="2627"/>
    <cellStyle name="Comma 2 19 2 2 2" xfId="2628"/>
    <cellStyle name="Comma 2 19 2 2 3" xfId="2629"/>
    <cellStyle name="Comma 2 19 2 3" xfId="2630"/>
    <cellStyle name="Comma 2 19 2 4" xfId="2631"/>
    <cellStyle name="Comma 2 19 3" xfId="2632"/>
    <cellStyle name="Comma 2 19 3 2" xfId="2633"/>
    <cellStyle name="Comma 2 19 3 3" xfId="2634"/>
    <cellStyle name="Comma 2 19 4" xfId="2635"/>
    <cellStyle name="Comma 2 19 5" xfId="2636"/>
    <cellStyle name="Comma 2 2" xfId="2637"/>
    <cellStyle name="Comma 2 2 10" xfId="2638"/>
    <cellStyle name="Comma 2 2 2" xfId="2639"/>
    <cellStyle name="Comma 2 2 2 10" xfId="2640"/>
    <cellStyle name="Comma 2 2 2 2" xfId="2641"/>
    <cellStyle name="Comma 2 2 2 2 2" xfId="2642"/>
    <cellStyle name="Comma 2 2 2 2 2 2" xfId="2643"/>
    <cellStyle name="Comma 2 2 2 2 3" xfId="2644"/>
    <cellStyle name="Comma 2 2 2 2 4" xfId="2645"/>
    <cellStyle name="Comma 2 2 2 3" xfId="2646"/>
    <cellStyle name="Comma 2 2 2 3 2" xfId="2647"/>
    <cellStyle name="Comma 2 2 2 3 3" xfId="2648"/>
    <cellStyle name="Comma 2 2 2 4" xfId="2649"/>
    <cellStyle name="Comma 2 2 2 4 2" xfId="2650"/>
    <cellStyle name="Comma 2 2 2 4 2 2" xfId="2651"/>
    <cellStyle name="Comma 2 2 2 4 2 3" xfId="2652"/>
    <cellStyle name="Comma 2 2 2 4 3" xfId="2653"/>
    <cellStyle name="Comma 2 2 2 4 3 2" xfId="2654"/>
    <cellStyle name="Comma 2 2 2 4 3 3" xfId="2655"/>
    <cellStyle name="Comma 2 2 2 4 4" xfId="2656"/>
    <cellStyle name="Comma 2 2 2 4 5" xfId="2657"/>
    <cellStyle name="Comma 2 2 2 5" xfId="2658"/>
    <cellStyle name="Comma 2 2 2 5 2" xfId="2659"/>
    <cellStyle name="Comma 2 2 2 5 3" xfId="2660"/>
    <cellStyle name="Comma 2 2 2 6" xfId="2661"/>
    <cellStyle name="Comma 2 2 2 7" xfId="2662"/>
    <cellStyle name="Comma 2 2 2 7 2" xfId="2663"/>
    <cellStyle name="Comma 2 2 2 7 3" xfId="2664"/>
    <cellStyle name="Comma 2 2 2 8" xfId="2665"/>
    <cellStyle name="Comma 2 2 2 9" xfId="2666"/>
    <cellStyle name="Comma 2 2 3" xfId="2667"/>
    <cellStyle name="Comma 2 2 3 2" xfId="2668"/>
    <cellStyle name="Comma 2 2 3 2 2" xfId="2669"/>
    <cellStyle name="Comma 2 2 3 2 3" xfId="2670"/>
    <cellStyle name="Comma 2 2 3 3" xfId="2671"/>
    <cellStyle name="Comma 2 2 3 3 2" xfId="2672"/>
    <cellStyle name="Comma 2 2 3 3 3" xfId="2673"/>
    <cellStyle name="Comma 2 2 3 4" xfId="2674"/>
    <cellStyle name="Comma 2 2 3 4 2" xfId="2675"/>
    <cellStyle name="Comma 2 2 3 4 2 2" xfId="2676"/>
    <cellStyle name="Comma 2 2 3 4 2 3" xfId="2677"/>
    <cellStyle name="Comma 2 2 3 4 3" xfId="2678"/>
    <cellStyle name="Comma 2 2 3 4 4" xfId="2679"/>
    <cellStyle name="Comma 2 2 3 5" xfId="2680"/>
    <cellStyle name="Comma 2 2 3 5 2" xfId="2681"/>
    <cellStyle name="Comma 2 2 3 5 3" xfId="2682"/>
    <cellStyle name="Comma 2 2 3 6" xfId="2683"/>
    <cellStyle name="Comma 2 2 3 6 2" xfId="2684"/>
    <cellStyle name="Comma 2 2 3 6 3" xfId="2685"/>
    <cellStyle name="Comma 2 2 3 7" xfId="2686"/>
    <cellStyle name="Comma 2 2 3 8" xfId="2687"/>
    <cellStyle name="Comma 2 2 3 9" xfId="2688"/>
    <cellStyle name="Comma 2 2 4" xfId="2689"/>
    <cellStyle name="Comma 2 2 4 2" xfId="2690"/>
    <cellStyle name="Comma 2 2 4 2 2" xfId="2691"/>
    <cellStyle name="Comma 2 2 4 2 3" xfId="2692"/>
    <cellStyle name="Comma 2 2 4 3" xfId="2693"/>
    <cellStyle name="Comma 2 2 4 4" xfId="2694"/>
    <cellStyle name="Comma 2 2 5" xfId="2695"/>
    <cellStyle name="Comma 2 2 5 2" xfId="2696"/>
    <cellStyle name="Comma 2 2 5 3" xfId="2697"/>
    <cellStyle name="Comma 2 2 6" xfId="2698"/>
    <cellStyle name="Comma 2 2 6 2" xfId="2699"/>
    <cellStyle name="Comma 2 2 6 2 2" xfId="2700"/>
    <cellStyle name="Comma 2 2 6 2 3" xfId="2701"/>
    <cellStyle name="Comma 2 2 6 3" xfId="2702"/>
    <cellStyle name="Comma 2 2 6 3 2" xfId="2703"/>
    <cellStyle name="Comma 2 2 6 3 3" xfId="2704"/>
    <cellStyle name="Comma 2 2 6 4" xfId="2705"/>
    <cellStyle name="Comma 2 2 6 5" xfId="2706"/>
    <cellStyle name="Comma 2 2 7" xfId="2707"/>
    <cellStyle name="Comma 2 2 7 2" xfId="2708"/>
    <cellStyle name="Comma 2 2 7 3" xfId="2709"/>
    <cellStyle name="Comma 2 2 8" xfId="2710"/>
    <cellStyle name="Comma 2 2 9" xfId="2711"/>
    <cellStyle name="Comma 2 20" xfId="2712"/>
    <cellStyle name="Comma 2 20 2" xfId="2713"/>
    <cellStyle name="Comma 2 20 2 2" xfId="2714"/>
    <cellStyle name="Comma 2 20 2 3" xfId="2715"/>
    <cellStyle name="Comma 2 20 3" xfId="2716"/>
    <cellStyle name="Comma 2 20 4" xfId="2717"/>
    <cellStyle name="Comma 2 21" xfId="2718"/>
    <cellStyle name="Comma 2 21 2" xfId="2719"/>
    <cellStyle name="Comma 2 21 2 2" xfId="2720"/>
    <cellStyle name="Comma 2 21 2 3" xfId="2721"/>
    <cellStyle name="Comma 2 21 3" xfId="2722"/>
    <cellStyle name="Comma 2 21 4" xfId="2723"/>
    <cellStyle name="Comma 2 22" xfId="2724"/>
    <cellStyle name="Comma 2 22 2" xfId="2725"/>
    <cellStyle name="Comma 2 22 3" xfId="2726"/>
    <cellStyle name="Comma 2 23" xfId="2727"/>
    <cellStyle name="Comma 2 24" xfId="2728"/>
    <cellStyle name="Comma 2 3" xfId="2729"/>
    <cellStyle name="Comma 2 3 2" xfId="2730"/>
    <cellStyle name="Comma 2 3 2 2" xfId="2731"/>
    <cellStyle name="Comma 2 3 2 2 2" xfId="2732"/>
    <cellStyle name="Comma 2 3 2 2 2 2" xfId="2733"/>
    <cellStyle name="Comma 2 3 2 2 2 3" xfId="2734"/>
    <cellStyle name="Comma 2 3 2 2 3" xfId="2735"/>
    <cellStyle name="Comma 2 3 2 2 3 2" xfId="2736"/>
    <cellStyle name="Comma 2 3 2 2 4" xfId="2737"/>
    <cellStyle name="Comma 2 3 2 2 5" xfId="2738"/>
    <cellStyle name="Comma 2 3 2 3" xfId="2739"/>
    <cellStyle name="Comma 2 3 2 3 2" xfId="2740"/>
    <cellStyle name="Comma 2 3 2 3 3" xfId="2741"/>
    <cellStyle name="Comma 2 3 2 4" xfId="2742"/>
    <cellStyle name="Comma 2 3 2 4 2" xfId="2743"/>
    <cellStyle name="Comma 2 3 2 4 2 2" xfId="2744"/>
    <cellStyle name="Comma 2 3 2 4 2 3" xfId="2745"/>
    <cellStyle name="Comma 2 3 2 4 3" xfId="2746"/>
    <cellStyle name="Comma 2 3 2 4 3 2" xfId="2747"/>
    <cellStyle name="Comma 2 3 2 4 3 3" xfId="2748"/>
    <cellStyle name="Comma 2 3 2 4 4" xfId="2749"/>
    <cellStyle name="Comma 2 3 2 4 4 2" xfId="2750"/>
    <cellStyle name="Comma 2 3 2 4 4 3" xfId="2751"/>
    <cellStyle name="Comma 2 3 2 4 5" xfId="2752"/>
    <cellStyle name="Comma 2 3 2 4 6" xfId="2753"/>
    <cellStyle name="Comma 2 3 2 5" xfId="2754"/>
    <cellStyle name="Comma 2 3 2 5 2" xfId="2755"/>
    <cellStyle name="Comma 2 3 2 5 3" xfId="2756"/>
    <cellStyle name="Comma 2 3 2 6" xfId="2757"/>
    <cellStyle name="Comma 2 3 2 6 2" xfId="2758"/>
    <cellStyle name="Comma 2 3 2 6 3" xfId="2759"/>
    <cellStyle name="Comma 2 3 2 7" xfId="2760"/>
    <cellStyle name="Comma 2 3 2 8" xfId="2761"/>
    <cellStyle name="Comma 2 3 3" xfId="2762"/>
    <cellStyle name="Comma 2 3 3 2" xfId="2763"/>
    <cellStyle name="Comma 2 3 3 2 2" xfId="2764"/>
    <cellStyle name="Comma 2 3 3 2 2 2" xfId="2765"/>
    <cellStyle name="Comma 2 3 3 2 3" xfId="2766"/>
    <cellStyle name="Comma 2 3 3 2 4" xfId="2767"/>
    <cellStyle name="Comma 2 3 3 3" xfId="2768"/>
    <cellStyle name="Comma 2 3 3 3 2" xfId="2769"/>
    <cellStyle name="Comma 2 3 3 3 3" xfId="2770"/>
    <cellStyle name="Comma 2 3 3 4" xfId="2771"/>
    <cellStyle name="Comma 2 3 3 4 2" xfId="2772"/>
    <cellStyle name="Comma 2 3 3 4 2 2" xfId="2773"/>
    <cellStyle name="Comma 2 3 3 4 2 3" xfId="2774"/>
    <cellStyle name="Comma 2 3 3 4 3" xfId="2775"/>
    <cellStyle name="Comma 2 3 3 4 4" xfId="2776"/>
    <cellStyle name="Comma 2 3 3 5" xfId="2777"/>
    <cellStyle name="Comma 2 3 3 5 2" xfId="2778"/>
    <cellStyle name="Comma 2 3 3 5 3" xfId="2779"/>
    <cellStyle name="Comma 2 3 3 6" xfId="2780"/>
    <cellStyle name="Comma 2 3 3 7" xfId="2781"/>
    <cellStyle name="Comma 2 3 4" xfId="2782"/>
    <cellStyle name="Comma 2 3 4 2" xfId="2783"/>
    <cellStyle name="Comma 2 3 4 2 2" xfId="2784"/>
    <cellStyle name="Comma 2 3 4 2 3" xfId="2785"/>
    <cellStyle name="Comma 2 3 4 3" xfId="2786"/>
    <cellStyle name="Comma 2 3 4 4" xfId="2787"/>
    <cellStyle name="Comma 2 3 4 5" xfId="2788"/>
    <cellStyle name="Comma 2 3 5" xfId="2789"/>
    <cellStyle name="Comma 2 3 5 2" xfId="2790"/>
    <cellStyle name="Comma 2 3 5 3" xfId="2791"/>
    <cellStyle name="Comma 2 3 6" xfId="2792"/>
    <cellStyle name="Comma 2 3 6 2" xfId="2793"/>
    <cellStyle name="Comma 2 3 6 2 2" xfId="2794"/>
    <cellStyle name="Comma 2 3 6 2 3" xfId="2795"/>
    <cellStyle name="Comma 2 3 6 3" xfId="2796"/>
    <cellStyle name="Comma 2 3 6 4" xfId="2797"/>
    <cellStyle name="Comma 2 3 7" xfId="2798"/>
    <cellStyle name="Comma 2 3 8" xfId="2799"/>
    <cellStyle name="Comma 2 3 9" xfId="2800"/>
    <cellStyle name="Comma 2 4" xfId="2801"/>
    <cellStyle name="Comma 2 4 2" xfId="2802"/>
    <cellStyle name="Comma 2 4 2 2" xfId="2803"/>
    <cellStyle name="Comma 2 4 2 2 2" xfId="2804"/>
    <cellStyle name="Comma 2 4 2 2 2 2" xfId="2805"/>
    <cellStyle name="Comma 2 4 2 2 3" xfId="2806"/>
    <cellStyle name="Comma 2 4 2 2 4" xfId="2807"/>
    <cellStyle name="Comma 2 4 2 3" xfId="2808"/>
    <cellStyle name="Comma 2 4 2 3 2" xfId="2809"/>
    <cellStyle name="Comma 2 4 2 3 3" xfId="2810"/>
    <cellStyle name="Comma 2 4 2 4" xfId="2811"/>
    <cellStyle name="Comma 2 4 2 5" xfId="2812"/>
    <cellStyle name="Comma 2 4 3" xfId="2813"/>
    <cellStyle name="Comma 2 4 3 2" xfId="2814"/>
    <cellStyle name="Comma 2 4 3 2 2" xfId="2815"/>
    <cellStyle name="Comma 2 4 3 2 2 2" xfId="2816"/>
    <cellStyle name="Comma 2 4 3 2 3" xfId="2817"/>
    <cellStyle name="Comma 2 4 3 2 4" xfId="2818"/>
    <cellStyle name="Comma 2 4 3 3" xfId="2819"/>
    <cellStyle name="Comma 2 4 3 3 2" xfId="2820"/>
    <cellStyle name="Comma 2 4 3 3 3" xfId="2821"/>
    <cellStyle name="Comma 2 4 3 4" xfId="2822"/>
    <cellStyle name="Comma 2 4 3 5" xfId="2823"/>
    <cellStyle name="Comma 2 4 4" xfId="2824"/>
    <cellStyle name="Comma 2 4 4 2" xfId="2825"/>
    <cellStyle name="Comma 2 4 4 2 2" xfId="2826"/>
    <cellStyle name="Comma 2 4 4 2 2 2" xfId="2827"/>
    <cellStyle name="Comma 2 4 4 2 3" xfId="2828"/>
    <cellStyle name="Comma 2 4 4 2 4" xfId="2829"/>
    <cellStyle name="Comma 2 4 4 3" xfId="2830"/>
    <cellStyle name="Comma 2 4 4 3 2" xfId="2831"/>
    <cellStyle name="Comma 2 4 4 3 3" xfId="2832"/>
    <cellStyle name="Comma 2 4 4 4" xfId="2833"/>
    <cellStyle name="Comma 2 4 4 4 2" xfId="2834"/>
    <cellStyle name="Comma 2 4 4 4 3" xfId="2835"/>
    <cellStyle name="Comma 2 4 4 5" xfId="2836"/>
    <cellStyle name="Comma 2 4 4 5 2" xfId="2837"/>
    <cellStyle name="Comma 2 4 4 5 3" xfId="2838"/>
    <cellStyle name="Comma 2 4 4 6" xfId="2839"/>
    <cellStyle name="Comma 2 4 4 7" xfId="2840"/>
    <cellStyle name="Comma 2 4 5" xfId="2841"/>
    <cellStyle name="Comma 2 4 5 2" xfId="2842"/>
    <cellStyle name="Comma 2 4 5 3" xfId="2843"/>
    <cellStyle name="Comma 2 4 5 4" xfId="2844"/>
    <cellStyle name="Comma 2 4 6" xfId="2845"/>
    <cellStyle name="Comma 2 4 7" xfId="2846"/>
    <cellStyle name="Comma 2 4 7 2" xfId="2847"/>
    <cellStyle name="Comma 2 4 7 3" xfId="2848"/>
    <cellStyle name="Comma 2 4 8" xfId="2849"/>
    <cellStyle name="Comma 2 4 9" xfId="2850"/>
    <cellStyle name="Comma 2 5" xfId="2851"/>
    <cellStyle name="Comma 2 5 2" xfId="2852"/>
    <cellStyle name="Comma 2 5 2 2" xfId="2853"/>
    <cellStyle name="Comma 2 5 2 2 2" xfId="2854"/>
    <cellStyle name="Comma 2 5 2 2 3" xfId="2855"/>
    <cellStyle name="Comma 2 5 2 3" xfId="2856"/>
    <cellStyle name="Comma 2 5 2 4" xfId="2857"/>
    <cellStyle name="Comma 2 5 3" xfId="2858"/>
    <cellStyle name="Comma 2 5 3 2" xfId="2859"/>
    <cellStyle name="Comma 2 5 3 3" xfId="2860"/>
    <cellStyle name="Comma 2 5 4" xfId="2861"/>
    <cellStyle name="Comma 2 5 4 2" xfId="2862"/>
    <cellStyle name="Comma 2 5 4 2 2" xfId="2863"/>
    <cellStyle name="Comma 2 5 4 2 3" xfId="2864"/>
    <cellStyle name="Comma 2 5 4 3" xfId="2865"/>
    <cellStyle name="Comma 2 5 4 4" xfId="2866"/>
    <cellStyle name="Comma 2 5 5" xfId="2867"/>
    <cellStyle name="Comma 2 5 6" xfId="2868"/>
    <cellStyle name="Comma 2 5 6 2" xfId="2869"/>
    <cellStyle name="Comma 2 5 6 3" xfId="2870"/>
    <cellStyle name="Comma 2 5 7" xfId="2871"/>
    <cellStyle name="Comma 2 5 8" xfId="2872"/>
    <cellStyle name="Comma 2 6" xfId="2873"/>
    <cellStyle name="Comma 2 6 2" xfId="2874"/>
    <cellStyle name="Comma 2 6 2 2" xfId="2875"/>
    <cellStyle name="Comma 2 6 2 2 2" xfId="2876"/>
    <cellStyle name="Comma 2 6 2 2 3" xfId="2877"/>
    <cellStyle name="Comma 2 6 2 3" xfId="2878"/>
    <cellStyle name="Comma 2 6 2 3 2" xfId="2879"/>
    <cellStyle name="Comma 2 6 2 3 3" xfId="2880"/>
    <cellStyle name="Comma 2 6 2 4" xfId="2881"/>
    <cellStyle name="Comma 2 6 2 5" xfId="2882"/>
    <cellStyle name="Comma 2 6 3" xfId="2883"/>
    <cellStyle name="Comma 2 6 4" xfId="2884"/>
    <cellStyle name="Comma 2 6 4 2" xfId="2885"/>
    <cellStyle name="Comma 2 6 4 3" xfId="2886"/>
    <cellStyle name="Comma 2 6 5" xfId="2887"/>
    <cellStyle name="Comma 2 6 6" xfId="2888"/>
    <cellStyle name="Comma 2 7" xfId="2889"/>
    <cellStyle name="Comma 2 7 2" xfId="2890"/>
    <cellStyle name="Comma 2 7 2 2" xfId="2891"/>
    <cellStyle name="Comma 2 7 2 2 2" xfId="2892"/>
    <cellStyle name="Comma 2 7 2 2 3" xfId="2893"/>
    <cellStyle name="Comma 2 7 2 3" xfId="2894"/>
    <cellStyle name="Comma 2 7 2 4" xfId="2895"/>
    <cellStyle name="Comma 2 7 3" xfId="2896"/>
    <cellStyle name="Comma 2 7 4" xfId="2897"/>
    <cellStyle name="Comma 2 7 4 2" xfId="2898"/>
    <cellStyle name="Comma 2 7 4 3" xfId="2899"/>
    <cellStyle name="Comma 2 8" xfId="2900"/>
    <cellStyle name="Comma 2 8 2" xfId="2901"/>
    <cellStyle name="Comma 2 8 2 2" xfId="2902"/>
    <cellStyle name="Comma 2 8 2 3" xfId="2903"/>
    <cellStyle name="Comma 2 8 3" xfId="2904"/>
    <cellStyle name="Comma 2 8 3 2" xfId="2905"/>
    <cellStyle name="Comma 2 8 3 3" xfId="2906"/>
    <cellStyle name="Comma 2 8 4" xfId="2907"/>
    <cellStyle name="Comma 2 8 4 2" xfId="2908"/>
    <cellStyle name="Comma 2 8 4 3" xfId="2909"/>
    <cellStyle name="Comma 2 8 5" xfId="2910"/>
    <cellStyle name="Comma 2 8 6" xfId="2911"/>
    <cellStyle name="Comma 2 8 6 2" xfId="2912"/>
    <cellStyle name="Comma 2 8 6 3" xfId="2913"/>
    <cellStyle name="Comma 2 9" xfId="2914"/>
    <cellStyle name="Comma 2 9 2" xfId="2915"/>
    <cellStyle name="Comma 2 9 3" xfId="2916"/>
    <cellStyle name="Comma 2 9 3 2" xfId="2917"/>
    <cellStyle name="Comma 2 9 3 3" xfId="2918"/>
    <cellStyle name="Comma 3" xfId="2919"/>
    <cellStyle name="Comma 3 10" xfId="2920"/>
    <cellStyle name="Comma 3 10 2" xfId="2921"/>
    <cellStyle name="Comma 3 10 2 2" xfId="2922"/>
    <cellStyle name="Comma 3 10 2 3" xfId="2923"/>
    <cellStyle name="Comma 3 10 3" xfId="2924"/>
    <cellStyle name="Comma 3 10 4" xfId="2925"/>
    <cellStyle name="Comma 3 11" xfId="2926"/>
    <cellStyle name="Comma 3 11 2" xfId="2927"/>
    <cellStyle name="Comma 3 11 3" xfId="2928"/>
    <cellStyle name="Comma 3 12" xfId="2929"/>
    <cellStyle name="Comma 3 13" xfId="2930"/>
    <cellStyle name="Comma 3 14" xfId="2931"/>
    <cellStyle name="Comma 3 15" xfId="2932"/>
    <cellStyle name="Comma 3 2" xfId="2933"/>
    <cellStyle name="Comma 3 2 2" xfId="2934"/>
    <cellStyle name="Comma 3 2 2 2" xfId="2935"/>
    <cellStyle name="Comma 3 2 2 3" xfId="2936"/>
    <cellStyle name="Comma 3 2 2 4" xfId="2937"/>
    <cellStyle name="Comma 3 2 3" xfId="2938"/>
    <cellStyle name="Comma 3 2 3 2" xfId="2939"/>
    <cellStyle name="Comma 3 2 3 3" xfId="2940"/>
    <cellStyle name="Comma 3 2 4" xfId="2941"/>
    <cellStyle name="Comma 3 2 5" xfId="2942"/>
    <cellStyle name="Comma 3 2 6" xfId="2943"/>
    <cellStyle name="Comma 3 2 7" xfId="2944"/>
    <cellStyle name="Comma 3 3" xfId="2945"/>
    <cellStyle name="Comma 3 3 2" xfId="2946"/>
    <cellStyle name="Comma 3 3 2 2" xfId="2947"/>
    <cellStyle name="Comma 3 3 2 3" xfId="2948"/>
    <cellStyle name="Comma 3 3 2 4" xfId="2949"/>
    <cellStyle name="Comma 3 3 3" xfId="2950"/>
    <cellStyle name="Comma 3 3 3 2" xfId="2951"/>
    <cellStyle name="Comma 3 3 3 3" xfId="2952"/>
    <cellStyle name="Comma 3 3 4" xfId="2953"/>
    <cellStyle name="Comma 3 3 4 2" xfId="2954"/>
    <cellStyle name="Comma 3 3 4 3" xfId="2955"/>
    <cellStyle name="Comma 3 3 5" xfId="2956"/>
    <cellStyle name="Comma 3 3 6" xfId="2957"/>
    <cellStyle name="Comma 3 3 7" xfId="2958"/>
    <cellStyle name="Comma 3 4" xfId="2959"/>
    <cellStyle name="Comma 3 4 2" xfId="2960"/>
    <cellStyle name="Comma 3 4 2 2" xfId="2961"/>
    <cellStyle name="Comma 3 4 2 3" xfId="2962"/>
    <cellStyle name="Comma 3 4 2 4" xfId="2963"/>
    <cellStyle name="Comma 3 4 3" xfId="2964"/>
    <cellStyle name="Comma 3 4 4" xfId="2965"/>
    <cellStyle name="Comma 3 4 5" xfId="2966"/>
    <cellStyle name="Comma 3 5" xfId="2967"/>
    <cellStyle name="Comma 3 5 2" xfId="2968"/>
    <cellStyle name="Comma 3 5 3" xfId="2969"/>
    <cellStyle name="Comma 3 5 4" xfId="2970"/>
    <cellStyle name="Comma 3 5 5" xfId="2971"/>
    <cellStyle name="Comma 3 6" xfId="2972"/>
    <cellStyle name="Comma 3 6 2" xfId="2973"/>
    <cellStyle name="Comma 3 6 3" xfId="2974"/>
    <cellStyle name="Comma 3 6 4" xfId="2975"/>
    <cellStyle name="Comma 3 6 5" xfId="2976"/>
    <cellStyle name="Comma 3 7" xfId="2977"/>
    <cellStyle name="Comma 3 7 2" xfId="2978"/>
    <cellStyle name="Comma 3 7 3" xfId="2979"/>
    <cellStyle name="Comma 3 7 4" xfId="2980"/>
    <cellStyle name="Comma 3 7 5" xfId="2981"/>
    <cellStyle name="Comma 3 8" xfId="2982"/>
    <cellStyle name="Comma 3 8 2" xfId="2983"/>
    <cellStyle name="Comma 3 8 3" xfId="2984"/>
    <cellStyle name="Comma 3 8 4" xfId="2985"/>
    <cellStyle name="Comma 3 8 5" xfId="2986"/>
    <cellStyle name="Comma 3 9" xfId="2987"/>
    <cellStyle name="Comma 3 9 2" xfId="2988"/>
    <cellStyle name="Comma 3 9 3" xfId="2989"/>
    <cellStyle name="Comma 3 9 4" xfId="2990"/>
    <cellStyle name="Comma 4" xfId="2991"/>
    <cellStyle name="Comma 4 10" xfId="2992"/>
    <cellStyle name="Comma 4 10 2" xfId="2993"/>
    <cellStyle name="Comma 4 10 3" xfId="2994"/>
    <cellStyle name="Comma 4 11" xfId="2995"/>
    <cellStyle name="Comma 4 12" xfId="2996"/>
    <cellStyle name="Comma 4 13" xfId="2997"/>
    <cellStyle name="Comma 4 2" xfId="2998"/>
    <cellStyle name="Comma 4 2 2" xfId="2999"/>
    <cellStyle name="Comma 4 2 2 2" xfId="3000"/>
    <cellStyle name="Comma 4 2 2 3" xfId="3001"/>
    <cellStyle name="Comma 4 2 2 4" xfId="3002"/>
    <cellStyle name="Comma 4 2 3" xfId="3003"/>
    <cellStyle name="Comma 4 2 4" xfId="3004"/>
    <cellStyle name="Comma 4 2 5" xfId="3005"/>
    <cellStyle name="Comma 4 2 6" xfId="3006"/>
    <cellStyle name="Comma 4 3" xfId="3007"/>
    <cellStyle name="Comma 4 3 2" xfId="3008"/>
    <cellStyle name="Comma 4 3 3" xfId="3009"/>
    <cellStyle name="Comma 4 3 4" xfId="3010"/>
    <cellStyle name="Comma 4 3 5" xfId="3011"/>
    <cellStyle name="Comma 4 4" xfId="3012"/>
    <cellStyle name="Comma 4 4 2" xfId="3013"/>
    <cellStyle name="Comma 4 4 3" xfId="3014"/>
    <cellStyle name="Comma 4 4 4" xfId="3015"/>
    <cellStyle name="Comma 4 4 5" xfId="3016"/>
    <cellStyle name="Comma 4 5" xfId="3017"/>
    <cellStyle name="Comma 4 5 2" xfId="3018"/>
    <cellStyle name="Comma 4 5 3" xfId="3019"/>
    <cellStyle name="Comma 4 5 4" xfId="3020"/>
    <cellStyle name="Comma 4 5 5" xfId="3021"/>
    <cellStyle name="Comma 4 6" xfId="3022"/>
    <cellStyle name="Comma 4 6 2" xfId="3023"/>
    <cellStyle name="Comma 4 6 3" xfId="3024"/>
    <cellStyle name="Comma 4 6 4" xfId="3025"/>
    <cellStyle name="Comma 4 6 5" xfId="3026"/>
    <cellStyle name="Comma 4 7" xfId="3027"/>
    <cellStyle name="Comma 4 7 2" xfId="3028"/>
    <cellStyle name="Comma 4 7 3" xfId="3029"/>
    <cellStyle name="Comma 4 7 4" xfId="3030"/>
    <cellStyle name="Comma 4 7 5" xfId="3031"/>
    <cellStyle name="Comma 4 8" xfId="3032"/>
    <cellStyle name="Comma 4 8 2" xfId="3033"/>
    <cellStyle name="Comma 4 8 3" xfId="3034"/>
    <cellStyle name="Comma 4 8 4" xfId="3035"/>
    <cellStyle name="Comma 4 8 5" xfId="3036"/>
    <cellStyle name="Comma 4 9" xfId="3037"/>
    <cellStyle name="Comma 4 9 2" xfId="3038"/>
    <cellStyle name="Comma 4 9 3" xfId="3039"/>
    <cellStyle name="Comma 4 9 4" xfId="3040"/>
    <cellStyle name="Comma 5" xfId="3041"/>
    <cellStyle name="Comma 5 10" xfId="3042"/>
    <cellStyle name="Comma 5 11" xfId="3043"/>
    <cellStyle name="Comma 5 12" xfId="3044"/>
    <cellStyle name="Comma 5 2" xfId="3045"/>
    <cellStyle name="Comma 5 2 2" xfId="3046"/>
    <cellStyle name="Comma 5 2 3" xfId="3047"/>
    <cellStyle name="Comma 5 2 4" xfId="3048"/>
    <cellStyle name="Comma 5 2 5" xfId="3049"/>
    <cellStyle name="Comma 5 3" xfId="3050"/>
    <cellStyle name="Comma 5 3 2" xfId="3051"/>
    <cellStyle name="Comma 5 3 2 2" xfId="3052"/>
    <cellStyle name="Comma 5 3 2 3" xfId="3053"/>
    <cellStyle name="Comma 5 3 2 4" xfId="3054"/>
    <cellStyle name="Comma 5 3 3" xfId="3055"/>
    <cellStyle name="Comma 5 3 4" xfId="3056"/>
    <cellStyle name="Comma 5 3 5" xfId="3057"/>
    <cellStyle name="Comma 5 4" xfId="3058"/>
    <cellStyle name="Comma 5 4 2" xfId="3059"/>
    <cellStyle name="Comma 5 4 3" xfId="3060"/>
    <cellStyle name="Comma 5 4 4" xfId="3061"/>
    <cellStyle name="Comma 5 4 5" xfId="3062"/>
    <cellStyle name="Comma 5 5" xfId="3063"/>
    <cellStyle name="Comma 5 5 2" xfId="3064"/>
    <cellStyle name="Comma 5 5 3" xfId="3065"/>
    <cellStyle name="Comma 5 5 4" xfId="3066"/>
    <cellStyle name="Comma 5 5 5" xfId="3067"/>
    <cellStyle name="Comma 5 6" xfId="3068"/>
    <cellStyle name="Comma 5 6 2" xfId="3069"/>
    <cellStyle name="Comma 5 6 3" xfId="3070"/>
    <cellStyle name="Comma 5 6 4" xfId="3071"/>
    <cellStyle name="Comma 5 6 5" xfId="3072"/>
    <cellStyle name="Comma 5 7" xfId="3073"/>
    <cellStyle name="Comma 5 7 2" xfId="3074"/>
    <cellStyle name="Comma 5 7 3" xfId="3075"/>
    <cellStyle name="Comma 5 7 4" xfId="3076"/>
    <cellStyle name="Comma 5 7 5" xfId="3077"/>
    <cellStyle name="Comma 5 8" xfId="3078"/>
    <cellStyle name="Comma 5 8 2" xfId="3079"/>
    <cellStyle name="Comma 5 8 3" xfId="3080"/>
    <cellStyle name="Comma 5 8 4" xfId="3081"/>
    <cellStyle name="Comma 5 8 5" xfId="3082"/>
    <cellStyle name="Comma 5 9" xfId="3083"/>
    <cellStyle name="Comma 6" xfId="3084"/>
    <cellStyle name="Comma 6 10" xfId="3085"/>
    <cellStyle name="Comma 6 11" xfId="3086"/>
    <cellStyle name="Comma 6 12" xfId="3087"/>
    <cellStyle name="Comma 6 2" xfId="3088"/>
    <cellStyle name="Comma 6 2 2" xfId="3089"/>
    <cellStyle name="Comma 6 2 3" xfId="3090"/>
    <cellStyle name="Comma 6 2 4" xfId="3091"/>
    <cellStyle name="Comma 6 2 5" xfId="3092"/>
    <cellStyle name="Comma 6 3" xfId="3093"/>
    <cellStyle name="Comma 6 3 2" xfId="3094"/>
    <cellStyle name="Comma 6 3 3" xfId="3095"/>
    <cellStyle name="Comma 6 3 4" xfId="3096"/>
    <cellStyle name="Comma 6 3 5" xfId="3097"/>
    <cellStyle name="Comma 6 4" xfId="3098"/>
    <cellStyle name="Comma 6 4 2" xfId="3099"/>
    <cellStyle name="Comma 6 4 3" xfId="3100"/>
    <cellStyle name="Comma 6 4 4" xfId="3101"/>
    <cellStyle name="Comma 6 4 5" xfId="3102"/>
    <cellStyle name="Comma 6 5" xfId="3103"/>
    <cellStyle name="Comma 6 5 2" xfId="3104"/>
    <cellStyle name="Comma 6 5 3" xfId="3105"/>
    <cellStyle name="Comma 6 5 4" xfId="3106"/>
    <cellStyle name="Comma 6 5 5" xfId="3107"/>
    <cellStyle name="Comma 6 6" xfId="3108"/>
    <cellStyle name="Comma 6 6 2" xfId="3109"/>
    <cellStyle name="Comma 6 6 3" xfId="3110"/>
    <cellStyle name="Comma 6 6 4" xfId="3111"/>
    <cellStyle name="Comma 6 6 5" xfId="3112"/>
    <cellStyle name="Comma 6 7" xfId="3113"/>
    <cellStyle name="Comma 6 7 2" xfId="3114"/>
    <cellStyle name="Comma 6 7 3" xfId="3115"/>
    <cellStyle name="Comma 6 7 4" xfId="3116"/>
    <cellStyle name="Comma 6 7 5" xfId="3117"/>
    <cellStyle name="Comma 6 8" xfId="3118"/>
    <cellStyle name="Comma 6 8 2" xfId="3119"/>
    <cellStyle name="Comma 6 8 3" xfId="3120"/>
    <cellStyle name="Comma 6 8 4" xfId="3121"/>
    <cellStyle name="Comma 6 8 5" xfId="3122"/>
    <cellStyle name="Comma 6 9" xfId="3123"/>
    <cellStyle name="Comma 7" xfId="3124"/>
    <cellStyle name="Comma 7 10" xfId="3125"/>
    <cellStyle name="Comma 7 10 2" xfId="3126"/>
    <cellStyle name="Comma 7 10 3" xfId="3127"/>
    <cellStyle name="Comma 7 10 4" xfId="3128"/>
    <cellStyle name="Comma 7 10 5" xfId="3129"/>
    <cellStyle name="Comma 7 11" xfId="3130"/>
    <cellStyle name="Comma 7 11 2" xfId="3131"/>
    <cellStyle name="Comma 7 11 2 2" xfId="3132"/>
    <cellStyle name="Comma 7 11 2 3" xfId="3133"/>
    <cellStyle name="Comma 7 11 3" xfId="3134"/>
    <cellStyle name="Comma 7 11 4" xfId="3135"/>
    <cellStyle name="Comma 7 11 5" xfId="3136"/>
    <cellStyle name="Comma 7 12" xfId="3137"/>
    <cellStyle name="Comma 7 12 2" xfId="3138"/>
    <cellStyle name="Comma 7 12 3" xfId="3139"/>
    <cellStyle name="Comma 7 12 4" xfId="3140"/>
    <cellStyle name="Comma 7 12 5" xfId="3141"/>
    <cellStyle name="Comma 7 13" xfId="3142"/>
    <cellStyle name="Comma 7 13 2" xfId="3143"/>
    <cellStyle name="Comma 7 13 3" xfId="3144"/>
    <cellStyle name="Comma 7 13 4" xfId="3145"/>
    <cellStyle name="Comma 7 13 5" xfId="3146"/>
    <cellStyle name="Comma 7 14" xfId="3147"/>
    <cellStyle name="Comma 7 14 2" xfId="3148"/>
    <cellStyle name="Comma 7 14 3" xfId="3149"/>
    <cellStyle name="Comma 7 14 4" xfId="3150"/>
    <cellStyle name="Comma 7 14 5" xfId="3151"/>
    <cellStyle name="Comma 7 15" xfId="3152"/>
    <cellStyle name="Comma 7 15 2" xfId="3153"/>
    <cellStyle name="Comma 7 15 3" xfId="3154"/>
    <cellStyle name="Comma 7 15 4" xfId="3155"/>
    <cellStyle name="Comma 7 15 5" xfId="3156"/>
    <cellStyle name="Comma 7 16" xfId="3157"/>
    <cellStyle name="Comma 7 16 2" xfId="3158"/>
    <cellStyle name="Comma 7 16 2 2" xfId="3159"/>
    <cellStyle name="Comma 7 16 2 3" xfId="3160"/>
    <cellStyle name="Comma 7 16 3" xfId="3161"/>
    <cellStyle name="Comma 7 16 4" xfId="3162"/>
    <cellStyle name="Comma 7 16 5" xfId="3163"/>
    <cellStyle name="Comma 7 17" xfId="3164"/>
    <cellStyle name="Comma 7 17 2" xfId="3165"/>
    <cellStyle name="Comma 7 17 2 2" xfId="3166"/>
    <cellStyle name="Comma 7 17 2 3" xfId="3167"/>
    <cellStyle name="Comma 7 17 3" xfId="3168"/>
    <cellStyle name="Comma 7 17 4" xfId="3169"/>
    <cellStyle name="Comma 7 17 5" xfId="3170"/>
    <cellStyle name="Comma 7 18" xfId="3171"/>
    <cellStyle name="Comma 7 18 2" xfId="3172"/>
    <cellStyle name="Comma 7 18 2 2" xfId="3173"/>
    <cellStyle name="Comma 7 18 2 3" xfId="3174"/>
    <cellStyle name="Comma 7 18 3" xfId="3175"/>
    <cellStyle name="Comma 7 18 4" xfId="3176"/>
    <cellStyle name="Comma 7 18 5" xfId="3177"/>
    <cellStyle name="Comma 7 19" xfId="3178"/>
    <cellStyle name="Comma 7 19 2" xfId="3179"/>
    <cellStyle name="Comma 7 19 2 2" xfId="3180"/>
    <cellStyle name="Comma 7 19 2 3" xfId="3181"/>
    <cellStyle name="Comma 7 19 3" xfId="3182"/>
    <cellStyle name="Comma 7 19 4" xfId="3183"/>
    <cellStyle name="Comma 7 19 5" xfId="3184"/>
    <cellStyle name="Comma 7 2" xfId="3185"/>
    <cellStyle name="Comma 7 2 2" xfId="3186"/>
    <cellStyle name="Comma 7 2 3" xfId="3187"/>
    <cellStyle name="Comma 7 2 4" xfId="3188"/>
    <cellStyle name="Comma 7 2 5" xfId="3189"/>
    <cellStyle name="Comma 7 20" xfId="3190"/>
    <cellStyle name="Comma 7 20 2" xfId="3191"/>
    <cellStyle name="Comma 7 20 2 2" xfId="3192"/>
    <cellStyle name="Comma 7 20 2 3" xfId="3193"/>
    <cellStyle name="Comma 7 20 3" xfId="3194"/>
    <cellStyle name="Comma 7 20 4" xfId="3195"/>
    <cellStyle name="Comma 7 20 5" xfId="3196"/>
    <cellStyle name="Comma 7 21" xfId="3197"/>
    <cellStyle name="Comma 7 21 2" xfId="3198"/>
    <cellStyle name="Comma 7 21 2 2" xfId="3199"/>
    <cellStyle name="Comma 7 21 2 3" xfId="3200"/>
    <cellStyle name="Comma 7 21 3" xfId="3201"/>
    <cellStyle name="Comma 7 21 4" xfId="3202"/>
    <cellStyle name="Comma 7 21 5" xfId="3203"/>
    <cellStyle name="Comma 7 3" xfId="3204"/>
    <cellStyle name="Comma 7 3 10" xfId="3205"/>
    <cellStyle name="Comma 7 3 10 2" xfId="3206"/>
    <cellStyle name="Comma 7 3 10 3" xfId="3207"/>
    <cellStyle name="Comma 7 3 10 4" xfId="3208"/>
    <cellStyle name="Comma 7 3 10 5" xfId="3209"/>
    <cellStyle name="Comma 7 3 11" xfId="3210"/>
    <cellStyle name="Comma 7 3 11 2" xfId="3211"/>
    <cellStyle name="Comma 7 3 11 3" xfId="3212"/>
    <cellStyle name="Comma 7 3 11 4" xfId="3213"/>
    <cellStyle name="Comma 7 3 11 5" xfId="3214"/>
    <cellStyle name="Comma 7 3 12" xfId="3215"/>
    <cellStyle name="Comma 7 3 12 2" xfId="3216"/>
    <cellStyle name="Comma 7 3 12 3" xfId="3217"/>
    <cellStyle name="Comma 7 3 12 4" xfId="3218"/>
    <cellStyle name="Comma 7 3 12 5" xfId="3219"/>
    <cellStyle name="Comma 7 3 13" xfId="3220"/>
    <cellStyle name="Comma 7 3 13 2" xfId="3221"/>
    <cellStyle name="Comma 7 3 13 3" xfId="3222"/>
    <cellStyle name="Comma 7 3 13 4" xfId="3223"/>
    <cellStyle name="Comma 7 3 13 5" xfId="3224"/>
    <cellStyle name="Comma 7 3 14" xfId="3225"/>
    <cellStyle name="Comma 7 3 14 2" xfId="3226"/>
    <cellStyle name="Comma 7 3 14 3" xfId="3227"/>
    <cellStyle name="Comma 7 3 14 4" xfId="3228"/>
    <cellStyle name="Comma 7 3 14 5" xfId="3229"/>
    <cellStyle name="Comma 7 3 15" xfId="3230"/>
    <cellStyle name="Comma 7 3 15 2" xfId="3231"/>
    <cellStyle name="Comma 7 3 15 3" xfId="3232"/>
    <cellStyle name="Comma 7 3 15 4" xfId="3233"/>
    <cellStyle name="Comma 7 3 15 5" xfId="3234"/>
    <cellStyle name="Comma 7 3 16" xfId="3235"/>
    <cellStyle name="Comma 7 3 17" xfId="3236"/>
    <cellStyle name="Comma 7 3 18" xfId="3237"/>
    <cellStyle name="Comma 7 3 2" xfId="3238"/>
    <cellStyle name="Comma 7 3 2 2" xfId="3239"/>
    <cellStyle name="Comma 7 3 2 3" xfId="3240"/>
    <cellStyle name="Comma 7 3 2 4" xfId="3241"/>
    <cellStyle name="Comma 7 3 2 5" xfId="3242"/>
    <cellStyle name="Comma 7 3 3" xfId="3243"/>
    <cellStyle name="Comma 7 3 3 2" xfId="3244"/>
    <cellStyle name="Comma 7 3 3 3" xfId="3245"/>
    <cellStyle name="Comma 7 3 3 4" xfId="3246"/>
    <cellStyle name="Comma 7 3 3 5" xfId="3247"/>
    <cellStyle name="Comma 7 3 4" xfId="3248"/>
    <cellStyle name="Comma 7 3 4 2" xfId="3249"/>
    <cellStyle name="Comma 7 3 4 3" xfId="3250"/>
    <cellStyle name="Comma 7 3 4 4" xfId="3251"/>
    <cellStyle name="Comma 7 3 4 5" xfId="3252"/>
    <cellStyle name="Comma 7 3 5" xfId="3253"/>
    <cellStyle name="Comma 7 3 5 2" xfId="3254"/>
    <cellStyle name="Comma 7 3 5 3" xfId="3255"/>
    <cellStyle name="Comma 7 3 5 4" xfId="3256"/>
    <cellStyle name="Comma 7 3 5 5" xfId="3257"/>
    <cellStyle name="Comma 7 3 6" xfId="3258"/>
    <cellStyle name="Comma 7 3 6 2" xfId="3259"/>
    <cellStyle name="Comma 7 3 6 3" xfId="3260"/>
    <cellStyle name="Comma 7 3 6 4" xfId="3261"/>
    <cellStyle name="Comma 7 3 6 5" xfId="3262"/>
    <cellStyle name="Comma 7 3 7" xfId="3263"/>
    <cellStyle name="Comma 7 3 7 2" xfId="3264"/>
    <cellStyle name="Comma 7 3 7 3" xfId="3265"/>
    <cellStyle name="Comma 7 3 7 4" xfId="3266"/>
    <cellStyle name="Comma 7 3 7 5" xfId="3267"/>
    <cellStyle name="Comma 7 3 8" xfId="3268"/>
    <cellStyle name="Comma 7 3 8 2" xfId="3269"/>
    <cellStyle name="Comma 7 3 8 3" xfId="3270"/>
    <cellStyle name="Comma 7 3 8 4" xfId="3271"/>
    <cellStyle name="Comma 7 3 8 5" xfId="3272"/>
    <cellStyle name="Comma 7 3 9" xfId="3273"/>
    <cellStyle name="Comma 7 3 9 2" xfId="3274"/>
    <cellStyle name="Comma 7 3 9 3" xfId="3275"/>
    <cellStyle name="Comma 7 3 9 4" xfId="3276"/>
    <cellStyle name="Comma 7 3 9 5" xfId="3277"/>
    <cellStyle name="Comma 7 4" xfId="3278"/>
    <cellStyle name="Comma 7 4 2" xfId="3279"/>
    <cellStyle name="Comma 7 4 3" xfId="3280"/>
    <cellStyle name="Comma 7 4 4" xfId="3281"/>
    <cellStyle name="Comma 7 4 5" xfId="3282"/>
    <cellStyle name="Comma 7 5" xfId="3283"/>
    <cellStyle name="Comma 7 5 2" xfId="3284"/>
    <cellStyle name="Comma 7 5 3" xfId="3285"/>
    <cellStyle name="Comma 7 5 4" xfId="3286"/>
    <cellStyle name="Comma 7 5 5" xfId="3287"/>
    <cellStyle name="Comma 7 6" xfId="3288"/>
    <cellStyle name="Comma 7 6 2" xfId="3289"/>
    <cellStyle name="Comma 7 6 3" xfId="3290"/>
    <cellStyle name="Comma 7 6 4" xfId="3291"/>
    <cellStyle name="Comma 7 6 5" xfId="3292"/>
    <cellStyle name="Comma 7 7" xfId="3293"/>
    <cellStyle name="Comma 7 7 2" xfId="3294"/>
    <cellStyle name="Comma 7 7 3" xfId="3295"/>
    <cellStyle name="Comma 7 7 4" xfId="3296"/>
    <cellStyle name="Comma 7 7 5" xfId="3297"/>
    <cellStyle name="Comma 7 8" xfId="3298"/>
    <cellStyle name="Comma 7 8 2" xfId="3299"/>
    <cellStyle name="Comma 7 8 3" xfId="3300"/>
    <cellStyle name="Comma 7 8 4" xfId="3301"/>
    <cellStyle name="Comma 7 8 5" xfId="3302"/>
    <cellStyle name="Comma 7 9" xfId="3303"/>
    <cellStyle name="Comma 7 9 2" xfId="3304"/>
    <cellStyle name="Comma 7 9 3" xfId="3305"/>
    <cellStyle name="Comma 7 9 4" xfId="3306"/>
    <cellStyle name="Comma 7 9 5" xfId="3307"/>
    <cellStyle name="Comma 8" xfId="3308"/>
    <cellStyle name="Comma 8 2" xfId="3309"/>
    <cellStyle name="Comma 8 2 2" xfId="3310"/>
    <cellStyle name="Comma 8 2 2 2" xfId="3311"/>
    <cellStyle name="Comma 8 2 2 3" xfId="3312"/>
    <cellStyle name="Comma 8 2 3" xfId="3313"/>
    <cellStyle name="Comma 8 2 3 2" xfId="3314"/>
    <cellStyle name="Comma 8 2 3 3" xfId="3315"/>
    <cellStyle name="Comma 8 2 4" xfId="3316"/>
    <cellStyle name="Comma 8 2 5" xfId="3317"/>
    <cellStyle name="Comma 8 2 6" xfId="3318"/>
    <cellStyle name="Comma 8 3" xfId="3319"/>
    <cellStyle name="Comma 8 3 2" xfId="3320"/>
    <cellStyle name="Comma 8 3 2 2" xfId="3321"/>
    <cellStyle name="Comma 8 3 2 3" xfId="3322"/>
    <cellStyle name="Comma 8 3 3" xfId="3323"/>
    <cellStyle name="Comma 8 3 4" xfId="3324"/>
    <cellStyle name="Comma 8 3 5" xfId="3325"/>
    <cellStyle name="Comma 8 4" xfId="3326"/>
    <cellStyle name="Comma 8 4 2" xfId="3327"/>
    <cellStyle name="Comma 8 4 2 2" xfId="3328"/>
    <cellStyle name="Comma 8 4 2 3" xfId="3329"/>
    <cellStyle name="Comma 8 4 3" xfId="3330"/>
    <cellStyle name="Comma 8 4 4" xfId="3331"/>
    <cellStyle name="Comma 8 4 5" xfId="3332"/>
    <cellStyle name="Comma 8 5" xfId="3333"/>
    <cellStyle name="Comma 8 5 2" xfId="3334"/>
    <cellStyle name="Comma 8 5 2 2" xfId="3335"/>
    <cellStyle name="Comma 8 5 2 3" xfId="3336"/>
    <cellStyle name="Comma 8 5 3" xfId="3337"/>
    <cellStyle name="Comma 8 5 4" xfId="3338"/>
    <cellStyle name="Comma 8 5 5" xfId="3339"/>
    <cellStyle name="Comma 8 6" xfId="3340"/>
    <cellStyle name="Comma 8 6 2" xfId="3341"/>
    <cellStyle name="Comma 8 6 2 2" xfId="3342"/>
    <cellStyle name="Comma 8 6 2 3" xfId="3343"/>
    <cellStyle name="Comma 8 6 3" xfId="3344"/>
    <cellStyle name="Comma 8 6 4" xfId="3345"/>
    <cellStyle name="Comma 8 6 5" xfId="3346"/>
    <cellStyle name="Comma 8 7" xfId="3347"/>
    <cellStyle name="Comma 8 7 2" xfId="3348"/>
    <cellStyle name="Comma 8 7 2 2" xfId="3349"/>
    <cellStyle name="Comma 8 7 2 3" xfId="3350"/>
    <cellStyle name="Comma 8 7 3" xfId="3351"/>
    <cellStyle name="Comma 8 7 4" xfId="3352"/>
    <cellStyle name="Comma 8 7 5" xfId="3353"/>
    <cellStyle name="Comma 8 8" xfId="3354"/>
    <cellStyle name="Comma 8 8 2" xfId="3355"/>
    <cellStyle name="Comma 8 8 2 2" xfId="3356"/>
    <cellStyle name="Comma 8 8 2 3" xfId="3357"/>
    <cellStyle name="Comma 8 8 3" xfId="3358"/>
    <cellStyle name="Comma 8 8 4" xfId="3359"/>
    <cellStyle name="Comma 8 8 5" xfId="3360"/>
    <cellStyle name="Comma 9" xfId="3361"/>
    <cellStyle name="Comma 9 10" xfId="3362"/>
    <cellStyle name="Comma 9 11" xfId="3363"/>
    <cellStyle name="Comma 9 2" xfId="3364"/>
    <cellStyle name="Comma 9 2 2" xfId="3365"/>
    <cellStyle name="Comma 9 2 3" xfId="3366"/>
    <cellStyle name="Comma 9 2 4" xfId="3367"/>
    <cellStyle name="Comma 9 2 5" xfId="3368"/>
    <cellStyle name="Comma 9 3" xfId="3369"/>
    <cellStyle name="Comma 9 3 2" xfId="3370"/>
    <cellStyle name="Comma 9 3 3" xfId="3371"/>
    <cellStyle name="Comma 9 3 4" xfId="3372"/>
    <cellStyle name="Comma 9 3 5" xfId="3373"/>
    <cellStyle name="Comma 9 4" xfId="3374"/>
    <cellStyle name="Comma 9 4 2" xfId="3375"/>
    <cellStyle name="Comma 9 4 3" xfId="3376"/>
    <cellStyle name="Comma 9 4 4" xfId="3377"/>
    <cellStyle name="Comma 9 4 5" xfId="3378"/>
    <cellStyle name="Comma 9 5" xfId="3379"/>
    <cellStyle name="Comma 9 5 2" xfId="3380"/>
    <cellStyle name="Comma 9 5 3" xfId="3381"/>
    <cellStyle name="Comma 9 5 4" xfId="3382"/>
    <cellStyle name="Comma 9 5 5" xfId="3383"/>
    <cellStyle name="Comma 9 6" xfId="3384"/>
    <cellStyle name="Comma 9 6 2" xfId="3385"/>
    <cellStyle name="Comma 9 6 3" xfId="3386"/>
    <cellStyle name="Comma 9 6 4" xfId="3387"/>
    <cellStyle name="Comma 9 6 5" xfId="3388"/>
    <cellStyle name="Comma 9 7" xfId="3389"/>
    <cellStyle name="Comma 9 7 2" xfId="3390"/>
    <cellStyle name="Comma 9 7 3" xfId="3391"/>
    <cellStyle name="Comma 9 7 4" xfId="3392"/>
    <cellStyle name="Comma 9 7 5" xfId="3393"/>
    <cellStyle name="Comma 9 8" xfId="3394"/>
    <cellStyle name="Comma 9 8 2" xfId="3395"/>
    <cellStyle name="Comma 9 8 3" xfId="3396"/>
    <cellStyle name="Comma 9 8 4" xfId="3397"/>
    <cellStyle name="Comma 9 8 5" xfId="3398"/>
    <cellStyle name="Comma 9 9" xfId="3399"/>
    <cellStyle name="Comma 9 9 2" xfId="3400"/>
    <cellStyle name="Comma 9 9 3" xfId="3401"/>
    <cellStyle name="Comma 9 9 4" xfId="3402"/>
    <cellStyle name="Comma 9 9 5" xfId="3403"/>
    <cellStyle name="Constants" xfId="3404"/>
    <cellStyle name="Currency 2" xfId="3405"/>
    <cellStyle name="Currency 2 2" xfId="3406"/>
    <cellStyle name="Currency 2 2 2" xfId="3407"/>
    <cellStyle name="Currency 2 2 3" xfId="3408"/>
    <cellStyle name="Currency 2 2 4" xfId="3409"/>
    <cellStyle name="Currency 2 2 5" xfId="3410"/>
    <cellStyle name="Currency 2 3" xfId="3411"/>
    <cellStyle name="Currency 2 3 2" xfId="3412"/>
    <cellStyle name="Currency 2 3 3" xfId="3413"/>
    <cellStyle name="CustomCellsOrange" xfId="3414"/>
    <cellStyle name="CustomizationCells" xfId="3415"/>
    <cellStyle name="CustomizationGreenCells" xfId="3416"/>
    <cellStyle name="DocBox_EmptyRow" xfId="3417"/>
    <cellStyle name="donn_normal" xfId="3418"/>
    <cellStyle name="Eingabe" xfId="3419"/>
    <cellStyle name="Ellenőrzőcella" xfId="3420"/>
    <cellStyle name="Empty_B_border" xfId="3421"/>
    <cellStyle name="ent_col_ser" xfId="3422"/>
    <cellStyle name="entete_source" xfId="3423"/>
    <cellStyle name="Ergebnis" xfId="3424"/>
    <cellStyle name="Erklärender Text" xfId="3425"/>
    <cellStyle name="Estilo 1" xfId="3426"/>
    <cellStyle name="Euro" xfId="3427"/>
    <cellStyle name="Euro 10" xfId="3428"/>
    <cellStyle name="Euro 10 2" xfId="3429"/>
    <cellStyle name="Euro 11" xfId="3430"/>
    <cellStyle name="Euro 11 2" xfId="3431"/>
    <cellStyle name="Euro 12" xfId="3432"/>
    <cellStyle name="Euro 13" xfId="3433"/>
    <cellStyle name="Euro 14" xfId="3434"/>
    <cellStyle name="Euro 15" xfId="3435"/>
    <cellStyle name="Euro 16" xfId="3436"/>
    <cellStyle name="Euro 17" xfId="3437"/>
    <cellStyle name="Euro 18" xfId="3438"/>
    <cellStyle name="Euro 19" xfId="3439"/>
    <cellStyle name="Euro 2" xfId="3440"/>
    <cellStyle name="Euro 2 2" xfId="3441"/>
    <cellStyle name="Euro 2 2 2" xfId="3442"/>
    <cellStyle name="Euro 2 2 3" xfId="3443"/>
    <cellStyle name="Euro 2 2 4" xfId="3444"/>
    <cellStyle name="Euro 2 2 4 2" xfId="3445"/>
    <cellStyle name="Euro 2 2 4 3" xfId="3446"/>
    <cellStyle name="Euro 2 2 5" xfId="3447"/>
    <cellStyle name="Euro 2 2 6" xfId="3448"/>
    <cellStyle name="Euro 2 3" xfId="3449"/>
    <cellStyle name="Euro 2 3 2" xfId="3450"/>
    <cellStyle name="Euro 2 3 3" xfId="3451"/>
    <cellStyle name="Euro 2 4" xfId="3452"/>
    <cellStyle name="Euro 2 5" xfId="3453"/>
    <cellStyle name="Euro 2 6" xfId="3454"/>
    <cellStyle name="Euro 2 7" xfId="3455"/>
    <cellStyle name="Euro 2 8" xfId="3456"/>
    <cellStyle name="Euro 20" xfId="3457"/>
    <cellStyle name="Euro 21" xfId="3458"/>
    <cellStyle name="Euro 22" xfId="3459"/>
    <cellStyle name="Euro 23" xfId="3460"/>
    <cellStyle name="Euro 24" xfId="3461"/>
    <cellStyle name="Euro 25" xfId="3462"/>
    <cellStyle name="Euro 26" xfId="3463"/>
    <cellStyle name="Euro 27" xfId="3464"/>
    <cellStyle name="Euro 28" xfId="3465"/>
    <cellStyle name="Euro 29" xfId="3466"/>
    <cellStyle name="Euro 3" xfId="3467"/>
    <cellStyle name="Euro 3 10" xfId="3468"/>
    <cellStyle name="Euro 3 2" xfId="3469"/>
    <cellStyle name="Euro 3 2 2" xfId="3470"/>
    <cellStyle name="Euro 3 3" xfId="3471"/>
    <cellStyle name="Euro 3 3 2" xfId="3472"/>
    <cellStyle name="Euro 3 3 3" xfId="3473"/>
    <cellStyle name="Euro 3 3 4" xfId="3474"/>
    <cellStyle name="Euro 3 3 4 2" xfId="3475"/>
    <cellStyle name="Euro 3 4" xfId="3476"/>
    <cellStyle name="Euro 3 5" xfId="3477"/>
    <cellStyle name="Euro 3 6" xfId="3478"/>
    <cellStyle name="Euro 3 7" xfId="3479"/>
    <cellStyle name="Euro 3 8" xfId="3480"/>
    <cellStyle name="Euro 3 9" xfId="3481"/>
    <cellStyle name="Euro 3_PrimaryEnergyPrices_TIMES" xfId="3482"/>
    <cellStyle name="Euro 30" xfId="3483"/>
    <cellStyle name="Euro 31" xfId="3484"/>
    <cellStyle name="Euro 32" xfId="3485"/>
    <cellStyle name="Euro 33" xfId="3486"/>
    <cellStyle name="Euro 34" xfId="3487"/>
    <cellStyle name="Euro 35" xfId="3488"/>
    <cellStyle name="Euro 36" xfId="3489"/>
    <cellStyle name="Euro 37" xfId="3490"/>
    <cellStyle name="Euro 38" xfId="3491"/>
    <cellStyle name="Euro 39" xfId="3492"/>
    <cellStyle name="Euro 4" xfId="3493"/>
    <cellStyle name="Euro 4 2" xfId="3494"/>
    <cellStyle name="Euro 4 2 2" xfId="3495"/>
    <cellStyle name="Euro 4 3" xfId="3496"/>
    <cellStyle name="Euro 4 3 2" xfId="3497"/>
    <cellStyle name="Euro 4 3 3" xfId="3498"/>
    <cellStyle name="Euro 4 3 4" xfId="3499"/>
    <cellStyle name="Euro 4 3 4 2" xfId="3500"/>
    <cellStyle name="Euro 4 4" xfId="3501"/>
    <cellStyle name="Euro 4 4 2" xfId="3502"/>
    <cellStyle name="Euro 4 4 3" xfId="3503"/>
    <cellStyle name="Euro 4 5" xfId="3504"/>
    <cellStyle name="Euro 4 6" xfId="3505"/>
    <cellStyle name="Euro 40" xfId="3506"/>
    <cellStyle name="Euro 41" xfId="3507"/>
    <cellStyle name="Euro 42" xfId="3508"/>
    <cellStyle name="Euro 43" xfId="3509"/>
    <cellStyle name="Euro 44" xfId="3510"/>
    <cellStyle name="Euro 45" xfId="3511"/>
    <cellStyle name="Euro 46" xfId="3512"/>
    <cellStyle name="Euro 47" xfId="3513"/>
    <cellStyle name="Euro 48" xfId="3514"/>
    <cellStyle name="Euro 48 2" xfId="3515"/>
    <cellStyle name="Euro 49" xfId="3516"/>
    <cellStyle name="Euro 49 2" xfId="3517"/>
    <cellStyle name="Euro 5" xfId="3518"/>
    <cellStyle name="Euro 5 2" xfId="3519"/>
    <cellStyle name="Euro 5 3" xfId="3520"/>
    <cellStyle name="Euro 5 4" xfId="3521"/>
    <cellStyle name="Euro 5 4 2" xfId="3522"/>
    <cellStyle name="Euro 50" xfId="3523"/>
    <cellStyle name="Euro 50 2" xfId="3524"/>
    <cellStyle name="Euro 51" xfId="3525"/>
    <cellStyle name="Euro 51 2" xfId="3526"/>
    <cellStyle name="Euro 52" xfId="3527"/>
    <cellStyle name="Euro 52 2" xfId="3528"/>
    <cellStyle name="Euro 53" xfId="3529"/>
    <cellStyle name="Euro 53 2" xfId="3530"/>
    <cellStyle name="Euro 54" xfId="3531"/>
    <cellStyle name="Euro 54 2" xfId="3532"/>
    <cellStyle name="Euro 55" xfId="3533"/>
    <cellStyle name="Euro 55 2" xfId="3534"/>
    <cellStyle name="Euro 56" xfId="3535"/>
    <cellStyle name="Euro 56 2" xfId="3536"/>
    <cellStyle name="Euro 57" xfId="3537"/>
    <cellStyle name="Euro 58" xfId="3538"/>
    <cellStyle name="Euro 59" xfId="3539"/>
    <cellStyle name="Euro 6" xfId="3540"/>
    <cellStyle name="Euro 6 2" xfId="3541"/>
    <cellStyle name="Euro 6 3" xfId="3542"/>
    <cellStyle name="Euro 6 4" xfId="3543"/>
    <cellStyle name="Euro 6 5" xfId="3544"/>
    <cellStyle name="Euro 6 6" xfId="3545"/>
    <cellStyle name="Euro 60" xfId="3546"/>
    <cellStyle name="Euro 7" xfId="3547"/>
    <cellStyle name="Euro 7 2" xfId="3548"/>
    <cellStyle name="Euro 7 3" xfId="3549"/>
    <cellStyle name="Euro 7 4" xfId="3550"/>
    <cellStyle name="Euro 8" xfId="3551"/>
    <cellStyle name="Euro 8 2" xfId="3552"/>
    <cellStyle name="Euro 9" xfId="3553"/>
    <cellStyle name="Euro 9 2" xfId="3554"/>
    <cellStyle name="Euro_Potentials in TIMES" xfId="3555"/>
    <cellStyle name="Explanatory Text 10" xfId="3556"/>
    <cellStyle name="Explanatory Text 11" xfId="3557"/>
    <cellStyle name="Explanatory Text 12" xfId="3558"/>
    <cellStyle name="Explanatory Text 13" xfId="3559"/>
    <cellStyle name="Explanatory Text 14" xfId="3560"/>
    <cellStyle name="Explanatory Text 15" xfId="3561"/>
    <cellStyle name="Explanatory Text 16" xfId="3562"/>
    <cellStyle name="Explanatory Text 17" xfId="3563"/>
    <cellStyle name="Explanatory Text 18" xfId="3564"/>
    <cellStyle name="Explanatory Text 19" xfId="3565"/>
    <cellStyle name="Explanatory Text 2" xfId="3566"/>
    <cellStyle name="Explanatory Text 2 10" xfId="3567"/>
    <cellStyle name="Explanatory Text 2 2" xfId="3568"/>
    <cellStyle name="Explanatory Text 2 3" xfId="3569"/>
    <cellStyle name="Explanatory Text 2 4" xfId="3570"/>
    <cellStyle name="Explanatory Text 2 5" xfId="3571"/>
    <cellStyle name="Explanatory Text 2 6" xfId="3572"/>
    <cellStyle name="Explanatory Text 2 7" xfId="3573"/>
    <cellStyle name="Explanatory Text 2 8" xfId="3574"/>
    <cellStyle name="Explanatory Text 2 9" xfId="3575"/>
    <cellStyle name="Explanatory Text 20" xfId="3576"/>
    <cellStyle name="Explanatory Text 21" xfId="3577"/>
    <cellStyle name="Explanatory Text 22" xfId="3578"/>
    <cellStyle name="Explanatory Text 23" xfId="3579"/>
    <cellStyle name="Explanatory Text 24" xfId="3580"/>
    <cellStyle name="Explanatory Text 25" xfId="3581"/>
    <cellStyle name="Explanatory Text 26" xfId="3582"/>
    <cellStyle name="Explanatory Text 27" xfId="3583"/>
    <cellStyle name="Explanatory Text 28" xfId="3584"/>
    <cellStyle name="Explanatory Text 29" xfId="3585"/>
    <cellStyle name="Explanatory Text 3" xfId="3586"/>
    <cellStyle name="Explanatory Text 3 2" xfId="3587"/>
    <cellStyle name="Explanatory Text 30" xfId="3588"/>
    <cellStyle name="Explanatory Text 31" xfId="3589"/>
    <cellStyle name="Explanatory Text 32" xfId="3590"/>
    <cellStyle name="Explanatory Text 33" xfId="3591"/>
    <cellStyle name="Explanatory Text 34" xfId="3592"/>
    <cellStyle name="Explanatory Text 35" xfId="3593"/>
    <cellStyle name="Explanatory Text 36" xfId="3594"/>
    <cellStyle name="Explanatory Text 37" xfId="3595"/>
    <cellStyle name="Explanatory Text 38" xfId="3596"/>
    <cellStyle name="Explanatory Text 39" xfId="3597"/>
    <cellStyle name="Explanatory Text 4" xfId="3598"/>
    <cellStyle name="Explanatory Text 40" xfId="3599"/>
    <cellStyle name="Explanatory Text 41" xfId="3600"/>
    <cellStyle name="Explanatory Text 42" xfId="3601"/>
    <cellStyle name="Explanatory Text 43" xfId="3602"/>
    <cellStyle name="Explanatory Text 5" xfId="3603"/>
    <cellStyle name="Explanatory Text 6" xfId="3604"/>
    <cellStyle name="Explanatory Text 7" xfId="3605"/>
    <cellStyle name="Explanatory Text 8" xfId="3606"/>
    <cellStyle name="Explanatory Text 9" xfId="3607"/>
    <cellStyle name="Ezres_vegleges_en" xfId="3608"/>
    <cellStyle name="Figyelmeztetés" xfId="3609"/>
    <cellStyle name="Float" xfId="3610"/>
    <cellStyle name="Float 2" xfId="3611"/>
    <cellStyle name="Float 2 2" xfId="3612"/>
    <cellStyle name="Float 3" xfId="3613"/>
    <cellStyle name="Float 3 2" xfId="3614"/>
    <cellStyle name="Float 3 3" xfId="3615"/>
    <cellStyle name="Float 4" xfId="3616"/>
    <cellStyle name="Good 10" xfId="3617"/>
    <cellStyle name="Good 11" xfId="3618"/>
    <cellStyle name="Good 12" xfId="3619"/>
    <cellStyle name="Good 13" xfId="3620"/>
    <cellStyle name="Good 14" xfId="3621"/>
    <cellStyle name="Good 15" xfId="3622"/>
    <cellStyle name="Good 16" xfId="3623"/>
    <cellStyle name="Good 17" xfId="3624"/>
    <cellStyle name="Good 18" xfId="3625"/>
    <cellStyle name="Good 19" xfId="3626"/>
    <cellStyle name="Good 2" xfId="3627"/>
    <cellStyle name="Good 2 10" xfId="3628"/>
    <cellStyle name="Good 2 2" xfId="3629"/>
    <cellStyle name="Good 2 2 2" xfId="3630"/>
    <cellStyle name="Good 2 2 3" xfId="3631"/>
    <cellStyle name="Good 2 3" xfId="3632"/>
    <cellStyle name="Good 2 3 2" xfId="3633"/>
    <cellStyle name="Good 2 3 3" xfId="3634"/>
    <cellStyle name="Good 2 4" xfId="3635"/>
    <cellStyle name="Good 2 5" xfId="3636"/>
    <cellStyle name="Good 2 6" xfId="3637"/>
    <cellStyle name="Good 2 7" xfId="3638"/>
    <cellStyle name="Good 2 8" xfId="3639"/>
    <cellStyle name="Good 2 9" xfId="3640"/>
    <cellStyle name="Good 20" xfId="3641"/>
    <cellStyle name="Good 21" xfId="3642"/>
    <cellStyle name="Good 22" xfId="3643"/>
    <cellStyle name="Good 23" xfId="3644"/>
    <cellStyle name="Good 24" xfId="3645"/>
    <cellStyle name="Good 25" xfId="3646"/>
    <cellStyle name="Good 26" xfId="3647"/>
    <cellStyle name="Good 27" xfId="3648"/>
    <cellStyle name="Good 28" xfId="3649"/>
    <cellStyle name="Good 29" xfId="3650"/>
    <cellStyle name="Good 3" xfId="3651"/>
    <cellStyle name="Good 3 2" xfId="3652"/>
    <cellStyle name="Good 3 3" xfId="3653"/>
    <cellStyle name="Good 3 4" xfId="3654"/>
    <cellStyle name="Good 3 5" xfId="3655"/>
    <cellStyle name="Good 30" xfId="3656"/>
    <cellStyle name="Good 31" xfId="3657"/>
    <cellStyle name="Good 32" xfId="3658"/>
    <cellStyle name="Good 33" xfId="3659"/>
    <cellStyle name="Good 34" xfId="3660"/>
    <cellStyle name="Good 35" xfId="3661"/>
    <cellStyle name="Good 36" xfId="3662"/>
    <cellStyle name="Good 37" xfId="3663"/>
    <cellStyle name="Good 38" xfId="3664"/>
    <cellStyle name="Good 39" xfId="3665"/>
    <cellStyle name="Good 4" xfId="3666"/>
    <cellStyle name="Good 40" xfId="3667"/>
    <cellStyle name="Good 41" xfId="3668"/>
    <cellStyle name="Good 42" xfId="3669"/>
    <cellStyle name="Good 5" xfId="3670"/>
    <cellStyle name="Good 5 2" xfId="3671"/>
    <cellStyle name="Good 6" xfId="3672"/>
    <cellStyle name="Good 7" xfId="3673"/>
    <cellStyle name="Good 8" xfId="3674"/>
    <cellStyle name="Good 9" xfId="3675"/>
    <cellStyle name="Gut" xfId="3676"/>
    <cellStyle name="Heading 1 10" xfId="3677"/>
    <cellStyle name="Heading 1 11" xfId="3678"/>
    <cellStyle name="Heading 1 12" xfId="3679"/>
    <cellStyle name="Heading 1 13" xfId="3680"/>
    <cellStyle name="Heading 1 14" xfId="3681"/>
    <cellStyle name="Heading 1 15" xfId="3682"/>
    <cellStyle name="Heading 1 16" xfId="3683"/>
    <cellStyle name="Heading 1 17" xfId="3684"/>
    <cellStyle name="Heading 1 18" xfId="3685"/>
    <cellStyle name="Heading 1 19" xfId="3686"/>
    <cellStyle name="Heading 1 2" xfId="3687"/>
    <cellStyle name="Heading 1 2 10" xfId="3688"/>
    <cellStyle name="Heading 1 2 2" xfId="3689"/>
    <cellStyle name="Heading 1 2 3" xfId="3690"/>
    <cellStyle name="Heading 1 2 4" xfId="3691"/>
    <cellStyle name="Heading 1 2 5" xfId="3692"/>
    <cellStyle name="Heading 1 2 6" xfId="3693"/>
    <cellStyle name="Heading 1 2 7" xfId="3694"/>
    <cellStyle name="Heading 1 2 8" xfId="3695"/>
    <cellStyle name="Heading 1 2 9" xfId="3696"/>
    <cellStyle name="Heading 1 20" xfId="3697"/>
    <cellStyle name="Heading 1 21" xfId="3698"/>
    <cellStyle name="Heading 1 22" xfId="3699"/>
    <cellStyle name="Heading 1 23" xfId="3700"/>
    <cellStyle name="Heading 1 24" xfId="3701"/>
    <cellStyle name="Heading 1 25" xfId="3702"/>
    <cellStyle name="Heading 1 26" xfId="3703"/>
    <cellStyle name="Heading 1 27" xfId="3704"/>
    <cellStyle name="Heading 1 28" xfId="3705"/>
    <cellStyle name="Heading 1 29" xfId="3706"/>
    <cellStyle name="Heading 1 3" xfId="3707"/>
    <cellStyle name="Heading 1 3 2" xfId="3708"/>
    <cellStyle name="Heading 1 3 3" xfId="3709"/>
    <cellStyle name="Heading 1 3 4" xfId="3710"/>
    <cellStyle name="Heading 1 3 5" xfId="3711"/>
    <cellStyle name="Heading 1 30" xfId="3712"/>
    <cellStyle name="Heading 1 31" xfId="3713"/>
    <cellStyle name="Heading 1 32" xfId="3714"/>
    <cellStyle name="Heading 1 33" xfId="3715"/>
    <cellStyle name="Heading 1 34" xfId="3716"/>
    <cellStyle name="Heading 1 35" xfId="3717"/>
    <cellStyle name="Heading 1 36" xfId="3718"/>
    <cellStyle name="Heading 1 37" xfId="3719"/>
    <cellStyle name="Heading 1 38" xfId="3720"/>
    <cellStyle name="Heading 1 39" xfId="3721"/>
    <cellStyle name="Heading 1 4" xfId="3722"/>
    <cellStyle name="Heading 1 40" xfId="3723"/>
    <cellStyle name="Heading 1 41" xfId="3724"/>
    <cellStyle name="Heading 1 5" xfId="3725"/>
    <cellStyle name="Heading 1 6" xfId="3726"/>
    <cellStyle name="Heading 1 7" xfId="3727"/>
    <cellStyle name="Heading 1 8" xfId="3728"/>
    <cellStyle name="Heading 1 9" xfId="3729"/>
    <cellStyle name="Heading 2 10" xfId="3730"/>
    <cellStyle name="Heading 2 11" xfId="3731"/>
    <cellStyle name="Heading 2 12" xfId="3732"/>
    <cellStyle name="Heading 2 13" xfId="3733"/>
    <cellStyle name="Heading 2 14" xfId="3734"/>
    <cellStyle name="Heading 2 15" xfId="3735"/>
    <cellStyle name="Heading 2 16" xfId="3736"/>
    <cellStyle name="Heading 2 17" xfId="3737"/>
    <cellStyle name="Heading 2 18" xfId="3738"/>
    <cellStyle name="Heading 2 19" xfId="3739"/>
    <cellStyle name="Heading 2 2" xfId="3740"/>
    <cellStyle name="Heading 2 2 10" xfId="3741"/>
    <cellStyle name="Heading 2 2 2" xfId="3742"/>
    <cellStyle name="Heading 2 2 3" xfId="3743"/>
    <cellStyle name="Heading 2 2 4" xfId="3744"/>
    <cellStyle name="Heading 2 2 5" xfId="3745"/>
    <cellStyle name="Heading 2 2 6" xfId="3746"/>
    <cellStyle name="Heading 2 2 7" xfId="3747"/>
    <cellStyle name="Heading 2 2 8" xfId="3748"/>
    <cellStyle name="Heading 2 2 9" xfId="3749"/>
    <cellStyle name="Heading 2 20" xfId="3750"/>
    <cellStyle name="Heading 2 21" xfId="3751"/>
    <cellStyle name="Heading 2 22" xfId="3752"/>
    <cellStyle name="Heading 2 23" xfId="3753"/>
    <cellStyle name="Heading 2 24" xfId="3754"/>
    <cellStyle name="Heading 2 25" xfId="3755"/>
    <cellStyle name="Heading 2 26" xfId="3756"/>
    <cellStyle name="Heading 2 27" xfId="3757"/>
    <cellStyle name="Heading 2 28" xfId="3758"/>
    <cellStyle name="Heading 2 29" xfId="3759"/>
    <cellStyle name="Heading 2 3" xfId="3760"/>
    <cellStyle name="Heading 2 3 2" xfId="3761"/>
    <cellStyle name="Heading 2 3 3" xfId="3762"/>
    <cellStyle name="Heading 2 3 4" xfId="3763"/>
    <cellStyle name="Heading 2 3 5" xfId="3764"/>
    <cellStyle name="Heading 2 30" xfId="3765"/>
    <cellStyle name="Heading 2 31" xfId="3766"/>
    <cellStyle name="Heading 2 32" xfId="3767"/>
    <cellStyle name="Heading 2 33" xfId="3768"/>
    <cellStyle name="Heading 2 34" xfId="3769"/>
    <cellStyle name="Heading 2 35" xfId="3770"/>
    <cellStyle name="Heading 2 36" xfId="3771"/>
    <cellStyle name="Heading 2 37" xfId="3772"/>
    <cellStyle name="Heading 2 38" xfId="3773"/>
    <cellStyle name="Heading 2 39" xfId="3774"/>
    <cellStyle name="Heading 2 4" xfId="3775"/>
    <cellStyle name="Heading 2 40" xfId="3776"/>
    <cellStyle name="Heading 2 41" xfId="3777"/>
    <cellStyle name="Heading 2 5" xfId="3778"/>
    <cellStyle name="Heading 2 6" xfId="3779"/>
    <cellStyle name="Heading 2 7" xfId="3780"/>
    <cellStyle name="Heading 2 8" xfId="3781"/>
    <cellStyle name="Heading 2 9" xfId="3782"/>
    <cellStyle name="Heading 3 10" xfId="3783"/>
    <cellStyle name="Heading 3 11" xfId="3784"/>
    <cellStyle name="Heading 3 12" xfId="3785"/>
    <cellStyle name="Heading 3 13" xfId="3786"/>
    <cellStyle name="Heading 3 14" xfId="3787"/>
    <cellStyle name="Heading 3 15" xfId="3788"/>
    <cellStyle name="Heading 3 16" xfId="3789"/>
    <cellStyle name="Heading 3 17" xfId="3790"/>
    <cellStyle name="Heading 3 18" xfId="3791"/>
    <cellStyle name="Heading 3 19" xfId="3792"/>
    <cellStyle name="Heading 3 2" xfId="3793"/>
    <cellStyle name="Heading 3 2 10" xfId="3794"/>
    <cellStyle name="Heading 3 2 2" xfId="3795"/>
    <cellStyle name="Heading 3 2 3" xfId="3796"/>
    <cellStyle name="Heading 3 2 4" xfId="3797"/>
    <cellStyle name="Heading 3 2 5" xfId="3798"/>
    <cellStyle name="Heading 3 2 6" xfId="3799"/>
    <cellStyle name="Heading 3 2 7" xfId="3800"/>
    <cellStyle name="Heading 3 2 8" xfId="3801"/>
    <cellStyle name="Heading 3 2 9" xfId="3802"/>
    <cellStyle name="Heading 3 20" xfId="3803"/>
    <cellStyle name="Heading 3 21" xfId="3804"/>
    <cellStyle name="Heading 3 22" xfId="3805"/>
    <cellStyle name="Heading 3 23" xfId="3806"/>
    <cellStyle name="Heading 3 24" xfId="3807"/>
    <cellStyle name="Heading 3 25" xfId="3808"/>
    <cellStyle name="Heading 3 26" xfId="3809"/>
    <cellStyle name="Heading 3 27" xfId="3810"/>
    <cellStyle name="Heading 3 28" xfId="3811"/>
    <cellStyle name="Heading 3 29" xfId="3812"/>
    <cellStyle name="Heading 3 3" xfId="3813"/>
    <cellStyle name="Heading 3 3 2" xfId="3814"/>
    <cellStyle name="Heading 3 3 3" xfId="3815"/>
    <cellStyle name="Heading 3 3 4" xfId="3816"/>
    <cellStyle name="Heading 3 3 5" xfId="3817"/>
    <cellStyle name="Heading 3 30" xfId="3818"/>
    <cellStyle name="Heading 3 31" xfId="3819"/>
    <cellStyle name="Heading 3 32" xfId="3820"/>
    <cellStyle name="Heading 3 33" xfId="3821"/>
    <cellStyle name="Heading 3 34" xfId="3822"/>
    <cellStyle name="Heading 3 35" xfId="3823"/>
    <cellStyle name="Heading 3 36" xfId="3824"/>
    <cellStyle name="Heading 3 37" xfId="3825"/>
    <cellStyle name="Heading 3 38" xfId="3826"/>
    <cellStyle name="Heading 3 39" xfId="3827"/>
    <cellStyle name="Heading 3 4" xfId="3828"/>
    <cellStyle name="Heading 3 40" xfId="3829"/>
    <cellStyle name="Heading 3 41" xfId="3830"/>
    <cellStyle name="Heading 3 5" xfId="3831"/>
    <cellStyle name="Heading 3 6" xfId="3832"/>
    <cellStyle name="Heading 3 7" xfId="3833"/>
    <cellStyle name="Heading 3 8" xfId="3834"/>
    <cellStyle name="Heading 3 9" xfId="3835"/>
    <cellStyle name="Heading 4 10" xfId="3836"/>
    <cellStyle name="Heading 4 11" xfId="3837"/>
    <cellStyle name="Heading 4 12" xfId="3838"/>
    <cellStyle name="Heading 4 13" xfId="3839"/>
    <cellStyle name="Heading 4 14" xfId="3840"/>
    <cellStyle name="Heading 4 15" xfId="3841"/>
    <cellStyle name="Heading 4 16" xfId="3842"/>
    <cellStyle name="Heading 4 17" xfId="3843"/>
    <cellStyle name="Heading 4 18" xfId="3844"/>
    <cellStyle name="Heading 4 19" xfId="3845"/>
    <cellStyle name="Heading 4 2" xfId="3846"/>
    <cellStyle name="Heading 4 2 10" xfId="3847"/>
    <cellStyle name="Heading 4 2 2" xfId="3848"/>
    <cellStyle name="Heading 4 2 3" xfId="3849"/>
    <cellStyle name="Heading 4 2 4" xfId="3850"/>
    <cellStyle name="Heading 4 2 5" xfId="3851"/>
    <cellStyle name="Heading 4 2 6" xfId="3852"/>
    <cellStyle name="Heading 4 2 7" xfId="3853"/>
    <cellStyle name="Heading 4 2 8" xfId="3854"/>
    <cellStyle name="Heading 4 2 9" xfId="3855"/>
    <cellStyle name="Heading 4 20" xfId="3856"/>
    <cellStyle name="Heading 4 21" xfId="3857"/>
    <cellStyle name="Heading 4 22" xfId="3858"/>
    <cellStyle name="Heading 4 23" xfId="3859"/>
    <cellStyle name="Heading 4 24" xfId="3860"/>
    <cellStyle name="Heading 4 25" xfId="3861"/>
    <cellStyle name="Heading 4 26" xfId="3862"/>
    <cellStyle name="Heading 4 27" xfId="3863"/>
    <cellStyle name="Heading 4 28" xfId="3864"/>
    <cellStyle name="Heading 4 29" xfId="3865"/>
    <cellStyle name="Heading 4 3" xfId="3866"/>
    <cellStyle name="Heading 4 3 2" xfId="3867"/>
    <cellStyle name="Heading 4 3 3" xfId="3868"/>
    <cellStyle name="Heading 4 3 4" xfId="3869"/>
    <cellStyle name="Heading 4 3 5" xfId="3870"/>
    <cellStyle name="Heading 4 30" xfId="3871"/>
    <cellStyle name="Heading 4 31" xfId="3872"/>
    <cellStyle name="Heading 4 32" xfId="3873"/>
    <cellStyle name="Heading 4 33" xfId="3874"/>
    <cellStyle name="Heading 4 34" xfId="3875"/>
    <cellStyle name="Heading 4 35" xfId="3876"/>
    <cellStyle name="Heading 4 36" xfId="3877"/>
    <cellStyle name="Heading 4 37" xfId="3878"/>
    <cellStyle name="Heading 4 38" xfId="3879"/>
    <cellStyle name="Heading 4 39" xfId="3880"/>
    <cellStyle name="Heading 4 4" xfId="3881"/>
    <cellStyle name="Heading 4 40" xfId="3882"/>
    <cellStyle name="Heading 4 41" xfId="3883"/>
    <cellStyle name="Heading 4 5" xfId="3884"/>
    <cellStyle name="Heading 4 6" xfId="3885"/>
    <cellStyle name="Heading 4 7" xfId="3886"/>
    <cellStyle name="Heading 4 8" xfId="3887"/>
    <cellStyle name="Heading 4 9" xfId="3888"/>
    <cellStyle name="Headline" xfId="3889"/>
    <cellStyle name="Hivatkozott cella" xfId="3890"/>
    <cellStyle name="Hyperlink 2" xfId="3891"/>
    <cellStyle name="Hyperlink 2 2" xfId="3892"/>
    <cellStyle name="Hyperlink 3" xfId="3893"/>
    <cellStyle name="Input 10 2" xfId="3894"/>
    <cellStyle name="Input 11 2" xfId="3895"/>
    <cellStyle name="Input 12 2" xfId="3896"/>
    <cellStyle name="Input 13 2" xfId="3897"/>
    <cellStyle name="Input 14 2" xfId="3898"/>
    <cellStyle name="Input 15 2" xfId="3899"/>
    <cellStyle name="Input 16 2" xfId="3900"/>
    <cellStyle name="Input 17 2" xfId="3901"/>
    <cellStyle name="Input 18 2" xfId="3902"/>
    <cellStyle name="Input 19 2" xfId="3903"/>
    <cellStyle name="Input 2" xfId="3904"/>
    <cellStyle name="Input 2 10" xfId="3905"/>
    <cellStyle name="Input 2 2" xfId="3906"/>
    <cellStyle name="Input 2 2 2" xfId="3907"/>
    <cellStyle name="Input 2 2 3" xfId="3908"/>
    <cellStyle name="Input 2 3" xfId="3909"/>
    <cellStyle name="Input 2 3 2" xfId="3910"/>
    <cellStyle name="Input 2 3 3" xfId="3911"/>
    <cellStyle name="Input 2 4" xfId="3912"/>
    <cellStyle name="Input 2 5" xfId="3913"/>
    <cellStyle name="Input 2 6" xfId="3914"/>
    <cellStyle name="Input 2 7" xfId="3915"/>
    <cellStyle name="Input 2 8" xfId="3916"/>
    <cellStyle name="Input 2 9" xfId="3917"/>
    <cellStyle name="Input 2_PrimaryEnergyPrices_TIMES" xfId="3918"/>
    <cellStyle name="Input 20 2" xfId="3919"/>
    <cellStyle name="Input 21 2" xfId="3920"/>
    <cellStyle name="Input 22 2" xfId="3921"/>
    <cellStyle name="Input 23 2" xfId="3922"/>
    <cellStyle name="Input 24 2" xfId="3923"/>
    <cellStyle name="Input 25 2" xfId="3924"/>
    <cellStyle name="Input 26 2" xfId="3925"/>
    <cellStyle name="Input 27 2" xfId="3926"/>
    <cellStyle name="Input 28 2" xfId="3927"/>
    <cellStyle name="Input 29 2" xfId="3928"/>
    <cellStyle name="Input 3" xfId="3929"/>
    <cellStyle name="Input 3 2" xfId="3930"/>
    <cellStyle name="Input 3 3" xfId="3931"/>
    <cellStyle name="Input 3 3 2" xfId="3932"/>
    <cellStyle name="Input 3 3 3" xfId="3933"/>
    <cellStyle name="Input 3 4" xfId="3934"/>
    <cellStyle name="Input 3 5" xfId="3935"/>
    <cellStyle name="Input 3 6" xfId="3936"/>
    <cellStyle name="Input 30 2" xfId="3937"/>
    <cellStyle name="Input 31 2" xfId="3938"/>
    <cellStyle name="Input 32 2" xfId="3939"/>
    <cellStyle name="Input 33 2" xfId="3940"/>
    <cellStyle name="Input 34" xfId="3941"/>
    <cellStyle name="Input 34 2" xfId="3942"/>
    <cellStyle name="Input 34_ELC_final" xfId="3943"/>
    <cellStyle name="Input 35" xfId="3944"/>
    <cellStyle name="Input 36" xfId="3945"/>
    <cellStyle name="Input 37" xfId="3946"/>
    <cellStyle name="Input 38" xfId="3947"/>
    <cellStyle name="Input 39" xfId="3948"/>
    <cellStyle name="Input 4" xfId="3949"/>
    <cellStyle name="Input 4 2" xfId="3950"/>
    <cellStyle name="Input 40" xfId="3951"/>
    <cellStyle name="Input 5" xfId="3952"/>
    <cellStyle name="Input 5 2" xfId="3953"/>
    <cellStyle name="Input 6 2" xfId="3954"/>
    <cellStyle name="Input 7 2" xfId="3955"/>
    <cellStyle name="Input 8 2" xfId="3956"/>
    <cellStyle name="Input 9 2" xfId="3957"/>
    <cellStyle name="InputCells" xfId="3958"/>
    <cellStyle name="InputCells12" xfId="3959"/>
    <cellStyle name="IntCells" xfId="3960"/>
    <cellStyle name="Jegyzet" xfId="3961"/>
    <cellStyle name="Jelölőszín (1)" xfId="3962"/>
    <cellStyle name="Jelölőszín (2)" xfId="3963"/>
    <cellStyle name="Jelölőszín (3)" xfId="3964"/>
    <cellStyle name="Jelölőszín (4)" xfId="3965"/>
    <cellStyle name="Jelölőszín (5)" xfId="3966"/>
    <cellStyle name="Jelölőszín (6)" xfId="3967"/>
    <cellStyle name="Jó" xfId="3968"/>
    <cellStyle name="Kimenet" xfId="3969"/>
    <cellStyle name="ligne_titre_0" xfId="3970"/>
    <cellStyle name="Linked Cell 10" xfId="3971"/>
    <cellStyle name="Linked Cell 11" xfId="3972"/>
    <cellStyle name="Linked Cell 12" xfId="3973"/>
    <cellStyle name="Linked Cell 13" xfId="3974"/>
    <cellStyle name="Linked Cell 14" xfId="3975"/>
    <cellStyle name="Linked Cell 15" xfId="3976"/>
    <cellStyle name="Linked Cell 16" xfId="3977"/>
    <cellStyle name="Linked Cell 17" xfId="3978"/>
    <cellStyle name="Linked Cell 18" xfId="3979"/>
    <cellStyle name="Linked Cell 19" xfId="3980"/>
    <cellStyle name="Linked Cell 2" xfId="3981"/>
    <cellStyle name="Linked Cell 2 10" xfId="3982"/>
    <cellStyle name="Linked Cell 2 2" xfId="3983"/>
    <cellStyle name="Linked Cell 2 3" xfId="3984"/>
    <cellStyle name="Linked Cell 2 4" xfId="3985"/>
    <cellStyle name="Linked Cell 2 5" xfId="3986"/>
    <cellStyle name="Linked Cell 2 6" xfId="3987"/>
    <cellStyle name="Linked Cell 2 7" xfId="3988"/>
    <cellStyle name="Linked Cell 2 8" xfId="3989"/>
    <cellStyle name="Linked Cell 2 9" xfId="3990"/>
    <cellStyle name="Linked Cell 20" xfId="3991"/>
    <cellStyle name="Linked Cell 21" xfId="3992"/>
    <cellStyle name="Linked Cell 22" xfId="3993"/>
    <cellStyle name="Linked Cell 23" xfId="3994"/>
    <cellStyle name="Linked Cell 24" xfId="3995"/>
    <cellStyle name="Linked Cell 25" xfId="3996"/>
    <cellStyle name="Linked Cell 26" xfId="3997"/>
    <cellStyle name="Linked Cell 27" xfId="3998"/>
    <cellStyle name="Linked Cell 28" xfId="3999"/>
    <cellStyle name="Linked Cell 29" xfId="4000"/>
    <cellStyle name="Linked Cell 3" xfId="4001"/>
    <cellStyle name="Linked Cell 3 2" xfId="4002"/>
    <cellStyle name="Linked Cell 3 3" xfId="4003"/>
    <cellStyle name="Linked Cell 3 4" xfId="4004"/>
    <cellStyle name="Linked Cell 3 5" xfId="4005"/>
    <cellStyle name="Linked Cell 30" xfId="4006"/>
    <cellStyle name="Linked Cell 31" xfId="4007"/>
    <cellStyle name="Linked Cell 32" xfId="4008"/>
    <cellStyle name="Linked Cell 33" xfId="4009"/>
    <cellStyle name="Linked Cell 34" xfId="4010"/>
    <cellStyle name="Linked Cell 35" xfId="4011"/>
    <cellStyle name="Linked Cell 36" xfId="4012"/>
    <cellStyle name="Linked Cell 37" xfId="4013"/>
    <cellStyle name="Linked Cell 38" xfId="4014"/>
    <cellStyle name="Linked Cell 39" xfId="4015"/>
    <cellStyle name="Linked Cell 4" xfId="4016"/>
    <cellStyle name="Linked Cell 40" xfId="4017"/>
    <cellStyle name="Linked Cell 41" xfId="4018"/>
    <cellStyle name="Linked Cell 5" xfId="4019"/>
    <cellStyle name="Linked Cell 6" xfId="4020"/>
    <cellStyle name="Linked Cell 7" xfId="4021"/>
    <cellStyle name="Linked Cell 8" xfId="4022"/>
    <cellStyle name="Linked Cell 9" xfId="4023"/>
    <cellStyle name="Magyarázó szöveg" xfId="4024"/>
    <cellStyle name="Migliaia_Oil&amp;Gas IFE ARC POLITO" xfId="4025"/>
    <cellStyle name="Neutral 10" xfId="4026"/>
    <cellStyle name="Neutral 11" xfId="4027"/>
    <cellStyle name="Neutral 12" xfId="4028"/>
    <cellStyle name="Neutral 13" xfId="4029"/>
    <cellStyle name="Neutral 14" xfId="4030"/>
    <cellStyle name="Neutral 15" xfId="4031"/>
    <cellStyle name="Neutral 16" xfId="4032"/>
    <cellStyle name="Neutral 17" xfId="4033"/>
    <cellStyle name="Neutral 18" xfId="4034"/>
    <cellStyle name="Neutral 19" xfId="4035"/>
    <cellStyle name="Neutral 2" xfId="4036"/>
    <cellStyle name="Neutral 2 10" xfId="4037"/>
    <cellStyle name="Neutral 2 11" xfId="4038"/>
    <cellStyle name="Neutral 2 2" xfId="4039"/>
    <cellStyle name="Neutral 2 2 2" xfId="4040"/>
    <cellStyle name="Neutral 2 2 2 2" xfId="4041"/>
    <cellStyle name="Neutral 2 3" xfId="4042"/>
    <cellStyle name="Neutral 2 4" xfId="4043"/>
    <cellStyle name="Neutral 2 5" xfId="4044"/>
    <cellStyle name="Neutral 2 6" xfId="4045"/>
    <cellStyle name="Neutral 2 7" xfId="4046"/>
    <cellStyle name="Neutral 2 8" xfId="4047"/>
    <cellStyle name="Neutral 2 9" xfId="4048"/>
    <cellStyle name="Neutral 20" xfId="4049"/>
    <cellStyle name="Neutral 21" xfId="4050"/>
    <cellStyle name="Neutral 22" xfId="4051"/>
    <cellStyle name="Neutral 23" xfId="4052"/>
    <cellStyle name="Neutral 24" xfId="4053"/>
    <cellStyle name="Neutral 25" xfId="4054"/>
    <cellStyle name="Neutral 26" xfId="4055"/>
    <cellStyle name="Neutral 27" xfId="4056"/>
    <cellStyle name="Neutral 28" xfId="4057"/>
    <cellStyle name="Neutral 29" xfId="4058"/>
    <cellStyle name="Neutral 3" xfId="4059"/>
    <cellStyle name="Neutral 3 2" xfId="4060"/>
    <cellStyle name="Neutral 3 2 2" xfId="4061"/>
    <cellStyle name="Neutral 3 2 3" xfId="4062"/>
    <cellStyle name="Neutral 3 3" xfId="4063"/>
    <cellStyle name="Neutral 3 4" xfId="4064"/>
    <cellStyle name="Neutral 3 5" xfId="4065"/>
    <cellStyle name="Neutral 3 6" xfId="4066"/>
    <cellStyle name="Neutral 3 7" xfId="4067"/>
    <cellStyle name="Neutral 3 8" xfId="4068"/>
    <cellStyle name="Neutral 30" xfId="4069"/>
    <cellStyle name="Neutral 31" xfId="4070"/>
    <cellStyle name="Neutral 32" xfId="4071"/>
    <cellStyle name="Neutral 33" xfId="4072"/>
    <cellStyle name="Neutral 34" xfId="4073"/>
    <cellStyle name="Neutral 35" xfId="4074"/>
    <cellStyle name="Neutral 36" xfId="4075"/>
    <cellStyle name="Neutral 37" xfId="4076"/>
    <cellStyle name="Neutral 38" xfId="4077"/>
    <cellStyle name="Neutral 39" xfId="4078"/>
    <cellStyle name="Neutral 4" xfId="4079"/>
    <cellStyle name="Neutral 4 2" xfId="4080"/>
    <cellStyle name="Neutral 4 3" xfId="4081"/>
    <cellStyle name="Neutral 40" xfId="4082"/>
    <cellStyle name="Neutral 41" xfId="4083"/>
    <cellStyle name="Neutral 42" xfId="4084"/>
    <cellStyle name="Neutral 43" xfId="4085"/>
    <cellStyle name="Neutral 5" xfId="4086"/>
    <cellStyle name="Neutral 6" xfId="4087"/>
    <cellStyle name="Neutral 6 2" xfId="4088"/>
    <cellStyle name="Neutral 7" xfId="4089"/>
    <cellStyle name="Neutral 8" xfId="4090"/>
    <cellStyle name="Neutral 9" xfId="4091"/>
    <cellStyle name="Normal 10" xfId="4092"/>
    <cellStyle name="Normal 10 2" xfId="4093"/>
    <cellStyle name="Normal 10 2 2" xfId="4094"/>
    <cellStyle name="Normal 10 2 2 2" xfId="4095"/>
    <cellStyle name="Normal 10 2 2 3" xfId="4096"/>
    <cellStyle name="Normal 10 2 3" xfId="4097"/>
    <cellStyle name="Normal 10 2 3 2" xfId="4098"/>
    <cellStyle name="Normal 10 2 4" xfId="4099"/>
    <cellStyle name="Normal 10 2 5" xfId="4100"/>
    <cellStyle name="Normal 10 2 5 2" xfId="4101"/>
    <cellStyle name="Normal 10 2 6" xfId="4102"/>
    <cellStyle name="Normal 10 2 7" xfId="4103"/>
    <cellStyle name="Normal 10 2 8" xfId="4104"/>
    <cellStyle name="Normal 10 3" xfId="4105"/>
    <cellStyle name="Normal 10 4" xfId="4106"/>
    <cellStyle name="Normal 10 5" xfId="4107"/>
    <cellStyle name="Normal 10 6" xfId="4108"/>
    <cellStyle name="Normal 10 7" xfId="4109"/>
    <cellStyle name="Normal 10 8" xfId="4110"/>
    <cellStyle name="Normal 10 9" xfId="4111"/>
    <cellStyle name="Normal 11" xfId="4112"/>
    <cellStyle name="Normal 11 2" xfId="4113"/>
    <cellStyle name="Normal 11 2 2" xfId="4114"/>
    <cellStyle name="Normal 11 2 2 2" xfId="4115"/>
    <cellStyle name="Normal 11 2 3" xfId="4116"/>
    <cellStyle name="Normal 11 3" xfId="4117"/>
    <cellStyle name="Normal 11 4" xfId="4118"/>
    <cellStyle name="Normal 11 4 2" xfId="4119"/>
    <cellStyle name="Normal 11 5" xfId="4120"/>
    <cellStyle name="Normal 11 5 2" xfId="4121"/>
    <cellStyle name="Normal 11 5 3" xfId="4122"/>
    <cellStyle name="Normal 11 5 4" xfId="4123"/>
    <cellStyle name="Normal 11 6" xfId="4124"/>
    <cellStyle name="Normal 11 7" xfId="4125"/>
    <cellStyle name="Normal 11 8" xfId="4126"/>
    <cellStyle name="Normal 12" xfId="4127"/>
    <cellStyle name="Normal 12 2" xfId="4128"/>
    <cellStyle name="Normal 12 3" xfId="4129"/>
    <cellStyle name="Normal 12 4" xfId="4130"/>
    <cellStyle name="Normal 12 5" xfId="4131"/>
    <cellStyle name="Normal 12 6" xfId="4132"/>
    <cellStyle name="Normal 12 7" xfId="4133"/>
    <cellStyle name="Normal 12 8" xfId="4134"/>
    <cellStyle name="Normal 13" xfId="4135"/>
    <cellStyle name="Normal 13 10" xfId="4136"/>
    <cellStyle name="Normal 13 10 2" xfId="4137"/>
    <cellStyle name="Normal 13 10 2 2" xfId="4138"/>
    <cellStyle name="Normal 13 10 3" xfId="4139"/>
    <cellStyle name="Normal 13 11" xfId="4140"/>
    <cellStyle name="Normal 13 11 2" xfId="4141"/>
    <cellStyle name="Normal 13 11 2 2" xfId="4142"/>
    <cellStyle name="Normal 13 11 3" xfId="4143"/>
    <cellStyle name="Normal 13 12" xfId="4144"/>
    <cellStyle name="Normal 13 12 2" xfId="4145"/>
    <cellStyle name="Normal 13 12 3" xfId="4146"/>
    <cellStyle name="Normal 13 12 4" xfId="4147"/>
    <cellStyle name="Normal 13 13" xfId="4148"/>
    <cellStyle name="Normal 13 13 2" xfId="4149"/>
    <cellStyle name="Normal 13 13 2 2" xfId="4150"/>
    <cellStyle name="Normal 13 13 3" xfId="4151"/>
    <cellStyle name="Normal 13 14" xfId="4152"/>
    <cellStyle name="Normal 13 14 2" xfId="4153"/>
    <cellStyle name="Normal 13 14 2 2" xfId="4154"/>
    <cellStyle name="Normal 13 14 3" xfId="4155"/>
    <cellStyle name="Normal 13 15" xfId="4156"/>
    <cellStyle name="Normal 13 15 2" xfId="4157"/>
    <cellStyle name="Normal 13 15 2 2" xfId="4158"/>
    <cellStyle name="Normal 13 15 3" xfId="4159"/>
    <cellStyle name="Normal 13 16" xfId="4160"/>
    <cellStyle name="Normal 13 16 2" xfId="4161"/>
    <cellStyle name="Normal 13 16 2 2" xfId="4162"/>
    <cellStyle name="Normal 13 16 3" xfId="4163"/>
    <cellStyle name="Normal 13 17" xfId="4164"/>
    <cellStyle name="Normal 13 17 2" xfId="4165"/>
    <cellStyle name="Normal 13 17 3" xfId="4166"/>
    <cellStyle name="Normal 13 17 4" xfId="4167"/>
    <cellStyle name="Normal 13 18" xfId="4168"/>
    <cellStyle name="Normal 13 18 2" xfId="4169"/>
    <cellStyle name="Normal 13 18 3" xfId="4170"/>
    <cellStyle name="Normal 13 18 4" xfId="4171"/>
    <cellStyle name="Normal 13 19" xfId="4172"/>
    <cellStyle name="Normal 13 19 2" xfId="4173"/>
    <cellStyle name="Normal 13 19 3" xfId="4174"/>
    <cellStyle name="Normal 13 19 4" xfId="4175"/>
    <cellStyle name="Normal 13 2" xfId="4176"/>
    <cellStyle name="Normal 13 2 10" xfId="4177"/>
    <cellStyle name="Normal 13 2 11" xfId="4178"/>
    <cellStyle name="Normal 13 2 11 2" xfId="4179"/>
    <cellStyle name="Normal 13 2 11 3" xfId="4180"/>
    <cellStyle name="Normal 13 2 12" xfId="4181"/>
    <cellStyle name="Normal 13 2 2" xfId="4182"/>
    <cellStyle name="Normal 13 2 2 2" xfId="4183"/>
    <cellStyle name="Normal 13 2 2 2 2" xfId="4184"/>
    <cellStyle name="Normal 13 2 2 3" xfId="4185"/>
    <cellStyle name="Normal 13 2 3" xfId="4186"/>
    <cellStyle name="Normal 13 2 3 2" xfId="4187"/>
    <cellStyle name="Normal 13 2 3 2 2" xfId="4188"/>
    <cellStyle name="Normal 13 2 3 3" xfId="4189"/>
    <cellStyle name="Normal 13 2 4" xfId="4190"/>
    <cellStyle name="Normal 13 2 4 2" xfId="4191"/>
    <cellStyle name="Normal 13 2 4 2 2" xfId="4192"/>
    <cellStyle name="Normal 13 2 4 3" xfId="4193"/>
    <cellStyle name="Normal 13 2 5" xfId="4194"/>
    <cellStyle name="Normal 13 2 5 2" xfId="4195"/>
    <cellStyle name="Normal 13 2 5 2 2" xfId="4196"/>
    <cellStyle name="Normal 13 2 5 3" xfId="4197"/>
    <cellStyle name="Normal 13 2 6" xfId="4198"/>
    <cellStyle name="Normal 13 2 6 2" xfId="4199"/>
    <cellStyle name="Normal 13 2 6 2 2" xfId="4200"/>
    <cellStyle name="Normal 13 2 6 3" xfId="4201"/>
    <cellStyle name="Normal 13 2 7" xfId="4202"/>
    <cellStyle name="Normal 13 2 7 2" xfId="4203"/>
    <cellStyle name="Normal 13 2 7 2 2" xfId="4204"/>
    <cellStyle name="Normal 13 2 7 3" xfId="4205"/>
    <cellStyle name="Normal 13 2 8" xfId="4206"/>
    <cellStyle name="Normal 13 2 8 2" xfId="4207"/>
    <cellStyle name="Normal 13 2 8 2 2" xfId="4208"/>
    <cellStyle name="Normal 13 2 8 3" xfId="4209"/>
    <cellStyle name="Normal 13 2 9" xfId="4210"/>
    <cellStyle name="Normal 13 2 9 2" xfId="4211"/>
    <cellStyle name="Normal 13 2 9 3" xfId="4212"/>
    <cellStyle name="Normal 13 20" xfId="4213"/>
    <cellStyle name="Normal 13 20 2" xfId="4214"/>
    <cellStyle name="Normal 13 20 3" xfId="4215"/>
    <cellStyle name="Normal 13 20 4" xfId="4216"/>
    <cellStyle name="Normal 13 21" xfId="4217"/>
    <cellStyle name="Normal 13 21 2" xfId="4218"/>
    <cellStyle name="Normal 13 21 3" xfId="4219"/>
    <cellStyle name="Normal 13 21 4" xfId="4220"/>
    <cellStyle name="Normal 13 22" xfId="4221"/>
    <cellStyle name="Normal 13 22 2" xfId="4222"/>
    <cellStyle name="Normal 13 22 3" xfId="4223"/>
    <cellStyle name="Normal 13 22 4" xfId="4224"/>
    <cellStyle name="Normal 13 23" xfId="4225"/>
    <cellStyle name="Normal 13 24" xfId="4226"/>
    <cellStyle name="Normal 13 25" xfId="4227"/>
    <cellStyle name="Normal 13 26" xfId="4228"/>
    <cellStyle name="Normal 13 27" xfId="4229"/>
    <cellStyle name="Normal 13 28" xfId="4230"/>
    <cellStyle name="Normal 13 29" xfId="4231"/>
    <cellStyle name="Normal 13 3" xfId="4232"/>
    <cellStyle name="Normal 13 3 2" xfId="4233"/>
    <cellStyle name="Normal 13 3 2 2" xfId="4234"/>
    <cellStyle name="Normal 13 3 2 3" xfId="4235"/>
    <cellStyle name="Normal 13 3 3" xfId="4236"/>
    <cellStyle name="Normal 13 3 4" xfId="4237"/>
    <cellStyle name="Normal 13 30" xfId="4238"/>
    <cellStyle name="Normal 13 31" xfId="4239"/>
    <cellStyle name="Normal 13 32" xfId="4240"/>
    <cellStyle name="Normal 13 33" xfId="4241"/>
    <cellStyle name="Normal 13 34" xfId="4242"/>
    <cellStyle name="Normal 13 35" xfId="4243"/>
    <cellStyle name="Normal 13 36" xfId="4244"/>
    <cellStyle name="Normal 13 37" xfId="4245"/>
    <cellStyle name="Normal 13 38" xfId="4246"/>
    <cellStyle name="Normal 13 39" xfId="4247"/>
    <cellStyle name="Normal 13 4" xfId="4248"/>
    <cellStyle name="Normal 13 4 2" xfId="4249"/>
    <cellStyle name="Normal 13 4 2 2" xfId="4250"/>
    <cellStyle name="Normal 13 4 2 3" xfId="4251"/>
    <cellStyle name="Normal 13 4 3" xfId="4252"/>
    <cellStyle name="Normal 13 4 4" xfId="4253"/>
    <cellStyle name="Normal 13 40" xfId="4254"/>
    <cellStyle name="Normal 13 5" xfId="4255"/>
    <cellStyle name="Normal 13 5 2" xfId="4256"/>
    <cellStyle name="Normal 13 5 3" xfId="4257"/>
    <cellStyle name="Normal 13 5 4" xfId="4258"/>
    <cellStyle name="Normal 13 6" xfId="4259"/>
    <cellStyle name="Normal 13 6 2" xfId="4260"/>
    <cellStyle name="Normal 13 6 3" xfId="4261"/>
    <cellStyle name="Normal 13 6 4" xfId="4262"/>
    <cellStyle name="Normal 13 7" xfId="4263"/>
    <cellStyle name="Normal 13 7 2" xfId="4264"/>
    <cellStyle name="Normal 13 7 3" xfId="4265"/>
    <cellStyle name="Normal 13 7 4" xfId="4266"/>
    <cellStyle name="Normal 13 8" xfId="4267"/>
    <cellStyle name="Normal 13 8 2" xfId="4268"/>
    <cellStyle name="Normal 13 8 3" xfId="4269"/>
    <cellStyle name="Normal 13 8 4" xfId="4270"/>
    <cellStyle name="Normal 13 9" xfId="4271"/>
    <cellStyle name="Normal 13 9 2" xfId="4272"/>
    <cellStyle name="Normal 13 9 2 2" xfId="4273"/>
    <cellStyle name="Normal 13 9 3" xfId="4274"/>
    <cellStyle name="Normal 14" xfId="4275"/>
    <cellStyle name="Normal 14 10" xfId="4276"/>
    <cellStyle name="Normal 14 10 2" xfId="4277"/>
    <cellStyle name="Normal 14 10 2 2" xfId="4278"/>
    <cellStyle name="Normal 14 10 3" xfId="4279"/>
    <cellStyle name="Normal 14 11" xfId="4280"/>
    <cellStyle name="Normal 14 11 2" xfId="4281"/>
    <cellStyle name="Normal 14 11 2 2" xfId="4282"/>
    <cellStyle name="Normal 14 11 3" xfId="4283"/>
    <cellStyle name="Normal 14 12" xfId="4284"/>
    <cellStyle name="Normal 14 12 2" xfId="4285"/>
    <cellStyle name="Normal 14 12 2 2" xfId="4286"/>
    <cellStyle name="Normal 14 12 3" xfId="4287"/>
    <cellStyle name="Normal 14 13" xfId="4288"/>
    <cellStyle name="Normal 14 13 2" xfId="4289"/>
    <cellStyle name="Normal 14 13 2 2" xfId="4290"/>
    <cellStyle name="Normal 14 13 3" xfId="4291"/>
    <cellStyle name="Normal 14 14" xfId="4292"/>
    <cellStyle name="Normal 14 14 2" xfId="4293"/>
    <cellStyle name="Normal 14 14 2 2" xfId="4294"/>
    <cellStyle name="Normal 14 14 3" xfId="4295"/>
    <cellStyle name="Normal 14 15" xfId="4296"/>
    <cellStyle name="Normal 14 15 2" xfId="4297"/>
    <cellStyle name="Normal 14 15 2 2" xfId="4298"/>
    <cellStyle name="Normal 14 15 3" xfId="4299"/>
    <cellStyle name="Normal 14 16" xfId="4300"/>
    <cellStyle name="Normal 14 16 2" xfId="4301"/>
    <cellStyle name="Normal 14 16 3" xfId="4302"/>
    <cellStyle name="Normal 14 17" xfId="4303"/>
    <cellStyle name="Normal 14 18" xfId="4304"/>
    <cellStyle name="Normal 14 2" xfId="4305"/>
    <cellStyle name="Normal 14 2 10" xfId="4306"/>
    <cellStyle name="Normal 14 2 2" xfId="4307"/>
    <cellStyle name="Normal 14 2 3" xfId="4308"/>
    <cellStyle name="Normal 14 2 4" xfId="4309"/>
    <cellStyle name="Normal 14 2 5" xfId="4310"/>
    <cellStyle name="Normal 14 2 6" xfId="4311"/>
    <cellStyle name="Normal 14 2 7" xfId="4312"/>
    <cellStyle name="Normal 14 2 8" xfId="4313"/>
    <cellStyle name="Normal 14 2 8 2" xfId="4314"/>
    <cellStyle name="Normal 14 2 8 3" xfId="4315"/>
    <cellStyle name="Normal 14 2 9" xfId="4316"/>
    <cellStyle name="Normal 14 3" xfId="4317"/>
    <cellStyle name="Normal 14 3 2" xfId="4318"/>
    <cellStyle name="Normal 14 4" xfId="4319"/>
    <cellStyle name="Normal 14 4 2" xfId="4320"/>
    <cellStyle name="Normal 14 4 2 2" xfId="4321"/>
    <cellStyle name="Normal 14 4 3" xfId="4322"/>
    <cellStyle name="Normal 14 5" xfId="4323"/>
    <cellStyle name="Normal 14 5 2" xfId="4324"/>
    <cellStyle name="Normal 14 5 2 2" xfId="4325"/>
    <cellStyle name="Normal 14 5 3" xfId="4326"/>
    <cellStyle name="Normal 14 6" xfId="4327"/>
    <cellStyle name="Normal 14 7" xfId="4328"/>
    <cellStyle name="Normal 14 8" xfId="4329"/>
    <cellStyle name="Normal 14 9" xfId="4330"/>
    <cellStyle name="Normal 15" xfId="4331"/>
    <cellStyle name="Normal 15 2" xfId="4332"/>
    <cellStyle name="Normal 15 2 2" xfId="4333"/>
    <cellStyle name="Normal 15 2 3" xfId="4334"/>
    <cellStyle name="Normal 15 3" xfId="4335"/>
    <cellStyle name="Normal 15 4" xfId="4336"/>
    <cellStyle name="Normal 15 5" xfId="4337"/>
    <cellStyle name="Normal 15 6" xfId="4338"/>
    <cellStyle name="Normal 15 7" xfId="4339"/>
    <cellStyle name="Normal 15 7 2" xfId="4340"/>
    <cellStyle name="Normal 15 7 3" xfId="4341"/>
    <cellStyle name="Normal 15 8" xfId="4342"/>
    <cellStyle name="Normal 16" xfId="4343"/>
    <cellStyle name="Normal 16 2" xfId="4344"/>
    <cellStyle name="Normal 16 2 2" xfId="4345"/>
    <cellStyle name="Normal 16 2 3" xfId="4346"/>
    <cellStyle name="Normal 16 3" xfId="4347"/>
    <cellStyle name="Normal 16 4" xfId="4348"/>
    <cellStyle name="Normal 16 5" xfId="4349"/>
    <cellStyle name="Normal 16 6" xfId="4350"/>
    <cellStyle name="Normal 16 7" xfId="4351"/>
    <cellStyle name="Normal 16 7 2" xfId="4352"/>
    <cellStyle name="Normal 16 7 3" xfId="4353"/>
    <cellStyle name="Normal 16 8" xfId="4354"/>
    <cellStyle name="Normal 17" xfId="4355"/>
    <cellStyle name="Normal 17 10" xfId="4356"/>
    <cellStyle name="Normal 17 11" xfId="4357"/>
    <cellStyle name="Normal 17 12" xfId="4358"/>
    <cellStyle name="Normal 17 13" xfId="4359"/>
    <cellStyle name="Normal 17 14" xfId="4360"/>
    <cellStyle name="Normal 17 14 2" xfId="4361"/>
    <cellStyle name="Normal 17 14 3" xfId="4362"/>
    <cellStyle name="Normal 17 15" xfId="4363"/>
    <cellStyle name="Normal 17 2" xfId="4364"/>
    <cellStyle name="Normal 17 2 2" xfId="4365"/>
    <cellStyle name="Normal 17 2 3" xfId="4366"/>
    <cellStyle name="Normal 17 3" xfId="4367"/>
    <cellStyle name="Normal 17 4" xfId="4368"/>
    <cellStyle name="Normal 17 5" xfId="4369"/>
    <cellStyle name="Normal 17 6" xfId="4370"/>
    <cellStyle name="Normal 17 7" xfId="4371"/>
    <cellStyle name="Normal 17 8" xfId="4372"/>
    <cellStyle name="Normal 17 9" xfId="4373"/>
    <cellStyle name="Normal 18" xfId="4374"/>
    <cellStyle name="Normal 18 2" xfId="4375"/>
    <cellStyle name="Normal 18 2 2" xfId="4376"/>
    <cellStyle name="Normal 18 2 3" xfId="4377"/>
    <cellStyle name="Normal 18 3" xfId="4378"/>
    <cellStyle name="Normal 18 3 2" xfId="4379"/>
    <cellStyle name="Normal 18 4" xfId="4380"/>
    <cellStyle name="Normal 18 5" xfId="4381"/>
    <cellStyle name="Normal 19" xfId="4382"/>
    <cellStyle name="Normal 2" xfId="4383"/>
    <cellStyle name="Normál 2" xfId="4384"/>
    <cellStyle name="Normal 2 10" xfId="4385"/>
    <cellStyle name="Normal 2 10 2" xfId="4386"/>
    <cellStyle name="Normal 2 10 3" xfId="4387"/>
    <cellStyle name="Normal 2 10 4" xfId="4388"/>
    <cellStyle name="Normal 2 11" xfId="4389"/>
    <cellStyle name="Normal 2 12" xfId="4390"/>
    <cellStyle name="Normal 2 13" xfId="4391"/>
    <cellStyle name="Normal 2 14" xfId="4392"/>
    <cellStyle name="Normal 2 15" xfId="4393"/>
    <cellStyle name="Normal 2 16" xfId="4394"/>
    <cellStyle name="Normal 2 17" xfId="4395"/>
    <cellStyle name="Normal 2 18" xfId="4396"/>
    <cellStyle name="Normal 2 18 2" xfId="4397"/>
    <cellStyle name="Normal 2 18 2 2" xfId="4398"/>
    <cellStyle name="Normal 2 18 3" xfId="4399"/>
    <cellStyle name="Normal 2 18 4" xfId="4400"/>
    <cellStyle name="Normal 2 18 5" xfId="4401"/>
    <cellStyle name="Normal 2 19" xfId="4402"/>
    <cellStyle name="Normal 2 2" xfId="4403"/>
    <cellStyle name="Normal 2 2 10" xfId="4404"/>
    <cellStyle name="Normal 2 2 10 2" xfId="4405"/>
    <cellStyle name="Normal 2 2 10 2 2" xfId="4406"/>
    <cellStyle name="Normal 2 2 10 3" xfId="4407"/>
    <cellStyle name="Normal 2 2 11" xfId="4408"/>
    <cellStyle name="Normal 2 2 11 2" xfId="4409"/>
    <cellStyle name="Normal 2 2 11 2 2" xfId="4410"/>
    <cellStyle name="Normal 2 2 11 3" xfId="4411"/>
    <cellStyle name="Normal 2 2 12" xfId="4412"/>
    <cellStyle name="Normal 2 2 12 2" xfId="4413"/>
    <cellStyle name="Normal 2 2 12 2 2" xfId="4414"/>
    <cellStyle name="Normal 2 2 12 3" xfId="4415"/>
    <cellStyle name="Normal 2 2 13" xfId="4416"/>
    <cellStyle name="Normal 2 2 13 2" xfId="4417"/>
    <cellStyle name="Normal 2 2 13 2 2" xfId="4418"/>
    <cellStyle name="Normal 2 2 13 3" xfId="4419"/>
    <cellStyle name="Normal 2 2 14" xfId="4420"/>
    <cellStyle name="Normal 2 2 14 2" xfId="4421"/>
    <cellStyle name="Normal 2 2 14 3" xfId="4422"/>
    <cellStyle name="Normal 2 2 15" xfId="4423"/>
    <cellStyle name="Normal 2 2 15 2" xfId="4424"/>
    <cellStyle name="Normal 2 2 16" xfId="4425"/>
    <cellStyle name="Normal 2 2 2" xfId="4426"/>
    <cellStyle name="Normal 2 2 2 2" xfId="4427"/>
    <cellStyle name="Normal 2 2 2 2 2" xfId="4428"/>
    <cellStyle name="Normal 2 2 2 2 3" xfId="4429"/>
    <cellStyle name="Normal 2 2 2 3" xfId="4430"/>
    <cellStyle name="Normal 2 2 2 3 2" xfId="4431"/>
    <cellStyle name="Normal 2 2 2 3 3" xfId="4432"/>
    <cellStyle name="Normal 2 2 2 4" xfId="4433"/>
    <cellStyle name="Normal 2 2 2 5" xfId="4434"/>
    <cellStyle name="Normal 2 2 2 5 2" xfId="4435"/>
    <cellStyle name="Normal 2 2 2 6" xfId="4436"/>
    <cellStyle name="Normal 2 2 2 6 2" xfId="4437"/>
    <cellStyle name="Normal 2 2 2 7" xfId="4438"/>
    <cellStyle name="Normal 2 2 2 8" xfId="4439"/>
    <cellStyle name="Normal 2 2 3" xfId="4440"/>
    <cellStyle name="Normal 2 2 3 2" xfId="4441"/>
    <cellStyle name="Normal 2 2 3 2 2" xfId="4442"/>
    <cellStyle name="Normal 2 2 3 2 3" xfId="4443"/>
    <cellStyle name="Normal 2 2 3 2 4" xfId="4444"/>
    <cellStyle name="Normal 2 2 3 3" xfId="4445"/>
    <cellStyle name="Normal 2 2 3 3 2" xfId="4446"/>
    <cellStyle name="Normal 2 2 3 3 3" xfId="4447"/>
    <cellStyle name="Normal 2 2 3 4" xfId="4448"/>
    <cellStyle name="Normal 2 2 4" xfId="4449"/>
    <cellStyle name="Normal 2 2 4 2" xfId="4450"/>
    <cellStyle name="Normal 2 2 4 2 2" xfId="4451"/>
    <cellStyle name="Normal 2 2 4 2 3" xfId="4452"/>
    <cellStyle name="Normal 2 2 4 3" xfId="4453"/>
    <cellStyle name="Normal 2 2 4 3 2" xfId="4454"/>
    <cellStyle name="Normal 2 2 4 4" xfId="4455"/>
    <cellStyle name="Normal 2 2 4 5" xfId="4456"/>
    <cellStyle name="Normal 2 2 5" xfId="4457"/>
    <cellStyle name="Normal 2 2 5 2" xfId="4458"/>
    <cellStyle name="Normal 2 2 5 2 2" xfId="4459"/>
    <cellStyle name="Normal 2 2 5 2 3" xfId="4460"/>
    <cellStyle name="Normal 2 2 5 3" xfId="4461"/>
    <cellStyle name="Normal 2 2 5 3 2" xfId="4462"/>
    <cellStyle name="Normal 2 2 5 4" xfId="4463"/>
    <cellStyle name="Normal 2 2 5 5" xfId="4464"/>
    <cellStyle name="Normal 2 2 6" xfId="4465"/>
    <cellStyle name="Normal 2 2 6 2" xfId="4466"/>
    <cellStyle name="Normal 2 2 6 2 2" xfId="4467"/>
    <cellStyle name="Normal 2 2 6 2 3" xfId="4468"/>
    <cellStyle name="Normal 2 2 6 3" xfId="4469"/>
    <cellStyle name="Normal 2 2 6 4" xfId="4470"/>
    <cellStyle name="Normal 2 2 7" xfId="4471"/>
    <cellStyle name="Normal 2 2 7 2" xfId="4472"/>
    <cellStyle name="Normal 2 2 7 2 2" xfId="4473"/>
    <cellStyle name="Normal 2 2 7 2 3" xfId="4474"/>
    <cellStyle name="Normal 2 2 7 3" xfId="4475"/>
    <cellStyle name="Normal 2 2 7 4" xfId="4476"/>
    <cellStyle name="Normal 2 2 8" xfId="4477"/>
    <cellStyle name="Normal 2 2 8 2" xfId="4478"/>
    <cellStyle name="Normal 2 2 8 2 2" xfId="4479"/>
    <cellStyle name="Normal 2 2 8 2 3" xfId="4480"/>
    <cellStyle name="Normal 2 2 8 3" xfId="4481"/>
    <cellStyle name="Normal 2 2 8 4" xfId="4482"/>
    <cellStyle name="Normal 2 2 9" xfId="4483"/>
    <cellStyle name="Normal 2 2 9 2" xfId="4484"/>
    <cellStyle name="Normal 2 2 9 2 2" xfId="4485"/>
    <cellStyle name="Normal 2 2 9 3" xfId="4486"/>
    <cellStyle name="Normal 2 2_ELC" xfId="4487"/>
    <cellStyle name="Normal 2 20" xfId="4488"/>
    <cellStyle name="Normal 2 21" xfId="4489"/>
    <cellStyle name="Normal 2 22" xfId="4490"/>
    <cellStyle name="Normal 2 23" xfId="4491"/>
    <cellStyle name="Normal 2 24" xfId="4492"/>
    <cellStyle name="Normal 2 25" xfId="4493"/>
    <cellStyle name="Normal 2 26" xfId="4494"/>
    <cellStyle name="Normal 2 27" xfId="4495"/>
    <cellStyle name="Normal 2 28" xfId="4496"/>
    <cellStyle name="Normal 2 29" xfId="4497"/>
    <cellStyle name="Normal 2 3" xfId="4498"/>
    <cellStyle name="Normal 2 3 10" xfId="4499"/>
    <cellStyle name="Normal 2 3 10 2" xfId="4500"/>
    <cellStyle name="Normal 2 3 10 2 2" xfId="4501"/>
    <cellStyle name="Normal 2 3 10 3" xfId="4502"/>
    <cellStyle name="Normal 2 3 11" xfId="4503"/>
    <cellStyle name="Normal 2 3 11 2" xfId="4504"/>
    <cellStyle name="Normal 2 3 11 2 2" xfId="4505"/>
    <cellStyle name="Normal 2 3 11 3" xfId="4506"/>
    <cellStyle name="Normal 2 3 12" xfId="4507"/>
    <cellStyle name="Normal 2 3 12 2" xfId="4508"/>
    <cellStyle name="Normal 2 3 12 2 2" xfId="4509"/>
    <cellStyle name="Normal 2 3 12 3" xfId="4510"/>
    <cellStyle name="Normal 2 3 13" xfId="4511"/>
    <cellStyle name="Normal 2 3 13 2" xfId="4512"/>
    <cellStyle name="Normal 2 3 13 2 2" xfId="4513"/>
    <cellStyle name="Normal 2 3 13 3" xfId="4514"/>
    <cellStyle name="Normal 2 3 14" xfId="4515"/>
    <cellStyle name="Normal 2 3 2" xfId="4516"/>
    <cellStyle name="Normal 2 3 2 2" xfId="4517"/>
    <cellStyle name="Normal 2 3 2 2 2" xfId="4518"/>
    <cellStyle name="Normal 2 3 2 2 2 2" xfId="4519"/>
    <cellStyle name="Normal 2 3 2 2 3" xfId="4520"/>
    <cellStyle name="Normal 2 3 2 2 3 2" xfId="4521"/>
    <cellStyle name="Normal 2 3 2 2 4" xfId="4522"/>
    <cellStyle name="Normal 2 3 2 2 5" xfId="4523"/>
    <cellStyle name="Normal 2 3 2 3" xfId="4524"/>
    <cellStyle name="Normal 2 3 2 3 2" xfId="4525"/>
    <cellStyle name="Normal 2 3 2 4" xfId="4526"/>
    <cellStyle name="Normal 2 3 2 4 2" xfId="4527"/>
    <cellStyle name="Normal 2 3 2 5" xfId="4528"/>
    <cellStyle name="Normal 2 3 2 5 2" xfId="4529"/>
    <cellStyle name="Normal 2 3 2 6" xfId="4530"/>
    <cellStyle name="Normal 2 3 2 6 2" xfId="4531"/>
    <cellStyle name="Normal 2 3 2 7" xfId="4532"/>
    <cellStyle name="Normal 2 3 2 8" xfId="4533"/>
    <cellStyle name="Normal 2 3 3" xfId="4534"/>
    <cellStyle name="Normal 2 3 3 2" xfId="4535"/>
    <cellStyle name="Normal 2 3 3 2 2" xfId="4536"/>
    <cellStyle name="Normal 2 3 3 2 3" xfId="4537"/>
    <cellStyle name="Normal 2 3 3 2 4" xfId="4538"/>
    <cellStyle name="Normal 2 3 3 3" xfId="4539"/>
    <cellStyle name="Normal 2 3 3 3 2" xfId="4540"/>
    <cellStyle name="Normal 2 3 3 3 3" xfId="4541"/>
    <cellStyle name="Normal 2 3 3 4" xfId="4542"/>
    <cellStyle name="Normal 2 3 4" xfId="4543"/>
    <cellStyle name="Normal 2 3 4 2" xfId="4544"/>
    <cellStyle name="Normal 2 3 4 2 2" xfId="4545"/>
    <cellStyle name="Normal 2 3 4 2 2 2" xfId="4546"/>
    <cellStyle name="Normal 2 3 4 2 3" xfId="4547"/>
    <cellStyle name="Normal 2 3 4 2 4" xfId="4548"/>
    <cellStyle name="Normal 2 3 4 3" xfId="4549"/>
    <cellStyle name="Normal 2 3 4 3 2" xfId="4550"/>
    <cellStyle name="Normal 2 3 4 4" xfId="4551"/>
    <cellStyle name="Normal 2 3 4 4 2" xfId="4552"/>
    <cellStyle name="Normal 2 3 4 5" xfId="4553"/>
    <cellStyle name="Normal 2 3 4 5 2" xfId="4554"/>
    <cellStyle name="Normal 2 3 4 6" xfId="4555"/>
    <cellStyle name="Normal 2 3 4 7" xfId="4556"/>
    <cellStyle name="Normal 2 3 5" xfId="4557"/>
    <cellStyle name="Normal 2 3 5 2" xfId="4558"/>
    <cellStyle name="Normal 2 3 5 2 2" xfId="4559"/>
    <cellStyle name="Normal 2 3 5 2 3" xfId="4560"/>
    <cellStyle name="Normal 2 3 5 3" xfId="4561"/>
    <cellStyle name="Normal 2 3 5 3 2" xfId="4562"/>
    <cellStyle name="Normal 2 3 5 4" xfId="4563"/>
    <cellStyle name="Normal 2 3 5 5" xfId="4564"/>
    <cellStyle name="Normal 2 3 6" xfId="4565"/>
    <cellStyle name="Normal 2 3 6 2" xfId="4566"/>
    <cellStyle name="Normal 2 3 6 2 2" xfId="4567"/>
    <cellStyle name="Normal 2 3 6 2 3" xfId="4568"/>
    <cellStyle name="Normal 2 3 6 3" xfId="4569"/>
    <cellStyle name="Normal 2 3 6 3 2" xfId="4570"/>
    <cellStyle name="Normal 2 3 6 4" xfId="4571"/>
    <cellStyle name="Normal 2 3 6 5" xfId="4572"/>
    <cellStyle name="Normal 2 3 7" xfId="4573"/>
    <cellStyle name="Normal 2 3 7 2" xfId="4574"/>
    <cellStyle name="Normal 2 3 7 2 2" xfId="4575"/>
    <cellStyle name="Normal 2 3 7 3" xfId="4576"/>
    <cellStyle name="Normal 2 3 8" xfId="4577"/>
    <cellStyle name="Normal 2 3 8 2" xfId="4578"/>
    <cellStyle name="Normal 2 3 8 2 2" xfId="4579"/>
    <cellStyle name="Normal 2 3 8 3" xfId="4580"/>
    <cellStyle name="Normal 2 3 9" xfId="4581"/>
    <cellStyle name="Normal 2 3 9 2" xfId="4582"/>
    <cellStyle name="Normal 2 3 9 2 2" xfId="4583"/>
    <cellStyle name="Normal 2 3 9 3" xfId="4584"/>
    <cellStyle name="Normal 2 30" xfId="4585"/>
    <cellStyle name="Normal 2 31" xfId="4586"/>
    <cellStyle name="Normal 2 32" xfId="4587"/>
    <cellStyle name="Normal 2 33" xfId="4588"/>
    <cellStyle name="Normal 2 34" xfId="4589"/>
    <cellStyle name="Normal 2 35" xfId="4590"/>
    <cellStyle name="Normal 2 36" xfId="4591"/>
    <cellStyle name="Normal 2 37" xfId="4592"/>
    <cellStyle name="Normal 2 38" xfId="4593"/>
    <cellStyle name="Normal 2 39" xfId="4594"/>
    <cellStyle name="Normal 2 4" xfId="4595"/>
    <cellStyle name="Normal 2 4 10" xfId="4596"/>
    <cellStyle name="Normal 2 4 10 2" xfId="4597"/>
    <cellStyle name="Normal 2 4 10 2 2" xfId="4598"/>
    <cellStyle name="Normal 2 4 10 3" xfId="4599"/>
    <cellStyle name="Normal 2 4 11" xfId="4600"/>
    <cellStyle name="Normal 2 4 11 2" xfId="4601"/>
    <cellStyle name="Normal 2 4 11 2 2" xfId="4602"/>
    <cellStyle name="Normal 2 4 11 3" xfId="4603"/>
    <cellStyle name="Normal 2 4 12" xfId="4604"/>
    <cellStyle name="Normal 2 4 12 2" xfId="4605"/>
    <cellStyle name="Normal 2 4 12 2 2" xfId="4606"/>
    <cellStyle name="Normal 2 4 12 3" xfId="4607"/>
    <cellStyle name="Normal 2 4 13" xfId="4608"/>
    <cellStyle name="Normal 2 4 13 2" xfId="4609"/>
    <cellStyle name="Normal 2 4 13 2 2" xfId="4610"/>
    <cellStyle name="Normal 2 4 13 3" xfId="4611"/>
    <cellStyle name="Normal 2 4 14" xfId="4612"/>
    <cellStyle name="Normal 2 4 2" xfId="4613"/>
    <cellStyle name="Normal 2 4 2 2" xfId="4614"/>
    <cellStyle name="Normal 2 4 2 2 2" xfId="4615"/>
    <cellStyle name="Normal 2 4 2 2 3" xfId="4616"/>
    <cellStyle name="Normal 2 4 2 3" xfId="4617"/>
    <cellStyle name="Normal 2 4 2 4" xfId="4618"/>
    <cellStyle name="Normal 2 4 3" xfId="4619"/>
    <cellStyle name="Normal 2 4 3 2" xfId="4620"/>
    <cellStyle name="Normal 2 4 3 2 2" xfId="4621"/>
    <cellStyle name="Normal 2 4 3 2 3" xfId="4622"/>
    <cellStyle name="Normal 2 4 3 3" xfId="4623"/>
    <cellStyle name="Normal 2 4 3 4" xfId="4624"/>
    <cellStyle name="Normal 2 4 4" xfId="4625"/>
    <cellStyle name="Normal 2 4 4 2" xfId="4626"/>
    <cellStyle name="Normal 2 4 4 2 2" xfId="4627"/>
    <cellStyle name="Normal 2 4 4 2 3" xfId="4628"/>
    <cellStyle name="Normal 2 4 4 3" xfId="4629"/>
    <cellStyle name="Normal 2 4 4 4" xfId="4630"/>
    <cellStyle name="Normal 2 4 5" xfId="4631"/>
    <cellStyle name="Normal 2 4 5 2" xfId="4632"/>
    <cellStyle name="Normal 2 4 5 2 2" xfId="4633"/>
    <cellStyle name="Normal 2 4 5 2 3" xfId="4634"/>
    <cellStyle name="Normal 2 4 5 3" xfId="4635"/>
    <cellStyle name="Normal 2 4 5 4" xfId="4636"/>
    <cellStyle name="Normal 2 4 6" xfId="4637"/>
    <cellStyle name="Normal 2 4 6 2" xfId="4638"/>
    <cellStyle name="Normal 2 4 6 2 2" xfId="4639"/>
    <cellStyle name="Normal 2 4 6 3" xfId="4640"/>
    <cellStyle name="Normal 2 4 7" xfId="4641"/>
    <cellStyle name="Normal 2 4 7 2" xfId="4642"/>
    <cellStyle name="Normal 2 4 7 2 2" xfId="4643"/>
    <cellStyle name="Normal 2 4 7 3" xfId="4644"/>
    <cellStyle name="Normal 2 4 8" xfId="4645"/>
    <cellStyle name="Normal 2 4 8 2" xfId="4646"/>
    <cellStyle name="Normal 2 4 8 2 2" xfId="4647"/>
    <cellStyle name="Normal 2 4 8 3" xfId="4648"/>
    <cellStyle name="Normal 2 4 9" xfId="4649"/>
    <cellStyle name="Normal 2 4 9 2" xfId="4650"/>
    <cellStyle name="Normal 2 4 9 2 2" xfId="4651"/>
    <cellStyle name="Normal 2 4 9 3" xfId="4652"/>
    <cellStyle name="Normal 2 40" xfId="4653"/>
    <cellStyle name="Normal 2 41" xfId="4654"/>
    <cellStyle name="Normal 2 42" xfId="4655"/>
    <cellStyle name="Normal 2 43" xfId="4656"/>
    <cellStyle name="Normal 2 44" xfId="4657"/>
    <cellStyle name="Normal 2 45" xfId="4658"/>
    <cellStyle name="Normal 2 45 2" xfId="4659"/>
    <cellStyle name="Normal 2 46" xfId="4660"/>
    <cellStyle name="Normal 2 46 2" xfId="4661"/>
    <cellStyle name="Normal 2 47" xfId="4662"/>
    <cellStyle name="Normal 2 47 2" xfId="4663"/>
    <cellStyle name="Normal 2 48" xfId="4664"/>
    <cellStyle name="Normal 2 48 2" xfId="4665"/>
    <cellStyle name="Normal 2 49" xfId="4666"/>
    <cellStyle name="Normal 2 5" xfId="4667"/>
    <cellStyle name="Normal 2 5 10" xfId="4668"/>
    <cellStyle name="Normal 2 5 11" xfId="4669"/>
    <cellStyle name="Normal 2 5 12" xfId="4670"/>
    <cellStyle name="Normal 2 5 13" xfId="4671"/>
    <cellStyle name="Normal 2 5 14" xfId="4672"/>
    <cellStyle name="Normal 2 5 15" xfId="4673"/>
    <cellStyle name="Normal 2 5 16" xfId="4674"/>
    <cellStyle name="Normal 2 5 17" xfId="4675"/>
    <cellStyle name="Normal 2 5 18" xfId="4676"/>
    <cellStyle name="Normal 2 5 2" xfId="4677"/>
    <cellStyle name="Normal 2 5 2 2" xfId="4678"/>
    <cellStyle name="Normal 2 5 2 2 2" xfId="4679"/>
    <cellStyle name="Normal 2 5 2 2 3" xfId="4680"/>
    <cellStyle name="Normal 2 5 2 3" xfId="4681"/>
    <cellStyle name="Normal 2 5 2 3 2" xfId="4682"/>
    <cellStyle name="Normal 2 5 2 4" xfId="4683"/>
    <cellStyle name="Normal 2 5 2 4 2" xfId="4684"/>
    <cellStyle name="Normal 2 5 2 5" xfId="4685"/>
    <cellStyle name="Normal 2 5 2 5 2" xfId="4686"/>
    <cellStyle name="Normal 2 5 2 6" xfId="4687"/>
    <cellStyle name="Normal 2 5 2 7" xfId="4688"/>
    <cellStyle name="Normal 2 5 2 8" xfId="4689"/>
    <cellStyle name="Normal 2 5 3" xfId="4690"/>
    <cellStyle name="Normal 2 5 4" xfId="4691"/>
    <cellStyle name="Normal 2 5 5" xfId="4692"/>
    <cellStyle name="Normal 2 5 6" xfId="4693"/>
    <cellStyle name="Normal 2 5 7" xfId="4694"/>
    <cellStyle name="Normal 2 5 8" xfId="4695"/>
    <cellStyle name="Normal 2 5 9" xfId="4696"/>
    <cellStyle name="Normal 2 6" xfId="4697"/>
    <cellStyle name="Normal 2 6 10" xfId="4698"/>
    <cellStyle name="Normal 2 6 11" xfId="4699"/>
    <cellStyle name="Normal 2 6 12" xfId="4700"/>
    <cellStyle name="Normal 2 6 13" xfId="4701"/>
    <cellStyle name="Normal 2 6 14" xfId="4702"/>
    <cellStyle name="Normal 2 6 15" xfId="4703"/>
    <cellStyle name="Normal 2 6 16" xfId="4704"/>
    <cellStyle name="Normal 2 6 17" xfId="4705"/>
    <cellStyle name="Normal 2 6 17 2" xfId="4706"/>
    <cellStyle name="Normal 2 6 18" xfId="4707"/>
    <cellStyle name="Normal 2 6 18 2" xfId="4708"/>
    <cellStyle name="Normal 2 6 19" xfId="4709"/>
    <cellStyle name="Normal 2 6 2" xfId="4710"/>
    <cellStyle name="Normal 2 6 2 2" xfId="4711"/>
    <cellStyle name="Normal 2 6 2 3" xfId="4712"/>
    <cellStyle name="Normal 2 6 2 3 2" xfId="4713"/>
    <cellStyle name="Normal 2 6 2 4" xfId="4714"/>
    <cellStyle name="Normal 2 6 2 4 2" xfId="4715"/>
    <cellStyle name="Normal 2 6 2 5" xfId="4716"/>
    <cellStyle name="Normal 2 6 2 6" xfId="4717"/>
    <cellStyle name="Normal 2 6 20" xfId="4718"/>
    <cellStyle name="Normal 2 6 3" xfId="4719"/>
    <cellStyle name="Normal 2 6 3 2" xfId="4720"/>
    <cellStyle name="Normal 2 6 3 3" xfId="4721"/>
    <cellStyle name="Normal 2 6 4" xfId="4722"/>
    <cellStyle name="Normal 2 6 5" xfId="4723"/>
    <cellStyle name="Normal 2 6 6" xfId="4724"/>
    <cellStyle name="Normal 2 6 7" xfId="4725"/>
    <cellStyle name="Normal 2 6 8" xfId="4726"/>
    <cellStyle name="Normal 2 6 9" xfId="4727"/>
    <cellStyle name="Normal 2 7" xfId="4728"/>
    <cellStyle name="Normal 2 7 2" xfId="4729"/>
    <cellStyle name="Normal 2 7 2 2" xfId="4730"/>
    <cellStyle name="Normal 2 7 2 3" xfId="4731"/>
    <cellStyle name="Normal 2 7 3" xfId="4732"/>
    <cellStyle name="Normal 2 8" xfId="4733"/>
    <cellStyle name="Normal 2 8 2" xfId="4734"/>
    <cellStyle name="Normal 2 8 3" xfId="4735"/>
    <cellStyle name="Normal 2 8 4" xfId="4736"/>
    <cellStyle name="Normal 2 8 4 2" xfId="4737"/>
    <cellStyle name="Normal 2 9" xfId="4738"/>
    <cellStyle name="Normal 2 9 2" xfId="4739"/>
    <cellStyle name="Normal 2 9 2 2" xfId="4740"/>
    <cellStyle name="Normal 2 9 2 3" xfId="4741"/>
    <cellStyle name="Normal 2 9 3" xfId="4742"/>
    <cellStyle name="Normal 2 9 3 2" xfId="4743"/>
    <cellStyle name="Normal 2 9 4" xfId="4744"/>
    <cellStyle name="Normal 2 9 5" xfId="4745"/>
    <cellStyle name="Normal 2_FILL-ICM" xfId="4746"/>
    <cellStyle name="Normal 20" xfId="4747"/>
    <cellStyle name="Normal 20 2" xfId="4748"/>
    <cellStyle name="Normal 20 3" xfId="4749"/>
    <cellStyle name="Normal 20 4" xfId="4750"/>
    <cellStyle name="Normal 21" xfId="4751"/>
    <cellStyle name="Normal 21 2" xfId="4752"/>
    <cellStyle name="Normal 21 3" xfId="4753"/>
    <cellStyle name="Normal 21 4" xfId="4754"/>
    <cellStyle name="Normal 21 5" xfId="4755"/>
    <cellStyle name="Normal 21 6" xfId="4756"/>
    <cellStyle name="Normal 21_Scen_XBase" xfId="4757"/>
    <cellStyle name="Normal 22" xfId="4758"/>
    <cellStyle name="Normal 22 2" xfId="4759"/>
    <cellStyle name="Normal 23" xfId="4760"/>
    <cellStyle name="Normal 23 2" xfId="4761"/>
    <cellStyle name="Normal 23 3" xfId="4762"/>
    <cellStyle name="Normal 23 4" xfId="4763"/>
    <cellStyle name="Normal 23 5" xfId="4764"/>
    <cellStyle name="Normal 24" xfId="4765"/>
    <cellStyle name="Normal 24 10" xfId="4766"/>
    <cellStyle name="Normal 24 11" xfId="4767"/>
    <cellStyle name="Normal 24 12" xfId="4768"/>
    <cellStyle name="Normal 24 13" xfId="4769"/>
    <cellStyle name="Normal 24 14" xfId="4770"/>
    <cellStyle name="Normal 24 15" xfId="4771"/>
    <cellStyle name="Normal 24 16" xfId="4772"/>
    <cellStyle name="Normal 24 17" xfId="4773"/>
    <cellStyle name="Normal 24 18" xfId="4774"/>
    <cellStyle name="Normal 24 19" xfId="4775"/>
    <cellStyle name="Normal 24 2" xfId="4776"/>
    <cellStyle name="Normal 24 20" xfId="4777"/>
    <cellStyle name="Normal 24 3" xfId="4778"/>
    <cellStyle name="Normal 24 4" xfId="4779"/>
    <cellStyle name="Normal 24 5" xfId="4780"/>
    <cellStyle name="Normal 24 6" xfId="4781"/>
    <cellStyle name="Normal 24 7" xfId="4782"/>
    <cellStyle name="Normal 24 8" xfId="4783"/>
    <cellStyle name="Normal 24 9" xfId="4784"/>
    <cellStyle name="Normal 25" xfId="4785"/>
    <cellStyle name="Normal 26" xfId="4786"/>
    <cellStyle name="Normal 26 2" xfId="4787"/>
    <cellStyle name="Normal 26 3" xfId="4788"/>
    <cellStyle name="Normal 27" xfId="4789"/>
    <cellStyle name="Normal 27 2" xfId="4790"/>
    <cellStyle name="Normal 28" xfId="4791"/>
    <cellStyle name="Normal 29" xfId="4792"/>
    <cellStyle name="Normal 29 2" xfId="4793"/>
    <cellStyle name="Normal 29 3" xfId="4794"/>
    <cellStyle name="Normal 29 4" xfId="4795"/>
    <cellStyle name="Normal 3" xfId="4796"/>
    <cellStyle name="Normal 3 10" xfId="4797"/>
    <cellStyle name="Normal 3 11" xfId="4798"/>
    <cellStyle name="Normal 3 12" xfId="4799"/>
    <cellStyle name="Normal 3 13" xfId="4800"/>
    <cellStyle name="Normal 3 14" xfId="4801"/>
    <cellStyle name="Normal 3 15" xfId="4802"/>
    <cellStyle name="Normal 3 16" xfId="4803"/>
    <cellStyle name="Normal 3 17" xfId="4804"/>
    <cellStyle name="Normal 3 18" xfId="4805"/>
    <cellStyle name="Normal 3 19" xfId="4806"/>
    <cellStyle name="Normal 3 2" xfId="4807"/>
    <cellStyle name="Normal 3 2 10" xfId="4808"/>
    <cellStyle name="Normal 3 2 11" xfId="4809"/>
    <cellStyle name="Normal 3 2 11 2" xfId="4810"/>
    <cellStyle name="Normal 3 2 12" xfId="4811"/>
    <cellStyle name="Normal 3 2 13" xfId="4812"/>
    <cellStyle name="Normal 3 2 2" xfId="4813"/>
    <cellStyle name="Normal 3 2 2 2" xfId="4814"/>
    <cellStyle name="Normal 3 2 2 3" xfId="4815"/>
    <cellStyle name="Normal 3 2 2 4" xfId="4816"/>
    <cellStyle name="Normal 3 2 2 4 2" xfId="4817"/>
    <cellStyle name="Normal 3 2 3" xfId="4818"/>
    <cellStyle name="Normal 3 2 3 2" xfId="4819"/>
    <cellStyle name="Normal 3 2 3 3" xfId="4820"/>
    <cellStyle name="Normal 3 2 3 4" xfId="4821"/>
    <cellStyle name="Normal 3 2 3 5" xfId="4822"/>
    <cellStyle name="Normal 3 2 4" xfId="4823"/>
    <cellStyle name="Normal 3 2 4 2" xfId="4824"/>
    <cellStyle name="Normal 3 2 4 3" xfId="4825"/>
    <cellStyle name="Normal 3 2 5" xfId="4826"/>
    <cellStyle name="Normal 3 2 6" xfId="4827"/>
    <cellStyle name="Normal 3 2 7" xfId="4828"/>
    <cellStyle name="Normal 3 2 8" xfId="4829"/>
    <cellStyle name="Normal 3 2 9" xfId="4830"/>
    <cellStyle name="Normal 3 2 9 2" xfId="4831"/>
    <cellStyle name="Normal 3 2 9 2 2" xfId="4832"/>
    <cellStyle name="Normal 3 2 9 3" xfId="4833"/>
    <cellStyle name="Normal 3 2 9 4" xfId="4834"/>
    <cellStyle name="Normal 3 2_ELC" xfId="4835"/>
    <cellStyle name="Normal 3 20" xfId="4836"/>
    <cellStyle name="Normal 3 21" xfId="4837"/>
    <cellStyle name="Normal 3 22" xfId="4838"/>
    <cellStyle name="Normal 3 23" xfId="4839"/>
    <cellStyle name="Normal 3 24" xfId="4840"/>
    <cellStyle name="Normal 3 25" xfId="4841"/>
    <cellStyle name="Normal 3 26" xfId="4842"/>
    <cellStyle name="Normal 3 27" xfId="4843"/>
    <cellStyle name="Normal 3 28" xfId="4844"/>
    <cellStyle name="Normal 3 29" xfId="4845"/>
    <cellStyle name="Normal 3 3" xfId="4846"/>
    <cellStyle name="Normal 3 3 2" xfId="4847"/>
    <cellStyle name="Normal 3 3 2 2" xfId="4848"/>
    <cellStyle name="Normal 3 3 2 3" xfId="4849"/>
    <cellStyle name="Normal 3 3 2 4" xfId="4850"/>
    <cellStyle name="Normal 3 3 3" xfId="4851"/>
    <cellStyle name="Normal 3 3 4" xfId="4852"/>
    <cellStyle name="Normal 3 3 5" xfId="4853"/>
    <cellStyle name="Normal 3 3 6" xfId="4854"/>
    <cellStyle name="Normal 3 3 7" xfId="4855"/>
    <cellStyle name="Normal 3 3 8" xfId="4856"/>
    <cellStyle name="Normal 3 3 9" xfId="4857"/>
    <cellStyle name="Normal 3 30" xfId="4858"/>
    <cellStyle name="Normal 3 4" xfId="4859"/>
    <cellStyle name="Normal 3 4 2" xfId="4860"/>
    <cellStyle name="Normal 3 4 3" xfId="4861"/>
    <cellStyle name="Normal 3 4 4" xfId="4862"/>
    <cellStyle name="Normal 3 4 4 2" xfId="4863"/>
    <cellStyle name="Normal 3 4 4 3" xfId="4864"/>
    <cellStyle name="Normal 3 4 5" xfId="4865"/>
    <cellStyle name="Normal 3 4 6" xfId="4866"/>
    <cellStyle name="Normal 3 4 7" xfId="4867"/>
    <cellStyle name="Normal 3 4 8" xfId="4868"/>
    <cellStyle name="Normal 3 5" xfId="4869"/>
    <cellStyle name="Normal 3 5 10" xfId="4870"/>
    <cellStyle name="Normal 3 5 2" xfId="4871"/>
    <cellStyle name="Normal 3 5 3" xfId="4872"/>
    <cellStyle name="Normal 3 5 3 2" xfId="4873"/>
    <cellStyle name="Normal 3 5 3 3" xfId="4874"/>
    <cellStyle name="Normal 3 5 4" xfId="4875"/>
    <cellStyle name="Normal 3 5 4 2" xfId="4876"/>
    <cellStyle name="Normal 3 5 4 3" xfId="4877"/>
    <cellStyle name="Normal 3 5 4 4" xfId="4878"/>
    <cellStyle name="Normal 3 5 5" xfId="4879"/>
    <cellStyle name="Normal 3 5 6" xfId="4880"/>
    <cellStyle name="Normal 3 5 7" xfId="4881"/>
    <cellStyle name="Normal 3 5 8" xfId="4882"/>
    <cellStyle name="Normal 3 5 9" xfId="4883"/>
    <cellStyle name="Normal 3 6" xfId="4884"/>
    <cellStyle name="Normal 3 6 2" xfId="4885"/>
    <cellStyle name="Normal 3 6 2 2" xfId="4886"/>
    <cellStyle name="Normal 3 6 2 3" xfId="4887"/>
    <cellStyle name="Normal 3 6 3" xfId="4888"/>
    <cellStyle name="Normal 3 6 4" xfId="4889"/>
    <cellStyle name="Normal 3 7" xfId="4890"/>
    <cellStyle name="Normal 3 7 2" xfId="4891"/>
    <cellStyle name="Normal 3 7 3" xfId="4892"/>
    <cellStyle name="Normal 3 8" xfId="4893"/>
    <cellStyle name="Normal 3 9" xfId="4894"/>
    <cellStyle name="Normal 3_UC_ICM" xfId="4895"/>
    <cellStyle name="Normal 30" xfId="4896"/>
    <cellStyle name="Normal 30 2" xfId="4897"/>
    <cellStyle name="Normal 30 3" xfId="4898"/>
    <cellStyle name="Normal 30 4" xfId="4899"/>
    <cellStyle name="Normal 31" xfId="4900"/>
    <cellStyle name="Normal 31 2" xfId="4901"/>
    <cellStyle name="Normal 32" xfId="4902"/>
    <cellStyle name="Normal 32 2" xfId="4903"/>
    <cellStyle name="Normal 33" xfId="4904"/>
    <cellStyle name="Normal 33 10" xfId="4905"/>
    <cellStyle name="Normal 33 11" xfId="4906"/>
    <cellStyle name="Normal 33 12" xfId="4907"/>
    <cellStyle name="Normal 33 13" xfId="4908"/>
    <cellStyle name="Normal 33 2" xfId="4909"/>
    <cellStyle name="Normal 33 3" xfId="4910"/>
    <cellStyle name="Normal 33 4" xfId="4911"/>
    <cellStyle name="Normal 33 5" xfId="4912"/>
    <cellStyle name="Normal 33 6" xfId="4913"/>
    <cellStyle name="Normal 33 7" xfId="4914"/>
    <cellStyle name="Normal 33 8" xfId="4915"/>
    <cellStyle name="Normal 33 9" xfId="4916"/>
    <cellStyle name="Normal 33_Scen_XBase" xfId="4917"/>
    <cellStyle name="Normal 34" xfId="4918"/>
    <cellStyle name="Normal 35" xfId="4919"/>
    <cellStyle name="Normal 35 2" xfId="4920"/>
    <cellStyle name="Normal 36" xfId="4921"/>
    <cellStyle name="Normal 36 2" xfId="4922"/>
    <cellStyle name="Normal 37" xfId="4923"/>
    <cellStyle name="Normal 37 2" xfId="4924"/>
    <cellStyle name="Normal 38" xfId="4925"/>
    <cellStyle name="Normal 38 2" xfId="4926"/>
    <cellStyle name="Normal 39" xfId="4927"/>
    <cellStyle name="Normal 4" xfId="4928"/>
    <cellStyle name="Normal 4 10" xfId="4929"/>
    <cellStyle name="Normal 4 10 2" xfId="4930"/>
    <cellStyle name="Normal 4 10 3" xfId="4931"/>
    <cellStyle name="Normal 4 11" xfId="4932"/>
    <cellStyle name="Normal 4 11 2" xfId="4933"/>
    <cellStyle name="Normal 4 11 3" xfId="4934"/>
    <cellStyle name="Normal 4 12" xfId="4935"/>
    <cellStyle name="Normal 4 13" xfId="4936"/>
    <cellStyle name="Normal 4 13 2" xfId="4937"/>
    <cellStyle name="Normal 4 13 3" xfId="4938"/>
    <cellStyle name="Normal 4 2" xfId="4939"/>
    <cellStyle name="Normal 4 2 10" xfId="4940"/>
    <cellStyle name="Normal 4 2 10 2" xfId="4941"/>
    <cellStyle name="Normal 4 2 11" xfId="4942"/>
    <cellStyle name="Normal 4 2 12" xfId="4943"/>
    <cellStyle name="Normal 4 2 2" xfId="4944"/>
    <cellStyle name="Normal 4 2 2 10" xfId="4945"/>
    <cellStyle name="Normal 4 2 2 10 2" xfId="4946"/>
    <cellStyle name="Normal 4 2 2 10 2 2" xfId="4947"/>
    <cellStyle name="Normal 4 2 2 10 3" xfId="4948"/>
    <cellStyle name="Normal 4 2 2 11" xfId="4949"/>
    <cellStyle name="Normal 4 2 2 11 2" xfId="4950"/>
    <cellStyle name="Normal 4 2 2 11 2 2" xfId="4951"/>
    <cellStyle name="Normal 4 2 2 11 3" xfId="4952"/>
    <cellStyle name="Normal 4 2 2 12" xfId="4953"/>
    <cellStyle name="Normal 4 2 2 12 2" xfId="4954"/>
    <cellStyle name="Normal 4 2 2 12 2 2" xfId="4955"/>
    <cellStyle name="Normal 4 2 2 12 3" xfId="4956"/>
    <cellStyle name="Normal 4 2 2 13" xfId="4957"/>
    <cellStyle name="Normal 4 2 2 13 2" xfId="4958"/>
    <cellStyle name="Normal 4 2 2 13 2 2" xfId="4959"/>
    <cellStyle name="Normal 4 2 2 13 3" xfId="4960"/>
    <cellStyle name="Normal 4 2 2 14" xfId="4961"/>
    <cellStyle name="Normal 4 2 2 14 2" xfId="4962"/>
    <cellStyle name="Normal 4 2 2 14 3" xfId="4963"/>
    <cellStyle name="Normal 4 2 2 15" xfId="4964"/>
    <cellStyle name="Normal 4 2 2 2" xfId="4965"/>
    <cellStyle name="Normal 4 2 2 2 10" xfId="4966"/>
    <cellStyle name="Normal 4 2 2 2 11" xfId="4967"/>
    <cellStyle name="Normal 4 2 2 2 12" xfId="4968"/>
    <cellStyle name="Normal 4 2 2 2 13" xfId="4969"/>
    <cellStyle name="Normal 4 2 2 2 14" xfId="4970"/>
    <cellStyle name="Normal 4 2 2 2 14 2" xfId="4971"/>
    <cellStyle name="Normal 4 2 2 2 14 3" xfId="4972"/>
    <cellStyle name="Normal 4 2 2 2 15" xfId="4973"/>
    <cellStyle name="Normal 4 2 2 2 2" xfId="4974"/>
    <cellStyle name="Normal 4 2 2 2 3" xfId="4975"/>
    <cellStyle name="Normal 4 2 2 2 4" xfId="4976"/>
    <cellStyle name="Normal 4 2 2 2 5" xfId="4977"/>
    <cellStyle name="Normal 4 2 2 2 6" xfId="4978"/>
    <cellStyle name="Normal 4 2 2 2 7" xfId="4979"/>
    <cellStyle name="Normal 4 2 2 2 8" xfId="4980"/>
    <cellStyle name="Normal 4 2 2 2 9" xfId="4981"/>
    <cellStyle name="Normal 4 2 2 3" xfId="4982"/>
    <cellStyle name="Normal 4 2 2 3 2" xfId="4983"/>
    <cellStyle name="Normal 4 2 2 3 2 2" xfId="4984"/>
    <cellStyle name="Normal 4 2 2 3 3" xfId="4985"/>
    <cellStyle name="Normal 4 2 2 4" xfId="4986"/>
    <cellStyle name="Normal 4 2 2 4 2" xfId="4987"/>
    <cellStyle name="Normal 4 2 2 4 2 2" xfId="4988"/>
    <cellStyle name="Normal 4 2 2 4 3" xfId="4989"/>
    <cellStyle name="Normal 4 2 2 5" xfId="4990"/>
    <cellStyle name="Normal 4 2 2 5 2" xfId="4991"/>
    <cellStyle name="Normal 4 2 2 5 2 2" xfId="4992"/>
    <cellStyle name="Normal 4 2 2 5 3" xfId="4993"/>
    <cellStyle name="Normal 4 2 2 6" xfId="4994"/>
    <cellStyle name="Normal 4 2 2 6 2" xfId="4995"/>
    <cellStyle name="Normal 4 2 2 6 2 2" xfId="4996"/>
    <cellStyle name="Normal 4 2 2 6 3" xfId="4997"/>
    <cellStyle name="Normal 4 2 2 7" xfId="4998"/>
    <cellStyle name="Normal 4 2 2 7 2" xfId="4999"/>
    <cellStyle name="Normal 4 2 2 7 2 2" xfId="5000"/>
    <cellStyle name="Normal 4 2 2 7 3" xfId="5001"/>
    <cellStyle name="Normal 4 2 2 8" xfId="5002"/>
    <cellStyle name="Normal 4 2 2 8 2" xfId="5003"/>
    <cellStyle name="Normal 4 2 2 8 2 2" xfId="5004"/>
    <cellStyle name="Normal 4 2 2 8 3" xfId="5005"/>
    <cellStyle name="Normal 4 2 2 9" xfId="5006"/>
    <cellStyle name="Normal 4 2 2 9 2" xfId="5007"/>
    <cellStyle name="Normal 4 2 2 9 2 2" xfId="5008"/>
    <cellStyle name="Normal 4 2 2 9 3" xfId="5009"/>
    <cellStyle name="Normal 4 2 3" xfId="5010"/>
    <cellStyle name="Normal 4 2 3 2" xfId="5011"/>
    <cellStyle name="Normal 4 2 3 2 2" xfId="5012"/>
    <cellStyle name="Normal 4 2 3 3" xfId="5013"/>
    <cellStyle name="Normal 4 2 3 4" xfId="5014"/>
    <cellStyle name="Normal 4 2 4" xfId="5015"/>
    <cellStyle name="Normal 4 2 4 2" xfId="5016"/>
    <cellStyle name="Normal 4 2 5" xfId="5017"/>
    <cellStyle name="Normal 4 2 6" xfId="5018"/>
    <cellStyle name="Normal 4 2 7" xfId="5019"/>
    <cellStyle name="Normal 4 2 8" xfId="5020"/>
    <cellStyle name="Normal 4 2 9" xfId="5021"/>
    <cellStyle name="Normal 4 2_Scen_XBase" xfId="5022"/>
    <cellStyle name="Normal 4 3" xfId="5023"/>
    <cellStyle name="Normal 4 3 10" xfId="5024"/>
    <cellStyle name="Normal 4 3 11" xfId="5025"/>
    <cellStyle name="Normal 4 3 12" xfId="5026"/>
    <cellStyle name="Normal 4 3 2" xfId="5027"/>
    <cellStyle name="Normal 4 3 2 2" xfId="5028"/>
    <cellStyle name="Normal 4 3 2 3" xfId="5029"/>
    <cellStyle name="Normal 4 3 2 4" xfId="5030"/>
    <cellStyle name="Normal 4 3 3" xfId="5031"/>
    <cellStyle name="Normal 4 3 3 2" xfId="5032"/>
    <cellStyle name="Normal 4 3 3 2 2" xfId="5033"/>
    <cellStyle name="Normal 4 3 3 3" xfId="5034"/>
    <cellStyle name="Normal 4 3 3 4" xfId="5035"/>
    <cellStyle name="Normal 4 3 3 5" xfId="5036"/>
    <cellStyle name="Normal 4 3 4" xfId="5037"/>
    <cellStyle name="Normal 4 3 4 2" xfId="5038"/>
    <cellStyle name="Normal 4 3 4 3" xfId="5039"/>
    <cellStyle name="Normal 4 3 4 4" xfId="5040"/>
    <cellStyle name="Normal 4 3 4 5" xfId="5041"/>
    <cellStyle name="Normal 4 3 5" xfId="5042"/>
    <cellStyle name="Normal 4 3 5 2" xfId="5043"/>
    <cellStyle name="Normal 4 3 5 3" xfId="5044"/>
    <cellStyle name="Normal 4 3 5 4" xfId="5045"/>
    <cellStyle name="Normal 4 3 6" xfId="5046"/>
    <cellStyle name="Normal 4 3 7" xfId="5047"/>
    <cellStyle name="Normal 4 3 8" xfId="5048"/>
    <cellStyle name="Normal 4 3 9" xfId="5049"/>
    <cellStyle name="Normal 4 3 9 2" xfId="5050"/>
    <cellStyle name="Normal 4 3 9 3" xfId="5051"/>
    <cellStyle name="Normal 4 3_Scen_XBase" xfId="5052"/>
    <cellStyle name="Normal 4 4" xfId="5053"/>
    <cellStyle name="Normal 4 4 10" xfId="5054"/>
    <cellStyle name="Normal 4 4 2" xfId="5055"/>
    <cellStyle name="Normal 4 4 3" xfId="5056"/>
    <cellStyle name="Normal 4 4 3 2" xfId="5057"/>
    <cellStyle name="Normal 4 4 3 3" xfId="5058"/>
    <cellStyle name="Normal 4 4 4" xfId="5059"/>
    <cellStyle name="Normal 4 4 5" xfId="5060"/>
    <cellStyle name="Normal 4 4 6" xfId="5061"/>
    <cellStyle name="Normal 4 4 7" xfId="5062"/>
    <cellStyle name="Normal 4 4 8" xfId="5063"/>
    <cellStyle name="Normal 4 4 9" xfId="5064"/>
    <cellStyle name="Normal 4 5" xfId="5065"/>
    <cellStyle name="Normal 4 5 10" xfId="5066"/>
    <cellStyle name="Normal 4 5 11" xfId="5067"/>
    <cellStyle name="Normal 4 5 12" xfId="5068"/>
    <cellStyle name="Normal 4 5 2" xfId="5069"/>
    <cellStyle name="Normal 4 5 2 2" xfId="5070"/>
    <cellStyle name="Normal 4 5 2 3" xfId="5071"/>
    <cellStyle name="Normal 4 5 2 4" xfId="5072"/>
    <cellStyle name="Normal 4 5 3" xfId="5073"/>
    <cellStyle name="Normal 4 5 3 2" xfId="5074"/>
    <cellStyle name="Normal 4 5 3 3" xfId="5075"/>
    <cellStyle name="Normal 4 5 3 4" xfId="5076"/>
    <cellStyle name="Normal 4 5 4" xfId="5077"/>
    <cellStyle name="Normal 4 5 5" xfId="5078"/>
    <cellStyle name="Normal 4 5 6" xfId="5079"/>
    <cellStyle name="Normal 4 5 7" xfId="5080"/>
    <cellStyle name="Normal 4 5 8" xfId="5081"/>
    <cellStyle name="Normal 4 5 9" xfId="5082"/>
    <cellStyle name="Normal 4 5 9 2" xfId="5083"/>
    <cellStyle name="Normal 4 5 9 3" xfId="5084"/>
    <cellStyle name="Normal 4 5 9 4" xfId="5085"/>
    <cellStyle name="Normal 4 6" xfId="5086"/>
    <cellStyle name="Normal 4 6 2" xfId="5087"/>
    <cellStyle name="Normal 4 6 2 2" xfId="5088"/>
    <cellStyle name="Normal 4 6 2 3" xfId="5089"/>
    <cellStyle name="Normal 4 6 3" xfId="5090"/>
    <cellStyle name="Normal 4 6 4" xfId="5091"/>
    <cellStyle name="Normal 4 6 4 2" xfId="5092"/>
    <cellStyle name="Normal 4 6 5" xfId="5093"/>
    <cellStyle name="Normal 4 6 5 2" xfId="5094"/>
    <cellStyle name="Normal 4 6 6" xfId="5095"/>
    <cellStyle name="Normal 4 6 7" xfId="5096"/>
    <cellStyle name="Normal 4 7" xfId="5097"/>
    <cellStyle name="Normal 4 7 2" xfId="5098"/>
    <cellStyle name="Normal 4 7 2 2" xfId="5099"/>
    <cellStyle name="Normal 4 7 3" xfId="5100"/>
    <cellStyle name="Normal 4 7 4" xfId="5101"/>
    <cellStyle name="Normal 4 7 5" xfId="5102"/>
    <cellStyle name="Normal 4 8" xfId="5103"/>
    <cellStyle name="Normal 4 8 2" xfId="5104"/>
    <cellStyle name="Normal 4 8 3" xfId="5105"/>
    <cellStyle name="Normal 4 8 4" xfId="5106"/>
    <cellStyle name="Normal 4 8 5" xfId="5107"/>
    <cellStyle name="Normal 4 9" xfId="5108"/>
    <cellStyle name="Normal 4 9 2" xfId="5109"/>
    <cellStyle name="Normal 4 9 3" xfId="5110"/>
    <cellStyle name="Normal 4_SUP" xfId="5111"/>
    <cellStyle name="Normal 40" xfId="5112"/>
    <cellStyle name="Normal 41" xfId="5113"/>
    <cellStyle name="Normal 5" xfId="5114"/>
    <cellStyle name="Normal 5 10" xfId="5115"/>
    <cellStyle name="Normal 5 10 2" xfId="5116"/>
    <cellStyle name="Normal 5 10 3" xfId="5117"/>
    <cellStyle name="Normal 5 11" xfId="5118"/>
    <cellStyle name="Normal 5 11 2" xfId="5119"/>
    <cellStyle name="Normal 5 11 3" xfId="5120"/>
    <cellStyle name="Normal 5 12" xfId="5121"/>
    <cellStyle name="Normal 5 12 2" xfId="5122"/>
    <cellStyle name="Normal 5 12 3" xfId="5123"/>
    <cellStyle name="Normal 5 12 4" xfId="5124"/>
    <cellStyle name="Normal 5 13" xfId="5125"/>
    <cellStyle name="Normal 5 13 2" xfId="5126"/>
    <cellStyle name="Normal 5 13 3" xfId="5127"/>
    <cellStyle name="Normal 5 13 4" xfId="5128"/>
    <cellStyle name="Normal 5 14" xfId="5129"/>
    <cellStyle name="Normal 5 15" xfId="5130"/>
    <cellStyle name="Normal 5 16" xfId="5131"/>
    <cellStyle name="Normal 5 17" xfId="5132"/>
    <cellStyle name="Normal 5 2" xfId="5133"/>
    <cellStyle name="Normal 5 2 2" xfId="5134"/>
    <cellStyle name="Normal 5 2 2 10" xfId="5135"/>
    <cellStyle name="Normal 5 2 2 10 2" xfId="5136"/>
    <cellStyle name="Normal 5 2 2 10 2 2" xfId="5137"/>
    <cellStyle name="Normal 5 2 2 10 3" xfId="5138"/>
    <cellStyle name="Normal 5 2 2 11" xfId="5139"/>
    <cellStyle name="Normal 5 2 2 11 2" xfId="5140"/>
    <cellStyle name="Normal 5 2 2 11 2 2" xfId="5141"/>
    <cellStyle name="Normal 5 2 2 11 3" xfId="5142"/>
    <cellStyle name="Normal 5 2 2 12" xfId="5143"/>
    <cellStyle name="Normal 5 2 2 12 2" xfId="5144"/>
    <cellStyle name="Normal 5 2 2 12 2 2" xfId="5145"/>
    <cellStyle name="Normal 5 2 2 12 3" xfId="5146"/>
    <cellStyle name="Normal 5 2 2 13" xfId="5147"/>
    <cellStyle name="Normal 5 2 2 13 2" xfId="5148"/>
    <cellStyle name="Normal 5 2 2 13 2 2" xfId="5149"/>
    <cellStyle name="Normal 5 2 2 13 3" xfId="5150"/>
    <cellStyle name="Normal 5 2 2 14" xfId="5151"/>
    <cellStyle name="Normal 5 2 2 15" xfId="5152"/>
    <cellStyle name="Normal 5 2 2 2" xfId="5153"/>
    <cellStyle name="Normal 5 2 2 2 10" xfId="5154"/>
    <cellStyle name="Normal 5 2 2 2 11" xfId="5155"/>
    <cellStyle name="Normal 5 2 2 2 12" xfId="5156"/>
    <cellStyle name="Normal 5 2 2 2 13" xfId="5157"/>
    <cellStyle name="Normal 5 2 2 2 14" xfId="5158"/>
    <cellStyle name="Normal 5 2 2 2 14 2" xfId="5159"/>
    <cellStyle name="Normal 5 2 2 2 14 3" xfId="5160"/>
    <cellStyle name="Normal 5 2 2 2 15" xfId="5161"/>
    <cellStyle name="Normal 5 2 2 2 16" xfId="5162"/>
    <cellStyle name="Normal 5 2 2 2 2" xfId="5163"/>
    <cellStyle name="Normal 5 2 2 2 3" xfId="5164"/>
    <cellStyle name="Normal 5 2 2 2 4" xfId="5165"/>
    <cellStyle name="Normal 5 2 2 2 5" xfId="5166"/>
    <cellStyle name="Normal 5 2 2 2 6" xfId="5167"/>
    <cellStyle name="Normal 5 2 2 2 7" xfId="5168"/>
    <cellStyle name="Normal 5 2 2 2 8" xfId="5169"/>
    <cellStyle name="Normal 5 2 2 2 9" xfId="5170"/>
    <cellStyle name="Normal 5 2 2 3" xfId="5171"/>
    <cellStyle name="Normal 5 2 2 3 2" xfId="5172"/>
    <cellStyle name="Normal 5 2 2 3 2 2" xfId="5173"/>
    <cellStyle name="Normal 5 2 2 3 2 3" xfId="5174"/>
    <cellStyle name="Normal 5 2 2 3 3" xfId="5175"/>
    <cellStyle name="Normal 5 2 2 3 4" xfId="5176"/>
    <cellStyle name="Normal 5 2 2 4" xfId="5177"/>
    <cellStyle name="Normal 5 2 2 4 2" xfId="5178"/>
    <cellStyle name="Normal 5 2 2 4 2 2" xfId="5179"/>
    <cellStyle name="Normal 5 2 2 4 3" xfId="5180"/>
    <cellStyle name="Normal 5 2 2 5" xfId="5181"/>
    <cellStyle name="Normal 5 2 2 5 2" xfId="5182"/>
    <cellStyle name="Normal 5 2 2 5 2 2" xfId="5183"/>
    <cellStyle name="Normal 5 2 2 5 3" xfId="5184"/>
    <cellStyle name="Normal 5 2 2 6" xfId="5185"/>
    <cellStyle name="Normal 5 2 2 6 2" xfId="5186"/>
    <cellStyle name="Normal 5 2 2 6 2 2" xfId="5187"/>
    <cellStyle name="Normal 5 2 2 6 3" xfId="5188"/>
    <cellStyle name="Normal 5 2 2 7" xfId="5189"/>
    <cellStyle name="Normal 5 2 2 7 2" xfId="5190"/>
    <cellStyle name="Normal 5 2 2 7 2 2" xfId="5191"/>
    <cellStyle name="Normal 5 2 2 7 3" xfId="5192"/>
    <cellStyle name="Normal 5 2 2 8" xfId="5193"/>
    <cellStyle name="Normal 5 2 2 8 2" xfId="5194"/>
    <cellStyle name="Normal 5 2 2 8 2 2" xfId="5195"/>
    <cellStyle name="Normal 5 2 2 8 3" xfId="5196"/>
    <cellStyle name="Normal 5 2 2 9" xfId="5197"/>
    <cellStyle name="Normal 5 2 2 9 2" xfId="5198"/>
    <cellStyle name="Normal 5 2 2 9 2 2" xfId="5199"/>
    <cellStyle name="Normal 5 2 2 9 3" xfId="5200"/>
    <cellStyle name="Normal 5 2 3" xfId="5201"/>
    <cellStyle name="Normal 5 2 3 2" xfId="5202"/>
    <cellStyle name="Normal 5 2 3 3" xfId="5203"/>
    <cellStyle name="Normal 5 2 3 4" xfId="5204"/>
    <cellStyle name="Normal 5 2 4" xfId="5205"/>
    <cellStyle name="Normal 5 2 5" xfId="5206"/>
    <cellStyle name="Normal 5 2 6" xfId="5207"/>
    <cellStyle name="Normal 5 2 7" xfId="5208"/>
    <cellStyle name="Normal 5 2 8" xfId="5209"/>
    <cellStyle name="Normal 5 3" xfId="5210"/>
    <cellStyle name="Normal 5 3 10" xfId="5211"/>
    <cellStyle name="Normal 5 3 11" xfId="5212"/>
    <cellStyle name="Normal 5 3 2" xfId="5213"/>
    <cellStyle name="Normal 5 3 2 2" xfId="5214"/>
    <cellStyle name="Normal 5 3 2 3" xfId="5215"/>
    <cellStyle name="Normal 5 3 3" xfId="5216"/>
    <cellStyle name="Normal 5 3 3 2" xfId="5217"/>
    <cellStyle name="Normal 5 3 3 3" xfId="5218"/>
    <cellStyle name="Normal 5 3 3 4" xfId="5219"/>
    <cellStyle name="Normal 5 3 4" xfId="5220"/>
    <cellStyle name="Normal 5 3 5" xfId="5221"/>
    <cellStyle name="Normal 5 3 6" xfId="5222"/>
    <cellStyle name="Normal 5 3 7" xfId="5223"/>
    <cellStyle name="Normal 5 3 8" xfId="5224"/>
    <cellStyle name="Normal 5 3 9" xfId="5225"/>
    <cellStyle name="Normal 5 3 9 2" xfId="5226"/>
    <cellStyle name="Normal 5 3 9 3" xfId="5227"/>
    <cellStyle name="Normal 5 4" xfId="5228"/>
    <cellStyle name="Normal 5 4 2" xfId="5229"/>
    <cellStyle name="Normal 5 4 3" xfId="5230"/>
    <cellStyle name="Normal 5 4 4" xfId="5231"/>
    <cellStyle name="Normal 5 4 5" xfId="5232"/>
    <cellStyle name="Normal 5 4 6" xfId="5233"/>
    <cellStyle name="Normal 5 4 7" xfId="5234"/>
    <cellStyle name="Normal 5 4 8" xfId="5235"/>
    <cellStyle name="Normal 5 5" xfId="5236"/>
    <cellStyle name="Normal 5 5 10" xfId="5237"/>
    <cellStyle name="Normal 5 5 11" xfId="5238"/>
    <cellStyle name="Normal 5 5 12" xfId="5239"/>
    <cellStyle name="Normal 5 5 2" xfId="5240"/>
    <cellStyle name="Normal 5 5 2 2" xfId="5241"/>
    <cellStyle name="Normal 5 5 2 2 2" xfId="5242"/>
    <cellStyle name="Normal 5 5 2 3" xfId="5243"/>
    <cellStyle name="Normal 5 5 2 4" xfId="5244"/>
    <cellStyle name="Normal 5 5 2 5" xfId="5245"/>
    <cellStyle name="Normal 5 5 2 6" xfId="5246"/>
    <cellStyle name="Normal 5 5 3" xfId="5247"/>
    <cellStyle name="Normal 5 5 3 2" xfId="5248"/>
    <cellStyle name="Normal 5 5 3 3" xfId="5249"/>
    <cellStyle name="Normal 5 5 3 4" xfId="5250"/>
    <cellStyle name="Normal 5 5 4" xfId="5251"/>
    <cellStyle name="Normal 5 5 4 2" xfId="5252"/>
    <cellStyle name="Normal 5 5 4 3" xfId="5253"/>
    <cellStyle name="Normal 5 5 4 4" xfId="5254"/>
    <cellStyle name="Normal 5 5 5" xfId="5255"/>
    <cellStyle name="Normal 5 5 6" xfId="5256"/>
    <cellStyle name="Normal 5 5 7" xfId="5257"/>
    <cellStyle name="Normal 5 5 8" xfId="5258"/>
    <cellStyle name="Normal 5 5 9" xfId="5259"/>
    <cellStyle name="Normal 5 5 9 2" xfId="5260"/>
    <cellStyle name="Normal 5 5 9 3" xfId="5261"/>
    <cellStyle name="Normal 5 6" xfId="5262"/>
    <cellStyle name="Normal 5 6 2" xfId="5263"/>
    <cellStyle name="Normal 5 6 3" xfId="5264"/>
    <cellStyle name="Normal 5 6 4" xfId="5265"/>
    <cellStyle name="Normal 5 7" xfId="5266"/>
    <cellStyle name="Normal 5 8" xfId="5267"/>
    <cellStyle name="Normal 5 9" xfId="5268"/>
    <cellStyle name="Normal 50" xfId="5269"/>
    <cellStyle name="Normal 51" xfId="5270"/>
    <cellStyle name="Normal 52" xfId="5271"/>
    <cellStyle name="Normal 53" xfId="5272"/>
    <cellStyle name="Normal 54" xfId="5273"/>
    <cellStyle name="Normal 55" xfId="5274"/>
    <cellStyle name="Normal 6" xfId="5275"/>
    <cellStyle name="Normal 6 10" xfId="5276"/>
    <cellStyle name="Normal 6 10 2" xfId="5277"/>
    <cellStyle name="Normal 6 10 3" xfId="5278"/>
    <cellStyle name="Normal 6 11" xfId="5279"/>
    <cellStyle name="Normal 6 12" xfId="5280"/>
    <cellStyle name="Normal 6 12 2" xfId="5281"/>
    <cellStyle name="Normal 6 12 3" xfId="5282"/>
    <cellStyle name="Normal 6 13" xfId="5283"/>
    <cellStyle name="Normal 6 2" xfId="5284"/>
    <cellStyle name="Normal 6 2 10" xfId="5285"/>
    <cellStyle name="Normal 6 2 11" xfId="5286"/>
    <cellStyle name="Normal 6 2 12" xfId="5287"/>
    <cellStyle name="Normal 6 2 13" xfId="5288"/>
    <cellStyle name="Normal 6 2 14" xfId="5289"/>
    <cellStyle name="Normal 6 2 2" xfId="5290"/>
    <cellStyle name="Normal 6 2 2 10" xfId="5291"/>
    <cellStyle name="Normal 6 2 2 10 2" xfId="5292"/>
    <cellStyle name="Normal 6 2 2 10 2 2" xfId="5293"/>
    <cellStyle name="Normal 6 2 2 10 3" xfId="5294"/>
    <cellStyle name="Normal 6 2 2 11" xfId="5295"/>
    <cellStyle name="Normal 6 2 2 11 2" xfId="5296"/>
    <cellStyle name="Normal 6 2 2 11 2 2" xfId="5297"/>
    <cellStyle name="Normal 6 2 2 11 3" xfId="5298"/>
    <cellStyle name="Normal 6 2 2 12" xfId="5299"/>
    <cellStyle name="Normal 6 2 2 12 2" xfId="5300"/>
    <cellStyle name="Normal 6 2 2 12 2 2" xfId="5301"/>
    <cellStyle name="Normal 6 2 2 12 3" xfId="5302"/>
    <cellStyle name="Normal 6 2 2 13" xfId="5303"/>
    <cellStyle name="Normal 6 2 2 13 2" xfId="5304"/>
    <cellStyle name="Normal 6 2 2 13 2 2" xfId="5305"/>
    <cellStyle name="Normal 6 2 2 13 3" xfId="5306"/>
    <cellStyle name="Normal 6 2 2 2" xfId="5307"/>
    <cellStyle name="Normal 6 2 2 2 2" xfId="5308"/>
    <cellStyle name="Normal 6 2 2 2 2 2" xfId="5309"/>
    <cellStyle name="Normal 6 2 2 2 3" xfId="5310"/>
    <cellStyle name="Normal 6 2 2 3" xfId="5311"/>
    <cellStyle name="Normal 6 2 2 3 2" xfId="5312"/>
    <cellStyle name="Normal 6 2 2 3 2 2" xfId="5313"/>
    <cellStyle name="Normal 6 2 2 3 3" xfId="5314"/>
    <cellStyle name="Normal 6 2 2 4" xfId="5315"/>
    <cellStyle name="Normal 6 2 2 4 2" xfId="5316"/>
    <cellStyle name="Normal 6 2 2 4 2 2" xfId="5317"/>
    <cellStyle name="Normal 6 2 2 4 3" xfId="5318"/>
    <cellStyle name="Normal 6 2 2 5" xfId="5319"/>
    <cellStyle name="Normal 6 2 2 5 2" xfId="5320"/>
    <cellStyle name="Normal 6 2 2 5 2 2" xfId="5321"/>
    <cellStyle name="Normal 6 2 2 5 3" xfId="5322"/>
    <cellStyle name="Normal 6 2 2 6" xfId="5323"/>
    <cellStyle name="Normal 6 2 2 6 2" xfId="5324"/>
    <cellStyle name="Normal 6 2 2 6 2 2" xfId="5325"/>
    <cellStyle name="Normal 6 2 2 6 3" xfId="5326"/>
    <cellStyle name="Normal 6 2 2 7" xfId="5327"/>
    <cellStyle name="Normal 6 2 2 7 2" xfId="5328"/>
    <cellStyle name="Normal 6 2 2 7 2 2" xfId="5329"/>
    <cellStyle name="Normal 6 2 2 7 3" xfId="5330"/>
    <cellStyle name="Normal 6 2 2 8" xfId="5331"/>
    <cellStyle name="Normal 6 2 2 8 2" xfId="5332"/>
    <cellStyle name="Normal 6 2 2 8 2 2" xfId="5333"/>
    <cellStyle name="Normal 6 2 2 8 3" xfId="5334"/>
    <cellStyle name="Normal 6 2 2 9" xfId="5335"/>
    <cellStyle name="Normal 6 2 2 9 2" xfId="5336"/>
    <cellStyle name="Normal 6 2 2 9 2 2" xfId="5337"/>
    <cellStyle name="Normal 6 2 2 9 3" xfId="5338"/>
    <cellStyle name="Normal 6 2 3" xfId="5339"/>
    <cellStyle name="Normal 6 2 4" xfId="5340"/>
    <cellStyle name="Normal 6 2 4 2" xfId="5341"/>
    <cellStyle name="Normal 6 2 5" xfId="5342"/>
    <cellStyle name="Normal 6 2 6" xfId="5343"/>
    <cellStyle name="Normal 6 2 7" xfId="5344"/>
    <cellStyle name="Normal 6 2 8" xfId="5345"/>
    <cellStyle name="Normal 6 2 9" xfId="5346"/>
    <cellStyle name="Normal 6 3" xfId="5347"/>
    <cellStyle name="Normal 6 3 10" xfId="5348"/>
    <cellStyle name="Normal 6 3 11" xfId="5349"/>
    <cellStyle name="Normal 6 3 12" xfId="5350"/>
    <cellStyle name="Normal 6 3 13" xfId="5351"/>
    <cellStyle name="Normal 6 3 14" xfId="5352"/>
    <cellStyle name="Normal 6 3 15" xfId="5353"/>
    <cellStyle name="Normal 6 3 16" xfId="5354"/>
    <cellStyle name="Normal 6 3 17" xfId="5355"/>
    <cellStyle name="Normal 6 3 17 2" xfId="5356"/>
    <cellStyle name="Normal 6 3 18" xfId="5357"/>
    <cellStyle name="Normal 6 3 19" xfId="5358"/>
    <cellStyle name="Normal 6 3 2" xfId="5359"/>
    <cellStyle name="Normal 6 3 3" xfId="5360"/>
    <cellStyle name="Normal 6 3 4" xfId="5361"/>
    <cellStyle name="Normal 6 3 5" xfId="5362"/>
    <cellStyle name="Normal 6 3 6" xfId="5363"/>
    <cellStyle name="Normal 6 3 7" xfId="5364"/>
    <cellStyle name="Normal 6 3 8" xfId="5365"/>
    <cellStyle name="Normal 6 3 9" xfId="5366"/>
    <cellStyle name="Normal 6 3 9 2" xfId="5367"/>
    <cellStyle name="Normal 6 3 9 3" xfId="5368"/>
    <cellStyle name="Normal 6 4" xfId="5369"/>
    <cellStyle name="Normal 6 4 2" xfId="5370"/>
    <cellStyle name="Normal 6 4 3" xfId="5371"/>
    <cellStyle name="Normal 6 4 4" xfId="5372"/>
    <cellStyle name="Normal 6 4 5" xfId="5373"/>
    <cellStyle name="Normal 6 4 6" xfId="5374"/>
    <cellStyle name="Normal 6 4 7" xfId="5375"/>
    <cellStyle name="Normal 6 4 8" xfId="5376"/>
    <cellStyle name="Normal 6 5" xfId="5377"/>
    <cellStyle name="Normal 6 5 2" xfId="5378"/>
    <cellStyle name="Normal 6 5 3" xfId="5379"/>
    <cellStyle name="Normal 6 5 4" xfId="5380"/>
    <cellStyle name="Normal 6 5 5" xfId="5381"/>
    <cellStyle name="Normal 6 5 6" xfId="5382"/>
    <cellStyle name="Normal 6 5 7" xfId="5383"/>
    <cellStyle name="Normal 6 5 8" xfId="5384"/>
    <cellStyle name="Normal 6 6" xfId="5385"/>
    <cellStyle name="Normal 6 7" xfId="5386"/>
    <cellStyle name="Normal 6 8" xfId="5387"/>
    <cellStyle name="Normal 6 9" xfId="5388"/>
    <cellStyle name="Normal 6_ELC" xfId="5389"/>
    <cellStyle name="Normal 7" xfId="5390"/>
    <cellStyle name="Normal 7 10" xfId="5391"/>
    <cellStyle name="Normal 7 11" xfId="5392"/>
    <cellStyle name="Normal 7 12" xfId="5393"/>
    <cellStyle name="Normal 7 13" xfId="5394"/>
    <cellStyle name="Normal 7 14" xfId="5395"/>
    <cellStyle name="Normal 7 15" xfId="5396"/>
    <cellStyle name="Normal 7 2" xfId="5397"/>
    <cellStyle name="Normal 7 2 2" xfId="5398"/>
    <cellStyle name="Normal 7 2 3" xfId="5399"/>
    <cellStyle name="Normal 7 2 3 2" xfId="5400"/>
    <cellStyle name="Normal 7 2 3 3" xfId="5401"/>
    <cellStyle name="Normal 7 2 4" xfId="5402"/>
    <cellStyle name="Normal 7 2 5" xfId="5403"/>
    <cellStyle name="Normal 7 2 6" xfId="5404"/>
    <cellStyle name="Normal 7 2 7" xfId="5405"/>
    <cellStyle name="Normal 7 2 8" xfId="5406"/>
    <cellStyle name="Normal 7 2 9" xfId="5407"/>
    <cellStyle name="Normal 7 2_Scen_XBase" xfId="5408"/>
    <cellStyle name="Normal 7 3" xfId="5409"/>
    <cellStyle name="Normal 7 3 10" xfId="5410"/>
    <cellStyle name="Normal 7 3 11" xfId="5411"/>
    <cellStyle name="Normal 7 3 12" xfId="5412"/>
    <cellStyle name="Normal 7 3 2" xfId="5413"/>
    <cellStyle name="Normal 7 3 3" xfId="5414"/>
    <cellStyle name="Normal 7 3 4" xfId="5415"/>
    <cellStyle name="Normal 7 3 5" xfId="5416"/>
    <cellStyle name="Normal 7 3 6" xfId="5417"/>
    <cellStyle name="Normal 7 3 7" xfId="5418"/>
    <cellStyle name="Normal 7 3 8" xfId="5419"/>
    <cellStyle name="Normal 7 3 9" xfId="5420"/>
    <cellStyle name="Normal 7 4" xfId="5421"/>
    <cellStyle name="Normal 7 4 2" xfId="5422"/>
    <cellStyle name="Normal 7 4 3" xfId="5423"/>
    <cellStyle name="Normal 7 4 4" xfId="5424"/>
    <cellStyle name="Normal 7 4 5" xfId="5425"/>
    <cellStyle name="Normal 7 4 6" xfId="5426"/>
    <cellStyle name="Normal 7 4 7" xfId="5427"/>
    <cellStyle name="Normal 7 4 8" xfId="5428"/>
    <cellStyle name="Normal 7 5" xfId="5429"/>
    <cellStyle name="Normal 7 5 2" xfId="5430"/>
    <cellStyle name="Normal 7 5 3" xfId="5431"/>
    <cellStyle name="Normal 7 5 4" xfId="5432"/>
    <cellStyle name="Normal 7 5 5" xfId="5433"/>
    <cellStyle name="Normal 7 5 6" xfId="5434"/>
    <cellStyle name="Normal 7 5 7" xfId="5435"/>
    <cellStyle name="Normal 7 5 8" xfId="5436"/>
    <cellStyle name="Normal 7 6" xfId="5437"/>
    <cellStyle name="Normal 7 7" xfId="5438"/>
    <cellStyle name="Normal 7 8" xfId="5439"/>
    <cellStyle name="Normal 7 9" xfId="5440"/>
    <cellStyle name="Normal 8" xfId="5441"/>
    <cellStyle name="Normal 8 10" xfId="5442"/>
    <cellStyle name="Normal 8 10 2" xfId="5443"/>
    <cellStyle name="Normal 8 10 3" xfId="5444"/>
    <cellStyle name="Normal 8 11" xfId="5445"/>
    <cellStyle name="Normal 8 11 2" xfId="5446"/>
    <cellStyle name="Normal 8 11 3" xfId="5447"/>
    <cellStyle name="Normal 8 11 4" xfId="5448"/>
    <cellStyle name="Normal 8 12" xfId="5449"/>
    <cellStyle name="Normal 8 13" xfId="5450"/>
    <cellStyle name="Normal 8 2" xfId="5451"/>
    <cellStyle name="Normal 8 2 2" xfId="5452"/>
    <cellStyle name="Normal 8 2 3" xfId="5453"/>
    <cellStyle name="Normal 8 2 4" xfId="5454"/>
    <cellStyle name="Normal 8 2 5" xfId="5455"/>
    <cellStyle name="Normal 8 2 6" xfId="5456"/>
    <cellStyle name="Normal 8 2 7" xfId="5457"/>
    <cellStyle name="Normal 8 2 8" xfId="5458"/>
    <cellStyle name="Normal 8 2 9" xfId="5459"/>
    <cellStyle name="Normal 8 3" xfId="5460"/>
    <cellStyle name="Normal 8 3 2" xfId="5461"/>
    <cellStyle name="Normal 8 3 2 2" xfId="5462"/>
    <cellStyle name="Normal 8 3 3" xfId="5463"/>
    <cellStyle name="Normal 8 3 4" xfId="5464"/>
    <cellStyle name="Normal 8 3 5" xfId="5465"/>
    <cellStyle name="Normal 8 3 6" xfId="5466"/>
    <cellStyle name="Normal 8 3 7" xfId="5467"/>
    <cellStyle name="Normal 8 3 8" xfId="5468"/>
    <cellStyle name="Normal 8 3 9" xfId="5469"/>
    <cellStyle name="Normal 8 3 9 2" xfId="5470"/>
    <cellStyle name="Normal 8 4" xfId="5471"/>
    <cellStyle name="Normal 8 4 2" xfId="5472"/>
    <cellStyle name="Normal 8 4 3" xfId="5473"/>
    <cellStyle name="Normal 8 4 4" xfId="5474"/>
    <cellStyle name="Normal 8 4 5" xfId="5475"/>
    <cellStyle name="Normal 8 4 6" xfId="5476"/>
    <cellStyle name="Normal 8 4 7" xfId="5477"/>
    <cellStyle name="Normal 8 4 8" xfId="5478"/>
    <cellStyle name="Normal 8 5" xfId="5479"/>
    <cellStyle name="Normal 8 5 2" xfId="5480"/>
    <cellStyle name="Normal 8 5 3" xfId="5481"/>
    <cellStyle name="Normal 8 5 4" xfId="5482"/>
    <cellStyle name="Normal 8 5 5" xfId="5483"/>
    <cellStyle name="Normal 8 5 6" xfId="5484"/>
    <cellStyle name="Normal 8 5 7" xfId="5485"/>
    <cellStyle name="Normal 8 5 8" xfId="5486"/>
    <cellStyle name="Normal 8 6" xfId="5487"/>
    <cellStyle name="Normal 8 7" xfId="5488"/>
    <cellStyle name="Normal 8 8" xfId="5489"/>
    <cellStyle name="Normal 8 9" xfId="5490"/>
    <cellStyle name="Normal 9" xfId="5491"/>
    <cellStyle name="Normal 9 10" xfId="5492"/>
    <cellStyle name="Normal 9 10 2" xfId="5493"/>
    <cellStyle name="Normal 9 11" xfId="5494"/>
    <cellStyle name="Normal 9 11 2" xfId="5495"/>
    <cellStyle name="Normal 9 12" xfId="5496"/>
    <cellStyle name="Normal 9 13" xfId="5497"/>
    <cellStyle name="Normal 9 2" xfId="5498"/>
    <cellStyle name="Normal 9 2 2" xfId="5499"/>
    <cellStyle name="Normal 9 2 2 2" xfId="5500"/>
    <cellStyle name="Normal 9 2 2 3" xfId="5501"/>
    <cellStyle name="Normal 9 2 3" xfId="5502"/>
    <cellStyle name="Normal 9 2 3 2" xfId="5503"/>
    <cellStyle name="Normal 9 2 4" xfId="5504"/>
    <cellStyle name="Normal 9 2 4 2" xfId="5505"/>
    <cellStyle name="Normal 9 2 5" xfId="5506"/>
    <cellStyle name="Normal 9 2 6" xfId="5507"/>
    <cellStyle name="Normal 9 3" xfId="5508"/>
    <cellStyle name="Normal 9 3 2" xfId="5509"/>
    <cellStyle name="Normal 9 3 3" xfId="5510"/>
    <cellStyle name="Normal 9 3 4" xfId="5511"/>
    <cellStyle name="Normal 9 3 5" xfId="5512"/>
    <cellStyle name="Normal 9 4" xfId="5513"/>
    <cellStyle name="Normal 9 5" xfId="5514"/>
    <cellStyle name="Normal 9 6" xfId="5515"/>
    <cellStyle name="Normal 9 7" xfId="5516"/>
    <cellStyle name="Normal 9 8" xfId="5517"/>
    <cellStyle name="Normal 9 9" xfId="5518"/>
    <cellStyle name="Normal 9 9 2" xfId="5519"/>
    <cellStyle name="Normal 9 9 3" xfId="5520"/>
    <cellStyle name="Normal GHG Numbers (0.00)" xfId="5521"/>
    <cellStyle name="Normal GHG Textfiels Bold" xfId="5522"/>
    <cellStyle name="Normal GHG whole table" xfId="5523"/>
    <cellStyle name="Normal GHG-Shade" xfId="5524"/>
    <cellStyle name="Normál_C3EM_v2" xfId="5525"/>
    <cellStyle name="Normale 2" xfId="5526"/>
    <cellStyle name="Normale_B2020" xfId="5527"/>
    <cellStyle name="normální_List1" xfId="5528"/>
    <cellStyle name="Note 10" xfId="5529"/>
    <cellStyle name="Note 10 2" xfId="5530"/>
    <cellStyle name="Note 10 3" xfId="5531"/>
    <cellStyle name="Note 10 3 2" xfId="5532"/>
    <cellStyle name="Note 10 3_ELC_final" xfId="5533"/>
    <cellStyle name="Note 10_ELC_final" xfId="5534"/>
    <cellStyle name="Note 11" xfId="5535"/>
    <cellStyle name="Note 11 2" xfId="5536"/>
    <cellStyle name="Note 11_ELC_final" xfId="5537"/>
    <cellStyle name="Note 12" xfId="5538"/>
    <cellStyle name="Note 12 2" xfId="5539"/>
    <cellStyle name="Note 12_ELC_final" xfId="5540"/>
    <cellStyle name="Note 13" xfId="5541"/>
    <cellStyle name="Note 13 2" xfId="5542"/>
    <cellStyle name="Note 13_ELC_final" xfId="5543"/>
    <cellStyle name="Note 14" xfId="5544"/>
    <cellStyle name="Note 14 2" xfId="5545"/>
    <cellStyle name="Note 14_ELC_final" xfId="5546"/>
    <cellStyle name="Note 15" xfId="5547"/>
    <cellStyle name="Note 15 2" xfId="5548"/>
    <cellStyle name="Note 15_ELC_final" xfId="5549"/>
    <cellStyle name="Note 16" xfId="5550"/>
    <cellStyle name="Note 16 2" xfId="5551"/>
    <cellStyle name="Note 16_ELC_final" xfId="5552"/>
    <cellStyle name="Note 17" xfId="5553"/>
    <cellStyle name="Note 17 2" xfId="5554"/>
    <cellStyle name="Note 17_ELC_final" xfId="5555"/>
    <cellStyle name="Note 18" xfId="5556"/>
    <cellStyle name="Note 18 2" xfId="5557"/>
    <cellStyle name="Note 18_ELC_final" xfId="5558"/>
    <cellStyle name="Note 19" xfId="5559"/>
    <cellStyle name="Note 2" xfId="5560"/>
    <cellStyle name="Note 2 10" xfId="5561"/>
    <cellStyle name="Note 2 11" xfId="5562"/>
    <cellStyle name="Note 2 12" xfId="5563"/>
    <cellStyle name="Note 2 13" xfId="5564"/>
    <cellStyle name="Note 2 14" xfId="5565"/>
    <cellStyle name="Note 2 15" xfId="5566"/>
    <cellStyle name="Note 2 16" xfId="5567"/>
    <cellStyle name="Note 2 17" xfId="5568"/>
    <cellStyle name="Note 2 2" xfId="5569"/>
    <cellStyle name="Note 2 2 2" xfId="5570"/>
    <cellStyle name="Note 2 3" xfId="5571"/>
    <cellStyle name="Note 2 3 2" xfId="5572"/>
    <cellStyle name="Note 2 3 3" xfId="5573"/>
    <cellStyle name="Note 2 4" xfId="5574"/>
    <cellStyle name="Note 2 5" xfId="5575"/>
    <cellStyle name="Note 2 6" xfId="5576"/>
    <cellStyle name="Note 2 7" xfId="5577"/>
    <cellStyle name="Note 2 8" xfId="5578"/>
    <cellStyle name="Note 2 9" xfId="5579"/>
    <cellStyle name="Note 2_PrimaryEnergyPrices_TIMES" xfId="5580"/>
    <cellStyle name="Note 20" xfId="5581"/>
    <cellStyle name="Note 21" xfId="5582"/>
    <cellStyle name="Note 22" xfId="5583"/>
    <cellStyle name="Note 23" xfId="5584"/>
    <cellStyle name="Note 24" xfId="5585"/>
    <cellStyle name="Note 25" xfId="5586"/>
    <cellStyle name="Note 26" xfId="5587"/>
    <cellStyle name="Note 27" xfId="5588"/>
    <cellStyle name="Note 28" xfId="5589"/>
    <cellStyle name="Note 29" xfId="5590"/>
    <cellStyle name="Note 3" xfId="5591"/>
    <cellStyle name="Note 3 2" xfId="5592"/>
    <cellStyle name="Note 3 2 2" xfId="5593"/>
    <cellStyle name="Note 3 3" xfId="5594"/>
    <cellStyle name="Note 3 4" xfId="5595"/>
    <cellStyle name="Note 3 4 2" xfId="5596"/>
    <cellStyle name="Note 3 4 3" xfId="5597"/>
    <cellStyle name="Note 3 5" xfId="5598"/>
    <cellStyle name="Note 3 6" xfId="5599"/>
    <cellStyle name="Note 3 7" xfId="5600"/>
    <cellStyle name="Note 30" xfId="5601"/>
    <cellStyle name="Note 31" xfId="5602"/>
    <cellStyle name="Note 32" xfId="5603"/>
    <cellStyle name="Note 33" xfId="5604"/>
    <cellStyle name="Note 34" xfId="5605"/>
    <cellStyle name="Note 35" xfId="5606"/>
    <cellStyle name="Note 36" xfId="5607"/>
    <cellStyle name="Note 37" xfId="5608"/>
    <cellStyle name="Note 38" xfId="5609"/>
    <cellStyle name="Note 39" xfId="5610"/>
    <cellStyle name="Note 4" xfId="5611"/>
    <cellStyle name="Note 4 2" xfId="5612"/>
    <cellStyle name="Note 4 3" xfId="5613"/>
    <cellStyle name="Note 4 3 2" xfId="5614"/>
    <cellStyle name="Note 4 3_ELC_final" xfId="5615"/>
    <cellStyle name="Note 4 4" xfId="5616"/>
    <cellStyle name="Note 4_ELC_final" xfId="5617"/>
    <cellStyle name="Note 40" xfId="5618"/>
    <cellStyle name="Note 41" xfId="5619"/>
    <cellStyle name="Note 5" xfId="5620"/>
    <cellStyle name="Note 5 2" xfId="5621"/>
    <cellStyle name="Note 5 3" xfId="5622"/>
    <cellStyle name="Note 5 3 2" xfId="5623"/>
    <cellStyle name="Note 5 3_ELC_final" xfId="5624"/>
    <cellStyle name="Note 5 4" xfId="5625"/>
    <cellStyle name="Note 5_ELC_final" xfId="5626"/>
    <cellStyle name="Note 6" xfId="5627"/>
    <cellStyle name="Note 6 2" xfId="5628"/>
    <cellStyle name="Note 6 3" xfId="5629"/>
    <cellStyle name="Note 6 3 2" xfId="5630"/>
    <cellStyle name="Note 6 3_ELC_final" xfId="5631"/>
    <cellStyle name="Note 6 4" xfId="5632"/>
    <cellStyle name="Note 6_ELC_final" xfId="5633"/>
    <cellStyle name="Note 7" xfId="5634"/>
    <cellStyle name="Note 7 2" xfId="5635"/>
    <cellStyle name="Note 7 2 2" xfId="5636"/>
    <cellStyle name="Note 7 3" xfId="5637"/>
    <cellStyle name="Note 7 3 2" xfId="5638"/>
    <cellStyle name="Note 7 3_ELC_final" xfId="5639"/>
    <cellStyle name="Note 7 4" xfId="5640"/>
    <cellStyle name="Note 7 5" xfId="5641"/>
    <cellStyle name="Note 7_ELC_final" xfId="5642"/>
    <cellStyle name="Note 8" xfId="5643"/>
    <cellStyle name="Note 8 2" xfId="5644"/>
    <cellStyle name="Note 8 2 2" xfId="5645"/>
    <cellStyle name="Note 8 3" xfId="5646"/>
    <cellStyle name="Note 8 3 2" xfId="5647"/>
    <cellStyle name="Note 8 3_ELC_final" xfId="5648"/>
    <cellStyle name="Note 8 4" xfId="5649"/>
    <cellStyle name="Note 8 5" xfId="5650"/>
    <cellStyle name="Note 8_ELC_final" xfId="5651"/>
    <cellStyle name="Note 9" xfId="5652"/>
    <cellStyle name="Note 9 2" xfId="5653"/>
    <cellStyle name="Note 9 3" xfId="5654"/>
    <cellStyle name="Note 9 3 2" xfId="5655"/>
    <cellStyle name="Note 9 3_ELC_final" xfId="5656"/>
    <cellStyle name="Note 9 4" xfId="5657"/>
    <cellStyle name="Note 9 5" xfId="5658"/>
    <cellStyle name="Note 9_ELC_final" xfId="5659"/>
    <cellStyle name="Notiz" xfId="5660"/>
    <cellStyle name="Notiz 2" xfId="5661"/>
    <cellStyle name="Notiz 3" xfId="5662"/>
    <cellStyle name="num_note" xfId="5663"/>
    <cellStyle name="Nuovo" xfId="5664"/>
    <cellStyle name="Nuovo 10" xfId="5665"/>
    <cellStyle name="Nuovo 11" xfId="5666"/>
    <cellStyle name="Nuovo 12" xfId="5667"/>
    <cellStyle name="Nuovo 13" xfId="5668"/>
    <cellStyle name="Nuovo 14" xfId="5669"/>
    <cellStyle name="Nuovo 15" xfId="5670"/>
    <cellStyle name="Nuovo 16" xfId="5671"/>
    <cellStyle name="Nuovo 17" xfId="5672"/>
    <cellStyle name="Nuovo 18" xfId="5673"/>
    <cellStyle name="Nuovo 19" xfId="5674"/>
    <cellStyle name="Nuovo 2" xfId="5675"/>
    <cellStyle name="Nuovo 2 2" xfId="5676"/>
    <cellStyle name="Nuovo 2 3" xfId="5677"/>
    <cellStyle name="Nuovo 20" xfId="5678"/>
    <cellStyle name="Nuovo 21" xfId="5679"/>
    <cellStyle name="Nuovo 22" xfId="5680"/>
    <cellStyle name="Nuovo 23" xfId="5681"/>
    <cellStyle name="Nuovo 24" xfId="5682"/>
    <cellStyle name="Nuovo 25" xfId="5683"/>
    <cellStyle name="Nuovo 26" xfId="5684"/>
    <cellStyle name="Nuovo 27" xfId="5685"/>
    <cellStyle name="Nuovo 28" xfId="5686"/>
    <cellStyle name="Nuovo 29" xfId="5687"/>
    <cellStyle name="Nuovo 3" xfId="5688"/>
    <cellStyle name="Nuovo 30" xfId="5689"/>
    <cellStyle name="Nuovo 31" xfId="5690"/>
    <cellStyle name="Nuovo 32" xfId="5691"/>
    <cellStyle name="Nuovo 33" xfId="5692"/>
    <cellStyle name="Nuovo 34" xfId="5693"/>
    <cellStyle name="Nuovo 35" xfId="5694"/>
    <cellStyle name="Nuovo 36" xfId="5695"/>
    <cellStyle name="Nuovo 37" xfId="5696"/>
    <cellStyle name="Nuovo 38" xfId="5697"/>
    <cellStyle name="Nuovo 4" xfId="5698"/>
    <cellStyle name="Nuovo 4 2" xfId="5699"/>
    <cellStyle name="Nuovo 5" xfId="5700"/>
    <cellStyle name="Nuovo 6" xfId="5701"/>
    <cellStyle name="Nuovo 7" xfId="5702"/>
    <cellStyle name="Nuovo 8" xfId="5703"/>
    <cellStyle name="Nuovo 9" xfId="5704"/>
    <cellStyle name="Összesen" xfId="5705"/>
    <cellStyle name="Output 10" xfId="5706"/>
    <cellStyle name="Output 11" xfId="5707"/>
    <cellStyle name="Output 12" xfId="5708"/>
    <cellStyle name="Output 13" xfId="5709"/>
    <cellStyle name="Output 14" xfId="5710"/>
    <cellStyle name="Output 15" xfId="5711"/>
    <cellStyle name="Output 16" xfId="5712"/>
    <cellStyle name="Output 17" xfId="5713"/>
    <cellStyle name="Output 18" xfId="5714"/>
    <cellStyle name="Output 19" xfId="5715"/>
    <cellStyle name="Output 2" xfId="5716"/>
    <cellStyle name="Output 2 10" xfId="5717"/>
    <cellStyle name="Output 2 2" xfId="5718"/>
    <cellStyle name="Output 2 3" xfId="5719"/>
    <cellStyle name="Output 2 4" xfId="5720"/>
    <cellStyle name="Output 2 5" xfId="5721"/>
    <cellStyle name="Output 2 6" xfId="5722"/>
    <cellStyle name="Output 2 7" xfId="5723"/>
    <cellStyle name="Output 2 8" xfId="5724"/>
    <cellStyle name="Output 2 9" xfId="5725"/>
    <cellStyle name="Output 20" xfId="5726"/>
    <cellStyle name="Output 21" xfId="5727"/>
    <cellStyle name="Output 22" xfId="5728"/>
    <cellStyle name="Output 23" xfId="5729"/>
    <cellStyle name="Output 24" xfId="5730"/>
    <cellStyle name="Output 25" xfId="5731"/>
    <cellStyle name="Output 26" xfId="5732"/>
    <cellStyle name="Output 27" xfId="5733"/>
    <cellStyle name="Output 28" xfId="5734"/>
    <cellStyle name="Output 29" xfId="5735"/>
    <cellStyle name="Output 3" xfId="5736"/>
    <cellStyle name="Output 3 2" xfId="5737"/>
    <cellStyle name="Output 3 3" xfId="5738"/>
    <cellStyle name="Output 3 4" xfId="5739"/>
    <cellStyle name="Output 3 5" xfId="5740"/>
    <cellStyle name="Output 30" xfId="5741"/>
    <cellStyle name="Output 31" xfId="5742"/>
    <cellStyle name="Output 32" xfId="5743"/>
    <cellStyle name="Output 33" xfId="5744"/>
    <cellStyle name="Output 34" xfId="5745"/>
    <cellStyle name="Output 35" xfId="5746"/>
    <cellStyle name="Output 36" xfId="5747"/>
    <cellStyle name="Output 37" xfId="5748"/>
    <cellStyle name="Output 38" xfId="5749"/>
    <cellStyle name="Output 39" xfId="5750"/>
    <cellStyle name="Output 4" xfId="5751"/>
    <cellStyle name="Output 40" xfId="5752"/>
    <cellStyle name="Output 41" xfId="5753"/>
    <cellStyle name="Output 42" xfId="5754"/>
    <cellStyle name="Output 43" xfId="5755"/>
    <cellStyle name="Output 5" xfId="5756"/>
    <cellStyle name="Output 6" xfId="5757"/>
    <cellStyle name="Output 7" xfId="5758"/>
    <cellStyle name="Output 8" xfId="5759"/>
    <cellStyle name="Output 9" xfId="5760"/>
    <cellStyle name="Pattern" xfId="5761"/>
    <cellStyle name="Percent 10" xfId="5762"/>
    <cellStyle name="Percent 10 10" xfId="5763"/>
    <cellStyle name="Percent 10 11" xfId="5764"/>
    <cellStyle name="Percent 10 12" xfId="5765"/>
    <cellStyle name="Percent 10 12 2" xfId="5766"/>
    <cellStyle name="Percent 10 13" xfId="5767"/>
    <cellStyle name="Percent 10 13 2" xfId="5768"/>
    <cellStyle name="Percent 10 14" xfId="5769"/>
    <cellStyle name="Percent 10 14 2" xfId="5770"/>
    <cellStyle name="Percent 10 15" xfId="5771"/>
    <cellStyle name="Percent 10 15 2" xfId="5772"/>
    <cellStyle name="Percent 10 16" xfId="5773"/>
    <cellStyle name="Percent 10 16 2" xfId="5774"/>
    <cellStyle name="Percent 10 17" xfId="5775"/>
    <cellStyle name="Percent 10 17 2" xfId="5776"/>
    <cellStyle name="Percent 10 18" xfId="5777"/>
    <cellStyle name="Percent 10 18 2" xfId="5778"/>
    <cellStyle name="Percent 10 19" xfId="5779"/>
    <cellStyle name="Percent 10 19 2" xfId="5780"/>
    <cellStyle name="Percent 10 2" xfId="5781"/>
    <cellStyle name="Percent 10 2 2" xfId="5782"/>
    <cellStyle name="Percent 10 2 2 2" xfId="5783"/>
    <cellStyle name="Percent 10 2 3" xfId="5784"/>
    <cellStyle name="Percent 10 2 3 2" xfId="5785"/>
    <cellStyle name="Percent 10 2 4" xfId="5786"/>
    <cellStyle name="Percent 10 2 5" xfId="5787"/>
    <cellStyle name="Percent 10 20" xfId="5788"/>
    <cellStyle name="Percent 10 20 2" xfId="5789"/>
    <cellStyle name="Percent 10 3" xfId="5790"/>
    <cellStyle name="Percent 10 3 2" xfId="5791"/>
    <cellStyle name="Percent 10 3 2 2" xfId="5792"/>
    <cellStyle name="Percent 10 3 3" xfId="5793"/>
    <cellStyle name="Percent 10 3 3 2" xfId="5794"/>
    <cellStyle name="Percent 10 3 4" xfId="5795"/>
    <cellStyle name="Percent 10 3 5" xfId="5796"/>
    <cellStyle name="Percent 10 4" xfId="5797"/>
    <cellStyle name="Percent 10 4 2" xfId="5798"/>
    <cellStyle name="Percent 10 4 2 2" xfId="5799"/>
    <cellStyle name="Percent 10 4 3" xfId="5800"/>
    <cellStyle name="Percent 10 4 3 2" xfId="5801"/>
    <cellStyle name="Percent 10 4 4" xfId="5802"/>
    <cellStyle name="Percent 10 4 5" xfId="5803"/>
    <cellStyle name="Percent 10 5" xfId="5804"/>
    <cellStyle name="Percent 10 5 2" xfId="5805"/>
    <cellStyle name="Percent 10 5 2 2" xfId="5806"/>
    <cellStyle name="Percent 10 5 3" xfId="5807"/>
    <cellStyle name="Percent 10 5 3 2" xfId="5808"/>
    <cellStyle name="Percent 10 5 4" xfId="5809"/>
    <cellStyle name="Percent 10 5 5" xfId="5810"/>
    <cellStyle name="Percent 10 6" xfId="5811"/>
    <cellStyle name="Percent 10 6 2" xfId="5812"/>
    <cellStyle name="Percent 10 6 2 2" xfId="5813"/>
    <cellStyle name="Percent 10 6 3" xfId="5814"/>
    <cellStyle name="Percent 10 6 3 2" xfId="5815"/>
    <cellStyle name="Percent 10 6 4" xfId="5816"/>
    <cellStyle name="Percent 10 6 5" xfId="5817"/>
    <cellStyle name="Percent 10 7" xfId="5818"/>
    <cellStyle name="Percent 10 7 2" xfId="5819"/>
    <cellStyle name="Percent 10 7 2 2" xfId="5820"/>
    <cellStyle name="Percent 10 7 3" xfId="5821"/>
    <cellStyle name="Percent 10 7 3 2" xfId="5822"/>
    <cellStyle name="Percent 10 7 4" xfId="5823"/>
    <cellStyle name="Percent 10 7 4 2" xfId="5824"/>
    <cellStyle name="Percent 10 7 5" xfId="5825"/>
    <cellStyle name="Percent 10 7 5 2" xfId="5826"/>
    <cellStyle name="Percent 10 7 6" xfId="5827"/>
    <cellStyle name="Percent 10 7 7" xfId="5828"/>
    <cellStyle name="Percent 10 8" xfId="5829"/>
    <cellStyle name="Percent 10 8 2" xfId="5830"/>
    <cellStyle name="Percent 10 8 2 2" xfId="5831"/>
    <cellStyle name="Percent 10 8 3" xfId="5832"/>
    <cellStyle name="Percent 10 8 3 2" xfId="5833"/>
    <cellStyle name="Percent 10 8 4" xfId="5834"/>
    <cellStyle name="Percent 10 8 5" xfId="5835"/>
    <cellStyle name="Percent 10 9" xfId="5836"/>
    <cellStyle name="Percent 10 9 2" xfId="5837"/>
    <cellStyle name="Percent 11" xfId="5838"/>
    <cellStyle name="Percent 11 10" xfId="5839"/>
    <cellStyle name="Percent 11 10 2" xfId="5840"/>
    <cellStyle name="Percent 11 11" xfId="5841"/>
    <cellStyle name="Percent 11 12" xfId="5842"/>
    <cellStyle name="Percent 11 2" xfId="5843"/>
    <cellStyle name="Percent 11 2 2" xfId="5844"/>
    <cellStyle name="Percent 11 2 2 2" xfId="5845"/>
    <cellStyle name="Percent 11 2 3" xfId="5846"/>
    <cellStyle name="Percent 11 2 3 2" xfId="5847"/>
    <cellStyle name="Percent 11 2 4" xfId="5848"/>
    <cellStyle name="Percent 11 2 5" xfId="5849"/>
    <cellStyle name="Percent 11 3" xfId="5850"/>
    <cellStyle name="Percent 11 3 2" xfId="5851"/>
    <cellStyle name="Percent 11 3 2 2" xfId="5852"/>
    <cellStyle name="Percent 11 3 3" xfId="5853"/>
    <cellStyle name="Percent 11 3 3 2" xfId="5854"/>
    <cellStyle name="Percent 11 3 4" xfId="5855"/>
    <cellStyle name="Percent 11 3 5" xfId="5856"/>
    <cellStyle name="Percent 11 4" xfId="5857"/>
    <cellStyle name="Percent 11 4 2" xfId="5858"/>
    <cellStyle name="Percent 11 4 2 2" xfId="5859"/>
    <cellStyle name="Percent 11 4 3" xfId="5860"/>
    <cellStyle name="Percent 11 4 3 2" xfId="5861"/>
    <cellStyle name="Percent 11 4 4" xfId="5862"/>
    <cellStyle name="Percent 11 4 5" xfId="5863"/>
    <cellStyle name="Percent 11 5" xfId="5864"/>
    <cellStyle name="Percent 11 5 2" xfId="5865"/>
    <cellStyle name="Percent 11 5 2 2" xfId="5866"/>
    <cellStyle name="Percent 11 5 3" xfId="5867"/>
    <cellStyle name="Percent 11 5 3 2" xfId="5868"/>
    <cellStyle name="Percent 11 5 4" xfId="5869"/>
    <cellStyle name="Percent 11 5 5" xfId="5870"/>
    <cellStyle name="Percent 11 6" xfId="5871"/>
    <cellStyle name="Percent 11 6 2" xfId="5872"/>
    <cellStyle name="Percent 11 6 2 2" xfId="5873"/>
    <cellStyle name="Percent 11 6 3" xfId="5874"/>
    <cellStyle name="Percent 11 6 3 2" xfId="5875"/>
    <cellStyle name="Percent 11 6 4" xfId="5876"/>
    <cellStyle name="Percent 11 6 5" xfId="5877"/>
    <cellStyle name="Percent 11 7" xfId="5878"/>
    <cellStyle name="Percent 11 7 2" xfId="5879"/>
    <cellStyle name="Percent 11 7 2 2" xfId="5880"/>
    <cellStyle name="Percent 11 7 3" xfId="5881"/>
    <cellStyle name="Percent 11 7 3 2" xfId="5882"/>
    <cellStyle name="Percent 11 7 4" xfId="5883"/>
    <cellStyle name="Percent 11 7 4 2" xfId="5884"/>
    <cellStyle name="Percent 11 7 5" xfId="5885"/>
    <cellStyle name="Percent 11 7 5 2" xfId="5886"/>
    <cellStyle name="Percent 11 7 6" xfId="5887"/>
    <cellStyle name="Percent 11 7 7" xfId="5888"/>
    <cellStyle name="Percent 11 8" xfId="5889"/>
    <cellStyle name="Percent 11 8 2" xfId="5890"/>
    <cellStyle name="Percent 11 8 2 2" xfId="5891"/>
    <cellStyle name="Percent 11 8 3" xfId="5892"/>
    <cellStyle name="Percent 11 8 3 2" xfId="5893"/>
    <cellStyle name="Percent 11 8 4" xfId="5894"/>
    <cellStyle name="Percent 11 8 5" xfId="5895"/>
    <cellStyle name="Percent 11 9" xfId="5896"/>
    <cellStyle name="Percent 11 9 2" xfId="5897"/>
    <cellStyle name="Percent 12" xfId="5898"/>
    <cellStyle name="Percent 12 10" xfId="5899"/>
    <cellStyle name="Percent 12 10 2" xfId="5900"/>
    <cellStyle name="Percent 12 11" xfId="5901"/>
    <cellStyle name="Percent 12 12" xfId="5902"/>
    <cellStyle name="Percent 12 2" xfId="5903"/>
    <cellStyle name="Percent 12 2 2" xfId="5904"/>
    <cellStyle name="Percent 12 2 2 2" xfId="5905"/>
    <cellStyle name="Percent 12 2 3" xfId="5906"/>
    <cellStyle name="Percent 12 2 3 2" xfId="5907"/>
    <cellStyle name="Percent 12 2 4" xfId="5908"/>
    <cellStyle name="Percent 12 2 5" xfId="5909"/>
    <cellStyle name="Percent 12 3" xfId="5910"/>
    <cellStyle name="Percent 12 3 2" xfId="5911"/>
    <cellStyle name="Percent 12 3 2 2" xfId="5912"/>
    <cellStyle name="Percent 12 3 3" xfId="5913"/>
    <cellStyle name="Percent 12 3 3 2" xfId="5914"/>
    <cellStyle name="Percent 12 3 4" xfId="5915"/>
    <cellStyle name="Percent 12 3 5" xfId="5916"/>
    <cellStyle name="Percent 12 4" xfId="5917"/>
    <cellStyle name="Percent 12 4 2" xfId="5918"/>
    <cellStyle name="Percent 12 4 2 2" xfId="5919"/>
    <cellStyle name="Percent 12 4 3" xfId="5920"/>
    <cellStyle name="Percent 12 4 3 2" xfId="5921"/>
    <cellStyle name="Percent 12 4 4" xfId="5922"/>
    <cellStyle name="Percent 12 4 5" xfId="5923"/>
    <cellStyle name="Percent 12 5" xfId="5924"/>
    <cellStyle name="Percent 12 5 2" xfId="5925"/>
    <cellStyle name="Percent 12 5 2 2" xfId="5926"/>
    <cellStyle name="Percent 12 5 3" xfId="5927"/>
    <cellStyle name="Percent 12 5 3 2" xfId="5928"/>
    <cellStyle name="Percent 12 5 4" xfId="5929"/>
    <cellStyle name="Percent 12 5 5" xfId="5930"/>
    <cellStyle name="Percent 12 6" xfId="5931"/>
    <cellStyle name="Percent 12 6 2" xfId="5932"/>
    <cellStyle name="Percent 12 6 2 2" xfId="5933"/>
    <cellStyle name="Percent 12 6 3" xfId="5934"/>
    <cellStyle name="Percent 12 6 3 2" xfId="5935"/>
    <cellStyle name="Percent 12 6 4" xfId="5936"/>
    <cellStyle name="Percent 12 6 5" xfId="5937"/>
    <cellStyle name="Percent 12 7" xfId="5938"/>
    <cellStyle name="Percent 12 7 2" xfId="5939"/>
    <cellStyle name="Percent 12 7 2 2" xfId="5940"/>
    <cellStyle name="Percent 12 7 3" xfId="5941"/>
    <cellStyle name="Percent 12 7 3 2" xfId="5942"/>
    <cellStyle name="Percent 12 7 4" xfId="5943"/>
    <cellStyle name="Percent 12 7 4 2" xfId="5944"/>
    <cellStyle name="Percent 12 7 5" xfId="5945"/>
    <cellStyle name="Percent 12 7 5 2" xfId="5946"/>
    <cellStyle name="Percent 12 7 6" xfId="5947"/>
    <cellStyle name="Percent 12 7 7" xfId="5948"/>
    <cellStyle name="Percent 12 8" xfId="5949"/>
    <cellStyle name="Percent 12 8 2" xfId="5950"/>
    <cellStyle name="Percent 12 8 2 2" xfId="5951"/>
    <cellStyle name="Percent 12 8 3" xfId="5952"/>
    <cellStyle name="Percent 12 8 3 2" xfId="5953"/>
    <cellStyle name="Percent 12 8 4" xfId="5954"/>
    <cellStyle name="Percent 12 8 5" xfId="5955"/>
    <cellStyle name="Percent 12 9" xfId="5956"/>
    <cellStyle name="Percent 12 9 2" xfId="5957"/>
    <cellStyle name="Percent 13" xfId="5958"/>
    <cellStyle name="Percent 13 10" xfId="5959"/>
    <cellStyle name="Percent 13 10 2" xfId="5960"/>
    <cellStyle name="Percent 13 11" xfId="5961"/>
    <cellStyle name="Percent 13 12" xfId="5962"/>
    <cellStyle name="Percent 13 2" xfId="5963"/>
    <cellStyle name="Percent 13 2 2" xfId="5964"/>
    <cellStyle name="Percent 13 2 2 2" xfId="5965"/>
    <cellStyle name="Percent 13 2 3" xfId="5966"/>
    <cellStyle name="Percent 13 2 3 2" xfId="5967"/>
    <cellStyle name="Percent 13 2 4" xfId="5968"/>
    <cellStyle name="Percent 13 2 5" xfId="5969"/>
    <cellStyle name="Percent 13 3" xfId="5970"/>
    <cellStyle name="Percent 13 3 2" xfId="5971"/>
    <cellStyle name="Percent 13 3 2 2" xfId="5972"/>
    <cellStyle name="Percent 13 3 3" xfId="5973"/>
    <cellStyle name="Percent 13 3 3 2" xfId="5974"/>
    <cellStyle name="Percent 13 3 4" xfId="5975"/>
    <cellStyle name="Percent 13 3 5" xfId="5976"/>
    <cellStyle name="Percent 13 4" xfId="5977"/>
    <cellStyle name="Percent 13 4 2" xfId="5978"/>
    <cellStyle name="Percent 13 4 2 2" xfId="5979"/>
    <cellStyle name="Percent 13 4 3" xfId="5980"/>
    <cellStyle name="Percent 13 4 3 2" xfId="5981"/>
    <cellStyle name="Percent 13 4 4" xfId="5982"/>
    <cellStyle name="Percent 13 4 5" xfId="5983"/>
    <cellStyle name="Percent 13 5" xfId="5984"/>
    <cellStyle name="Percent 13 5 2" xfId="5985"/>
    <cellStyle name="Percent 13 5 2 2" xfId="5986"/>
    <cellStyle name="Percent 13 5 3" xfId="5987"/>
    <cellStyle name="Percent 13 5 3 2" xfId="5988"/>
    <cellStyle name="Percent 13 5 4" xfId="5989"/>
    <cellStyle name="Percent 13 5 5" xfId="5990"/>
    <cellStyle name="Percent 13 6" xfId="5991"/>
    <cellStyle name="Percent 13 6 2" xfId="5992"/>
    <cellStyle name="Percent 13 6 2 2" xfId="5993"/>
    <cellStyle name="Percent 13 6 3" xfId="5994"/>
    <cellStyle name="Percent 13 6 3 2" xfId="5995"/>
    <cellStyle name="Percent 13 6 4" xfId="5996"/>
    <cellStyle name="Percent 13 6 5" xfId="5997"/>
    <cellStyle name="Percent 13 7" xfId="5998"/>
    <cellStyle name="Percent 13 7 2" xfId="5999"/>
    <cellStyle name="Percent 13 7 2 2" xfId="6000"/>
    <cellStyle name="Percent 13 7 3" xfId="6001"/>
    <cellStyle name="Percent 13 7 3 2" xfId="6002"/>
    <cellStyle name="Percent 13 7 4" xfId="6003"/>
    <cellStyle name="Percent 13 7 4 2" xfId="6004"/>
    <cellStyle name="Percent 13 7 5" xfId="6005"/>
    <cellStyle name="Percent 13 7 5 2" xfId="6006"/>
    <cellStyle name="Percent 13 7 6" xfId="6007"/>
    <cellStyle name="Percent 13 7 7" xfId="6008"/>
    <cellStyle name="Percent 13 8" xfId="6009"/>
    <cellStyle name="Percent 13 8 2" xfId="6010"/>
    <cellStyle name="Percent 13 8 2 2" xfId="6011"/>
    <cellStyle name="Percent 13 8 3" xfId="6012"/>
    <cellStyle name="Percent 13 8 3 2" xfId="6013"/>
    <cellStyle name="Percent 13 8 4" xfId="6014"/>
    <cellStyle name="Percent 13 8 5" xfId="6015"/>
    <cellStyle name="Percent 13 9" xfId="6016"/>
    <cellStyle name="Percent 13 9 2" xfId="6017"/>
    <cellStyle name="Percent 14" xfId="6018"/>
    <cellStyle name="Percent 14 10" xfId="6019"/>
    <cellStyle name="Percent 14 10 2" xfId="6020"/>
    <cellStyle name="Percent 14 11" xfId="6021"/>
    <cellStyle name="Percent 14 12" xfId="6022"/>
    <cellStyle name="Percent 14 2" xfId="6023"/>
    <cellStyle name="Percent 14 2 2" xfId="6024"/>
    <cellStyle name="Percent 14 2 2 2" xfId="6025"/>
    <cellStyle name="Percent 14 2 3" xfId="6026"/>
    <cellStyle name="Percent 14 2 3 2" xfId="6027"/>
    <cellStyle name="Percent 14 2 4" xfId="6028"/>
    <cellStyle name="Percent 14 2 5" xfId="6029"/>
    <cellStyle name="Percent 14 3" xfId="6030"/>
    <cellStyle name="Percent 14 3 2" xfId="6031"/>
    <cellStyle name="Percent 14 3 2 2" xfId="6032"/>
    <cellStyle name="Percent 14 3 3" xfId="6033"/>
    <cellStyle name="Percent 14 3 3 2" xfId="6034"/>
    <cellStyle name="Percent 14 3 4" xfId="6035"/>
    <cellStyle name="Percent 14 3 5" xfId="6036"/>
    <cellStyle name="Percent 14 4" xfId="6037"/>
    <cellStyle name="Percent 14 4 2" xfId="6038"/>
    <cellStyle name="Percent 14 4 2 2" xfId="6039"/>
    <cellStyle name="Percent 14 4 3" xfId="6040"/>
    <cellStyle name="Percent 14 4 3 2" xfId="6041"/>
    <cellStyle name="Percent 14 4 4" xfId="6042"/>
    <cellStyle name="Percent 14 4 5" xfId="6043"/>
    <cellStyle name="Percent 14 5" xfId="6044"/>
    <cellStyle name="Percent 14 5 2" xfId="6045"/>
    <cellStyle name="Percent 14 5 2 2" xfId="6046"/>
    <cellStyle name="Percent 14 5 3" xfId="6047"/>
    <cellStyle name="Percent 14 5 3 2" xfId="6048"/>
    <cellStyle name="Percent 14 5 4" xfId="6049"/>
    <cellStyle name="Percent 14 5 5" xfId="6050"/>
    <cellStyle name="Percent 14 6" xfId="6051"/>
    <cellStyle name="Percent 14 6 2" xfId="6052"/>
    <cellStyle name="Percent 14 6 2 2" xfId="6053"/>
    <cellStyle name="Percent 14 6 3" xfId="6054"/>
    <cellStyle name="Percent 14 6 3 2" xfId="6055"/>
    <cellStyle name="Percent 14 6 4" xfId="6056"/>
    <cellStyle name="Percent 14 6 5" xfId="6057"/>
    <cellStyle name="Percent 14 7" xfId="6058"/>
    <cellStyle name="Percent 14 7 2" xfId="6059"/>
    <cellStyle name="Percent 14 7 2 2" xfId="6060"/>
    <cellStyle name="Percent 14 7 3" xfId="6061"/>
    <cellStyle name="Percent 14 7 3 2" xfId="6062"/>
    <cellStyle name="Percent 14 7 4" xfId="6063"/>
    <cellStyle name="Percent 14 7 4 2" xfId="6064"/>
    <cellStyle name="Percent 14 7 5" xfId="6065"/>
    <cellStyle name="Percent 14 7 5 2" xfId="6066"/>
    <cellStyle name="Percent 14 7 6" xfId="6067"/>
    <cellStyle name="Percent 14 7 7" xfId="6068"/>
    <cellStyle name="Percent 14 8" xfId="6069"/>
    <cellStyle name="Percent 14 8 2" xfId="6070"/>
    <cellStyle name="Percent 14 8 2 2" xfId="6071"/>
    <cellStyle name="Percent 14 8 3" xfId="6072"/>
    <cellStyle name="Percent 14 8 3 2" xfId="6073"/>
    <cellStyle name="Percent 14 8 4" xfId="6074"/>
    <cellStyle name="Percent 14 8 5" xfId="6075"/>
    <cellStyle name="Percent 14 9" xfId="6076"/>
    <cellStyle name="Percent 14 9 2" xfId="6077"/>
    <cellStyle name="Percent 15" xfId="6078"/>
    <cellStyle name="Percent 15 10" xfId="6079"/>
    <cellStyle name="Percent 15 10 2" xfId="6080"/>
    <cellStyle name="Percent 15 10 3" xfId="6081"/>
    <cellStyle name="Percent 15 11" xfId="6082"/>
    <cellStyle name="Percent 15 11 2" xfId="6083"/>
    <cellStyle name="Percent 15 11 3" xfId="6084"/>
    <cellStyle name="Percent 15 12" xfId="6085"/>
    <cellStyle name="Percent 15 12 2" xfId="6086"/>
    <cellStyle name="Percent 15 12 3" xfId="6087"/>
    <cellStyle name="Percent 15 13" xfId="6088"/>
    <cellStyle name="Percent 15 13 2" xfId="6089"/>
    <cellStyle name="Percent 15 13 3" xfId="6090"/>
    <cellStyle name="Percent 15 14" xfId="6091"/>
    <cellStyle name="Percent 15 14 2" xfId="6092"/>
    <cellStyle name="Percent 15 14 3" xfId="6093"/>
    <cellStyle name="Percent 15 15" xfId="6094"/>
    <cellStyle name="Percent 15 15 2" xfId="6095"/>
    <cellStyle name="Percent 15 16" xfId="6096"/>
    <cellStyle name="Percent 15 17" xfId="6097"/>
    <cellStyle name="Percent 15 2" xfId="6098"/>
    <cellStyle name="Percent 15 2 10" xfId="6099"/>
    <cellStyle name="Percent 15 2 2" xfId="6100"/>
    <cellStyle name="Percent 15 2 2 2" xfId="6101"/>
    <cellStyle name="Percent 15 2 2 3" xfId="6102"/>
    <cellStyle name="Percent 15 2 2 4" xfId="6103"/>
    <cellStyle name="Percent 15 2 3" xfId="6104"/>
    <cellStyle name="Percent 15 2 3 2" xfId="6105"/>
    <cellStyle name="Percent 15 2 3 3" xfId="6106"/>
    <cellStyle name="Percent 15 2 3 4" xfId="6107"/>
    <cellStyle name="Percent 15 2 4" xfId="6108"/>
    <cellStyle name="Percent 15 2 4 2" xfId="6109"/>
    <cellStyle name="Percent 15 2 4 3" xfId="6110"/>
    <cellStyle name="Percent 15 2 4 4" xfId="6111"/>
    <cellStyle name="Percent 15 2 5" xfId="6112"/>
    <cellStyle name="Percent 15 2 5 2" xfId="6113"/>
    <cellStyle name="Percent 15 2 5 3" xfId="6114"/>
    <cellStyle name="Percent 15 2 5 4" xfId="6115"/>
    <cellStyle name="Percent 15 2 6" xfId="6116"/>
    <cellStyle name="Percent 15 2 6 2" xfId="6117"/>
    <cellStyle name="Percent 15 2 6 3" xfId="6118"/>
    <cellStyle name="Percent 15 2 6 4" xfId="6119"/>
    <cellStyle name="Percent 15 2 7" xfId="6120"/>
    <cellStyle name="Percent 15 2 7 2" xfId="6121"/>
    <cellStyle name="Percent 15 2 7 3" xfId="6122"/>
    <cellStyle name="Percent 15 2 7 4" xfId="6123"/>
    <cellStyle name="Percent 15 2 8" xfId="6124"/>
    <cellStyle name="Percent 15 2 8 2" xfId="6125"/>
    <cellStyle name="Percent 15 2 9" xfId="6126"/>
    <cellStyle name="Percent 15 3" xfId="6127"/>
    <cellStyle name="Percent 15 3 2" xfId="6128"/>
    <cellStyle name="Percent 15 3 3" xfId="6129"/>
    <cellStyle name="Percent 15 3 4" xfId="6130"/>
    <cellStyle name="Percent 15 4" xfId="6131"/>
    <cellStyle name="Percent 15 4 2" xfId="6132"/>
    <cellStyle name="Percent 15 4 2 2" xfId="6133"/>
    <cellStyle name="Percent 15 4 3" xfId="6134"/>
    <cellStyle name="Percent 15 4 3 2" xfId="6135"/>
    <cellStyle name="Percent 15 4 4" xfId="6136"/>
    <cellStyle name="Percent 15 4 5" xfId="6137"/>
    <cellStyle name="Percent 15 5" xfId="6138"/>
    <cellStyle name="Percent 15 5 2" xfId="6139"/>
    <cellStyle name="Percent 15 5 3" xfId="6140"/>
    <cellStyle name="Percent 15 5 4" xfId="6141"/>
    <cellStyle name="Percent 15 6" xfId="6142"/>
    <cellStyle name="Percent 15 6 2" xfId="6143"/>
    <cellStyle name="Percent 15 6 3" xfId="6144"/>
    <cellStyle name="Percent 15 6 4" xfId="6145"/>
    <cellStyle name="Percent 15 7" xfId="6146"/>
    <cellStyle name="Percent 15 7 2" xfId="6147"/>
    <cellStyle name="Percent 15 7 2 2" xfId="6148"/>
    <cellStyle name="Percent 15 7 2 3" xfId="6149"/>
    <cellStyle name="Percent 15 7 3" xfId="6150"/>
    <cellStyle name="Percent 15 7 3 2" xfId="6151"/>
    <cellStyle name="Percent 15 7 4" xfId="6152"/>
    <cellStyle name="Percent 15 7 5" xfId="6153"/>
    <cellStyle name="Percent 15 8" xfId="6154"/>
    <cellStyle name="Percent 15 8 2" xfId="6155"/>
    <cellStyle name="Percent 15 8 3" xfId="6156"/>
    <cellStyle name="Percent 15 8 4" xfId="6157"/>
    <cellStyle name="Percent 15 9" xfId="6158"/>
    <cellStyle name="Percent 15 9 2" xfId="6159"/>
    <cellStyle name="Percent 15 9 3" xfId="6160"/>
    <cellStyle name="Percent 16" xfId="6161"/>
    <cellStyle name="Percent 16 10" xfId="6162"/>
    <cellStyle name="Percent 16 11" xfId="6163"/>
    <cellStyle name="Percent 16 2" xfId="6164"/>
    <cellStyle name="Percent 16 2 2" xfId="6165"/>
    <cellStyle name="Percent 16 2 2 2" xfId="6166"/>
    <cellStyle name="Percent 16 2 3" xfId="6167"/>
    <cellStyle name="Percent 16 2 3 2" xfId="6168"/>
    <cellStyle name="Percent 16 2 4" xfId="6169"/>
    <cellStyle name="Percent 16 2 5" xfId="6170"/>
    <cellStyle name="Percent 16 3" xfId="6171"/>
    <cellStyle name="Percent 16 3 10" xfId="6172"/>
    <cellStyle name="Percent 16 3 10 2" xfId="6173"/>
    <cellStyle name="Percent 16 3 10 3" xfId="6174"/>
    <cellStyle name="Percent 16 3 11" xfId="6175"/>
    <cellStyle name="Percent 16 3 11 2" xfId="6176"/>
    <cellStyle name="Percent 16 3 11 3" xfId="6177"/>
    <cellStyle name="Percent 16 3 12" xfId="6178"/>
    <cellStyle name="Percent 16 3 12 2" xfId="6179"/>
    <cellStyle name="Percent 16 3 12 3" xfId="6180"/>
    <cellStyle name="Percent 16 3 13" xfId="6181"/>
    <cellStyle name="Percent 16 3 13 2" xfId="6182"/>
    <cellStyle name="Percent 16 3 13 3" xfId="6183"/>
    <cellStyle name="Percent 16 3 14" xfId="6184"/>
    <cellStyle name="Percent 16 3 14 2" xfId="6185"/>
    <cellStyle name="Percent 16 3 14 3" xfId="6186"/>
    <cellStyle name="Percent 16 3 15" xfId="6187"/>
    <cellStyle name="Percent 16 3 15 2" xfId="6188"/>
    <cellStyle name="Percent 16 3 15 3" xfId="6189"/>
    <cellStyle name="Percent 16 3 16" xfId="6190"/>
    <cellStyle name="Percent 16 3 16 2" xfId="6191"/>
    <cellStyle name="Percent 16 3 16 3" xfId="6192"/>
    <cellStyle name="Percent 16 3 17" xfId="6193"/>
    <cellStyle name="Percent 16 3 17 2" xfId="6194"/>
    <cellStyle name="Percent 16 3 17 3" xfId="6195"/>
    <cellStyle name="Percent 16 3 18" xfId="6196"/>
    <cellStyle name="Percent 16 3 18 2" xfId="6197"/>
    <cellStyle name="Percent 16 3 19" xfId="6198"/>
    <cellStyle name="Percent 16 3 19 2" xfId="6199"/>
    <cellStyle name="Percent 16 3 2" xfId="6200"/>
    <cellStyle name="Percent 16 3 2 2" xfId="6201"/>
    <cellStyle name="Percent 16 3 2 3" xfId="6202"/>
    <cellStyle name="Percent 16 3 20" xfId="6203"/>
    <cellStyle name="Percent 16 3 21" xfId="6204"/>
    <cellStyle name="Percent 16 3 3" xfId="6205"/>
    <cellStyle name="Percent 16 3 3 2" xfId="6206"/>
    <cellStyle name="Percent 16 3 3 3" xfId="6207"/>
    <cellStyle name="Percent 16 3 4" xfId="6208"/>
    <cellStyle name="Percent 16 3 4 2" xfId="6209"/>
    <cellStyle name="Percent 16 3 4 3" xfId="6210"/>
    <cellStyle name="Percent 16 3 5" xfId="6211"/>
    <cellStyle name="Percent 16 3 5 2" xfId="6212"/>
    <cellStyle name="Percent 16 3 5 3" xfId="6213"/>
    <cellStyle name="Percent 16 3 6" xfId="6214"/>
    <cellStyle name="Percent 16 3 6 2" xfId="6215"/>
    <cellStyle name="Percent 16 3 6 3" xfId="6216"/>
    <cellStyle name="Percent 16 3 7" xfId="6217"/>
    <cellStyle name="Percent 16 3 7 2" xfId="6218"/>
    <cellStyle name="Percent 16 3 7 3" xfId="6219"/>
    <cellStyle name="Percent 16 3 8" xfId="6220"/>
    <cellStyle name="Percent 16 3 8 2" xfId="6221"/>
    <cellStyle name="Percent 16 3 8 3" xfId="6222"/>
    <cellStyle name="Percent 16 3 9" xfId="6223"/>
    <cellStyle name="Percent 16 3 9 2" xfId="6224"/>
    <cellStyle name="Percent 16 3 9 3" xfId="6225"/>
    <cellStyle name="Percent 16 4" xfId="6226"/>
    <cellStyle name="Percent 16 4 10" xfId="6227"/>
    <cellStyle name="Percent 16 4 10 2" xfId="6228"/>
    <cellStyle name="Percent 16 4 10 3" xfId="6229"/>
    <cellStyle name="Percent 16 4 11" xfId="6230"/>
    <cellStyle name="Percent 16 4 11 2" xfId="6231"/>
    <cellStyle name="Percent 16 4 11 3" xfId="6232"/>
    <cellStyle name="Percent 16 4 12" xfId="6233"/>
    <cellStyle name="Percent 16 4 12 2" xfId="6234"/>
    <cellStyle name="Percent 16 4 12 3" xfId="6235"/>
    <cellStyle name="Percent 16 4 13" xfId="6236"/>
    <cellStyle name="Percent 16 4 13 2" xfId="6237"/>
    <cellStyle name="Percent 16 4 13 3" xfId="6238"/>
    <cellStyle name="Percent 16 4 14" xfId="6239"/>
    <cellStyle name="Percent 16 4 14 2" xfId="6240"/>
    <cellStyle name="Percent 16 4 14 3" xfId="6241"/>
    <cellStyle name="Percent 16 4 15" xfId="6242"/>
    <cellStyle name="Percent 16 4 15 2" xfId="6243"/>
    <cellStyle name="Percent 16 4 15 3" xfId="6244"/>
    <cellStyle name="Percent 16 4 16" xfId="6245"/>
    <cellStyle name="Percent 16 4 16 2" xfId="6246"/>
    <cellStyle name="Percent 16 4 16 3" xfId="6247"/>
    <cellStyle name="Percent 16 4 17" xfId="6248"/>
    <cellStyle name="Percent 16 4 17 2" xfId="6249"/>
    <cellStyle name="Percent 16 4 17 3" xfId="6250"/>
    <cellStyle name="Percent 16 4 18" xfId="6251"/>
    <cellStyle name="Percent 16 4 18 2" xfId="6252"/>
    <cellStyle name="Percent 16 4 19" xfId="6253"/>
    <cellStyle name="Percent 16 4 19 2" xfId="6254"/>
    <cellStyle name="Percent 16 4 2" xfId="6255"/>
    <cellStyle name="Percent 16 4 2 2" xfId="6256"/>
    <cellStyle name="Percent 16 4 2 3" xfId="6257"/>
    <cellStyle name="Percent 16 4 20" xfId="6258"/>
    <cellStyle name="Percent 16 4 21" xfId="6259"/>
    <cellStyle name="Percent 16 4 3" xfId="6260"/>
    <cellStyle name="Percent 16 4 3 2" xfId="6261"/>
    <cellStyle name="Percent 16 4 3 3" xfId="6262"/>
    <cellStyle name="Percent 16 4 4" xfId="6263"/>
    <cellStyle name="Percent 16 4 4 2" xfId="6264"/>
    <cellStyle name="Percent 16 4 4 3" xfId="6265"/>
    <cellStyle name="Percent 16 4 5" xfId="6266"/>
    <cellStyle name="Percent 16 4 5 2" xfId="6267"/>
    <cellStyle name="Percent 16 4 5 3" xfId="6268"/>
    <cellStyle name="Percent 16 4 6" xfId="6269"/>
    <cellStyle name="Percent 16 4 6 2" xfId="6270"/>
    <cellStyle name="Percent 16 4 6 3" xfId="6271"/>
    <cellStyle name="Percent 16 4 7" xfId="6272"/>
    <cellStyle name="Percent 16 4 7 2" xfId="6273"/>
    <cellStyle name="Percent 16 4 7 3" xfId="6274"/>
    <cellStyle name="Percent 16 4 8" xfId="6275"/>
    <cellStyle name="Percent 16 4 8 2" xfId="6276"/>
    <cellStyle name="Percent 16 4 8 3" xfId="6277"/>
    <cellStyle name="Percent 16 4 9" xfId="6278"/>
    <cellStyle name="Percent 16 4 9 2" xfId="6279"/>
    <cellStyle name="Percent 16 4 9 3" xfId="6280"/>
    <cellStyle name="Percent 16 5" xfId="6281"/>
    <cellStyle name="Percent 16 5 10" xfId="6282"/>
    <cellStyle name="Percent 16 5 10 2" xfId="6283"/>
    <cellStyle name="Percent 16 5 10 3" xfId="6284"/>
    <cellStyle name="Percent 16 5 11" xfId="6285"/>
    <cellStyle name="Percent 16 5 11 2" xfId="6286"/>
    <cellStyle name="Percent 16 5 11 3" xfId="6287"/>
    <cellStyle name="Percent 16 5 12" xfId="6288"/>
    <cellStyle name="Percent 16 5 12 2" xfId="6289"/>
    <cellStyle name="Percent 16 5 12 3" xfId="6290"/>
    <cellStyle name="Percent 16 5 13" xfId="6291"/>
    <cellStyle name="Percent 16 5 13 2" xfId="6292"/>
    <cellStyle name="Percent 16 5 13 3" xfId="6293"/>
    <cellStyle name="Percent 16 5 14" xfId="6294"/>
    <cellStyle name="Percent 16 5 14 2" xfId="6295"/>
    <cellStyle name="Percent 16 5 14 3" xfId="6296"/>
    <cellStyle name="Percent 16 5 15" xfId="6297"/>
    <cellStyle name="Percent 16 5 15 2" xfId="6298"/>
    <cellStyle name="Percent 16 5 15 3" xfId="6299"/>
    <cellStyle name="Percent 16 5 16" xfId="6300"/>
    <cellStyle name="Percent 16 5 16 2" xfId="6301"/>
    <cellStyle name="Percent 16 5 16 3" xfId="6302"/>
    <cellStyle name="Percent 16 5 17" xfId="6303"/>
    <cellStyle name="Percent 16 5 17 2" xfId="6304"/>
    <cellStyle name="Percent 16 5 17 3" xfId="6305"/>
    <cellStyle name="Percent 16 5 18" xfId="6306"/>
    <cellStyle name="Percent 16 5 18 2" xfId="6307"/>
    <cellStyle name="Percent 16 5 19" xfId="6308"/>
    <cellStyle name="Percent 16 5 19 2" xfId="6309"/>
    <cellStyle name="Percent 16 5 2" xfId="6310"/>
    <cellStyle name="Percent 16 5 2 2" xfId="6311"/>
    <cellStyle name="Percent 16 5 2 3" xfId="6312"/>
    <cellStyle name="Percent 16 5 20" xfId="6313"/>
    <cellStyle name="Percent 16 5 21" xfId="6314"/>
    <cellStyle name="Percent 16 5 3" xfId="6315"/>
    <cellStyle name="Percent 16 5 3 2" xfId="6316"/>
    <cellStyle name="Percent 16 5 3 3" xfId="6317"/>
    <cellStyle name="Percent 16 5 4" xfId="6318"/>
    <cellStyle name="Percent 16 5 4 2" xfId="6319"/>
    <cellStyle name="Percent 16 5 4 3" xfId="6320"/>
    <cellStyle name="Percent 16 5 5" xfId="6321"/>
    <cellStyle name="Percent 16 5 5 2" xfId="6322"/>
    <cellStyle name="Percent 16 5 5 3" xfId="6323"/>
    <cellStyle name="Percent 16 5 6" xfId="6324"/>
    <cellStyle name="Percent 16 5 6 2" xfId="6325"/>
    <cellStyle name="Percent 16 5 6 3" xfId="6326"/>
    <cellStyle name="Percent 16 5 7" xfId="6327"/>
    <cellStyle name="Percent 16 5 7 2" xfId="6328"/>
    <cellStyle name="Percent 16 5 7 3" xfId="6329"/>
    <cellStyle name="Percent 16 5 8" xfId="6330"/>
    <cellStyle name="Percent 16 5 8 2" xfId="6331"/>
    <cellStyle name="Percent 16 5 8 3" xfId="6332"/>
    <cellStyle name="Percent 16 5 9" xfId="6333"/>
    <cellStyle name="Percent 16 5 9 2" xfId="6334"/>
    <cellStyle name="Percent 16 5 9 3" xfId="6335"/>
    <cellStyle name="Percent 16 6" xfId="6336"/>
    <cellStyle name="Percent 16 6 10" xfId="6337"/>
    <cellStyle name="Percent 16 6 10 2" xfId="6338"/>
    <cellStyle name="Percent 16 6 10 3" xfId="6339"/>
    <cellStyle name="Percent 16 6 11" xfId="6340"/>
    <cellStyle name="Percent 16 6 11 2" xfId="6341"/>
    <cellStyle name="Percent 16 6 11 3" xfId="6342"/>
    <cellStyle name="Percent 16 6 12" xfId="6343"/>
    <cellStyle name="Percent 16 6 12 2" xfId="6344"/>
    <cellStyle name="Percent 16 6 12 3" xfId="6345"/>
    <cellStyle name="Percent 16 6 13" xfId="6346"/>
    <cellStyle name="Percent 16 6 13 2" xfId="6347"/>
    <cellStyle name="Percent 16 6 13 3" xfId="6348"/>
    <cellStyle name="Percent 16 6 14" xfId="6349"/>
    <cellStyle name="Percent 16 6 14 2" xfId="6350"/>
    <cellStyle name="Percent 16 6 14 3" xfId="6351"/>
    <cellStyle name="Percent 16 6 15" xfId="6352"/>
    <cellStyle name="Percent 16 6 15 2" xfId="6353"/>
    <cellStyle name="Percent 16 6 15 3" xfId="6354"/>
    <cellStyle name="Percent 16 6 16" xfId="6355"/>
    <cellStyle name="Percent 16 6 16 2" xfId="6356"/>
    <cellStyle name="Percent 16 6 16 3" xfId="6357"/>
    <cellStyle name="Percent 16 6 17" xfId="6358"/>
    <cellStyle name="Percent 16 6 17 2" xfId="6359"/>
    <cellStyle name="Percent 16 6 17 3" xfId="6360"/>
    <cellStyle name="Percent 16 6 18" xfId="6361"/>
    <cellStyle name="Percent 16 6 18 2" xfId="6362"/>
    <cellStyle name="Percent 16 6 19" xfId="6363"/>
    <cellStyle name="Percent 16 6 19 2" xfId="6364"/>
    <cellStyle name="Percent 16 6 2" xfId="6365"/>
    <cellStyle name="Percent 16 6 2 2" xfId="6366"/>
    <cellStyle name="Percent 16 6 2 3" xfId="6367"/>
    <cellStyle name="Percent 16 6 20" xfId="6368"/>
    <cellStyle name="Percent 16 6 21" xfId="6369"/>
    <cellStyle name="Percent 16 6 3" xfId="6370"/>
    <cellStyle name="Percent 16 6 3 2" xfId="6371"/>
    <cellStyle name="Percent 16 6 3 3" xfId="6372"/>
    <cellStyle name="Percent 16 6 4" xfId="6373"/>
    <cellStyle name="Percent 16 6 4 2" xfId="6374"/>
    <cellStyle name="Percent 16 6 4 3" xfId="6375"/>
    <cellStyle name="Percent 16 6 5" xfId="6376"/>
    <cellStyle name="Percent 16 6 5 2" xfId="6377"/>
    <cellStyle name="Percent 16 6 5 3" xfId="6378"/>
    <cellStyle name="Percent 16 6 6" xfId="6379"/>
    <cellStyle name="Percent 16 6 6 2" xfId="6380"/>
    <cellStyle name="Percent 16 6 6 3" xfId="6381"/>
    <cellStyle name="Percent 16 6 7" xfId="6382"/>
    <cellStyle name="Percent 16 6 7 2" xfId="6383"/>
    <cellStyle name="Percent 16 6 7 3" xfId="6384"/>
    <cellStyle name="Percent 16 6 8" xfId="6385"/>
    <cellStyle name="Percent 16 6 8 2" xfId="6386"/>
    <cellStyle name="Percent 16 6 8 3" xfId="6387"/>
    <cellStyle name="Percent 16 6 9" xfId="6388"/>
    <cellStyle name="Percent 16 6 9 2" xfId="6389"/>
    <cellStyle name="Percent 16 6 9 3" xfId="6390"/>
    <cellStyle name="Percent 16 7" xfId="6391"/>
    <cellStyle name="Percent 16 7 10" xfId="6392"/>
    <cellStyle name="Percent 16 7 10 2" xfId="6393"/>
    <cellStyle name="Percent 16 7 10 3" xfId="6394"/>
    <cellStyle name="Percent 16 7 11" xfId="6395"/>
    <cellStyle name="Percent 16 7 11 2" xfId="6396"/>
    <cellStyle name="Percent 16 7 11 3" xfId="6397"/>
    <cellStyle name="Percent 16 7 12" xfId="6398"/>
    <cellStyle name="Percent 16 7 12 2" xfId="6399"/>
    <cellStyle name="Percent 16 7 12 3" xfId="6400"/>
    <cellStyle name="Percent 16 7 13" xfId="6401"/>
    <cellStyle name="Percent 16 7 13 2" xfId="6402"/>
    <cellStyle name="Percent 16 7 13 3" xfId="6403"/>
    <cellStyle name="Percent 16 7 14" xfId="6404"/>
    <cellStyle name="Percent 16 7 14 2" xfId="6405"/>
    <cellStyle name="Percent 16 7 14 3" xfId="6406"/>
    <cellStyle name="Percent 16 7 15" xfId="6407"/>
    <cellStyle name="Percent 16 7 15 2" xfId="6408"/>
    <cellStyle name="Percent 16 7 15 3" xfId="6409"/>
    <cellStyle name="Percent 16 7 16" xfId="6410"/>
    <cellStyle name="Percent 16 7 16 2" xfId="6411"/>
    <cellStyle name="Percent 16 7 16 3" xfId="6412"/>
    <cellStyle name="Percent 16 7 17" xfId="6413"/>
    <cellStyle name="Percent 16 7 17 2" xfId="6414"/>
    <cellStyle name="Percent 16 7 17 3" xfId="6415"/>
    <cellStyle name="Percent 16 7 18" xfId="6416"/>
    <cellStyle name="Percent 16 7 18 2" xfId="6417"/>
    <cellStyle name="Percent 16 7 19" xfId="6418"/>
    <cellStyle name="Percent 16 7 19 2" xfId="6419"/>
    <cellStyle name="Percent 16 7 2" xfId="6420"/>
    <cellStyle name="Percent 16 7 2 2" xfId="6421"/>
    <cellStyle name="Percent 16 7 2 2 2" xfId="6422"/>
    <cellStyle name="Percent 16 7 2 3" xfId="6423"/>
    <cellStyle name="Percent 16 7 2 3 2" xfId="6424"/>
    <cellStyle name="Percent 16 7 2 4" xfId="6425"/>
    <cellStyle name="Percent 16 7 2 5" xfId="6426"/>
    <cellStyle name="Percent 16 7 20" xfId="6427"/>
    <cellStyle name="Percent 16 7 21" xfId="6428"/>
    <cellStyle name="Percent 16 7 3" xfId="6429"/>
    <cellStyle name="Percent 16 7 3 2" xfId="6430"/>
    <cellStyle name="Percent 16 7 3 2 2" xfId="6431"/>
    <cellStyle name="Percent 16 7 3 3" xfId="6432"/>
    <cellStyle name="Percent 16 7 3 3 2" xfId="6433"/>
    <cellStyle name="Percent 16 7 3 4" xfId="6434"/>
    <cellStyle name="Percent 16 7 3 5" xfId="6435"/>
    <cellStyle name="Percent 16 7 4" xfId="6436"/>
    <cellStyle name="Percent 16 7 4 2" xfId="6437"/>
    <cellStyle name="Percent 16 7 4 3" xfId="6438"/>
    <cellStyle name="Percent 16 7 5" xfId="6439"/>
    <cellStyle name="Percent 16 7 5 2" xfId="6440"/>
    <cellStyle name="Percent 16 7 5 3" xfId="6441"/>
    <cellStyle name="Percent 16 7 6" xfId="6442"/>
    <cellStyle name="Percent 16 7 6 2" xfId="6443"/>
    <cellStyle name="Percent 16 7 6 3" xfId="6444"/>
    <cellStyle name="Percent 16 7 7" xfId="6445"/>
    <cellStyle name="Percent 16 7 7 2" xfId="6446"/>
    <cellStyle name="Percent 16 7 7 3" xfId="6447"/>
    <cellStyle name="Percent 16 7 8" xfId="6448"/>
    <cellStyle name="Percent 16 7 8 2" xfId="6449"/>
    <cellStyle name="Percent 16 7 8 3" xfId="6450"/>
    <cellStyle name="Percent 16 7 9" xfId="6451"/>
    <cellStyle name="Percent 16 7 9 2" xfId="6452"/>
    <cellStyle name="Percent 16 7 9 3" xfId="6453"/>
    <cellStyle name="Percent 16 8" xfId="6454"/>
    <cellStyle name="Percent 16 8 10" xfId="6455"/>
    <cellStyle name="Percent 16 8 10 2" xfId="6456"/>
    <cellStyle name="Percent 16 8 10 3" xfId="6457"/>
    <cellStyle name="Percent 16 8 11" xfId="6458"/>
    <cellStyle name="Percent 16 8 11 2" xfId="6459"/>
    <cellStyle name="Percent 16 8 11 3" xfId="6460"/>
    <cellStyle name="Percent 16 8 12" xfId="6461"/>
    <cellStyle name="Percent 16 8 12 2" xfId="6462"/>
    <cellStyle name="Percent 16 8 12 3" xfId="6463"/>
    <cellStyle name="Percent 16 8 13" xfId="6464"/>
    <cellStyle name="Percent 16 8 13 2" xfId="6465"/>
    <cellStyle name="Percent 16 8 13 3" xfId="6466"/>
    <cellStyle name="Percent 16 8 14" xfId="6467"/>
    <cellStyle name="Percent 16 8 14 2" xfId="6468"/>
    <cellStyle name="Percent 16 8 14 3" xfId="6469"/>
    <cellStyle name="Percent 16 8 15" xfId="6470"/>
    <cellStyle name="Percent 16 8 15 2" xfId="6471"/>
    <cellStyle name="Percent 16 8 15 3" xfId="6472"/>
    <cellStyle name="Percent 16 8 16" xfId="6473"/>
    <cellStyle name="Percent 16 8 16 2" xfId="6474"/>
    <cellStyle name="Percent 16 8 16 3" xfId="6475"/>
    <cellStyle name="Percent 16 8 17" xfId="6476"/>
    <cellStyle name="Percent 16 8 17 2" xfId="6477"/>
    <cellStyle name="Percent 16 8 17 3" xfId="6478"/>
    <cellStyle name="Percent 16 8 18" xfId="6479"/>
    <cellStyle name="Percent 16 8 19" xfId="6480"/>
    <cellStyle name="Percent 16 8 2" xfId="6481"/>
    <cellStyle name="Percent 16 8 2 2" xfId="6482"/>
    <cellStyle name="Percent 16 8 2 3" xfId="6483"/>
    <cellStyle name="Percent 16 8 3" xfId="6484"/>
    <cellStyle name="Percent 16 8 3 2" xfId="6485"/>
    <cellStyle name="Percent 16 8 3 3" xfId="6486"/>
    <cellStyle name="Percent 16 8 4" xfId="6487"/>
    <cellStyle name="Percent 16 8 4 2" xfId="6488"/>
    <cellStyle name="Percent 16 8 4 3" xfId="6489"/>
    <cellStyle name="Percent 16 8 5" xfId="6490"/>
    <cellStyle name="Percent 16 8 5 2" xfId="6491"/>
    <cellStyle name="Percent 16 8 5 3" xfId="6492"/>
    <cellStyle name="Percent 16 8 6" xfId="6493"/>
    <cellStyle name="Percent 16 8 6 2" xfId="6494"/>
    <cellStyle name="Percent 16 8 6 3" xfId="6495"/>
    <cellStyle name="Percent 16 8 7" xfId="6496"/>
    <cellStyle name="Percent 16 8 7 2" xfId="6497"/>
    <cellStyle name="Percent 16 8 7 3" xfId="6498"/>
    <cellStyle name="Percent 16 8 8" xfId="6499"/>
    <cellStyle name="Percent 16 8 8 2" xfId="6500"/>
    <cellStyle name="Percent 16 8 8 3" xfId="6501"/>
    <cellStyle name="Percent 16 8 9" xfId="6502"/>
    <cellStyle name="Percent 16 8 9 2" xfId="6503"/>
    <cellStyle name="Percent 16 8 9 3" xfId="6504"/>
    <cellStyle name="Percent 16 9" xfId="6505"/>
    <cellStyle name="Percent 16 9 10" xfId="6506"/>
    <cellStyle name="Percent 16 9 10 2" xfId="6507"/>
    <cellStyle name="Percent 16 9 10 3" xfId="6508"/>
    <cellStyle name="Percent 16 9 11" xfId="6509"/>
    <cellStyle name="Percent 16 9 11 2" xfId="6510"/>
    <cellStyle name="Percent 16 9 11 3" xfId="6511"/>
    <cellStyle name="Percent 16 9 12" xfId="6512"/>
    <cellStyle name="Percent 16 9 12 2" xfId="6513"/>
    <cellStyle name="Percent 16 9 12 3" xfId="6514"/>
    <cellStyle name="Percent 16 9 13" xfId="6515"/>
    <cellStyle name="Percent 16 9 13 2" xfId="6516"/>
    <cellStyle name="Percent 16 9 13 3" xfId="6517"/>
    <cellStyle name="Percent 16 9 14" xfId="6518"/>
    <cellStyle name="Percent 16 9 14 2" xfId="6519"/>
    <cellStyle name="Percent 16 9 14 3" xfId="6520"/>
    <cellStyle name="Percent 16 9 15" xfId="6521"/>
    <cellStyle name="Percent 16 9 15 2" xfId="6522"/>
    <cellStyle name="Percent 16 9 15 3" xfId="6523"/>
    <cellStyle name="Percent 16 9 16" xfId="6524"/>
    <cellStyle name="Percent 16 9 16 2" xfId="6525"/>
    <cellStyle name="Percent 16 9 16 3" xfId="6526"/>
    <cellStyle name="Percent 16 9 17" xfId="6527"/>
    <cellStyle name="Percent 16 9 17 2" xfId="6528"/>
    <cellStyle name="Percent 16 9 17 3" xfId="6529"/>
    <cellStyle name="Percent 16 9 18" xfId="6530"/>
    <cellStyle name="Percent 16 9 19" xfId="6531"/>
    <cellStyle name="Percent 16 9 2" xfId="6532"/>
    <cellStyle name="Percent 16 9 2 2" xfId="6533"/>
    <cellStyle name="Percent 16 9 2 3" xfId="6534"/>
    <cellStyle name="Percent 16 9 3" xfId="6535"/>
    <cellStyle name="Percent 16 9 3 2" xfId="6536"/>
    <cellStyle name="Percent 16 9 3 3" xfId="6537"/>
    <cellStyle name="Percent 16 9 4" xfId="6538"/>
    <cellStyle name="Percent 16 9 4 2" xfId="6539"/>
    <cellStyle name="Percent 16 9 4 3" xfId="6540"/>
    <cellStyle name="Percent 16 9 5" xfId="6541"/>
    <cellStyle name="Percent 16 9 5 2" xfId="6542"/>
    <cellStyle name="Percent 16 9 5 3" xfId="6543"/>
    <cellStyle name="Percent 16 9 6" xfId="6544"/>
    <cellStyle name="Percent 16 9 6 2" xfId="6545"/>
    <cellStyle name="Percent 16 9 6 3" xfId="6546"/>
    <cellStyle name="Percent 16 9 7" xfId="6547"/>
    <cellStyle name="Percent 16 9 7 2" xfId="6548"/>
    <cellStyle name="Percent 16 9 7 3" xfId="6549"/>
    <cellStyle name="Percent 16 9 8" xfId="6550"/>
    <cellStyle name="Percent 16 9 8 2" xfId="6551"/>
    <cellStyle name="Percent 16 9 8 3" xfId="6552"/>
    <cellStyle name="Percent 16 9 9" xfId="6553"/>
    <cellStyle name="Percent 16 9 9 2" xfId="6554"/>
    <cellStyle name="Percent 16 9 9 3" xfId="6555"/>
    <cellStyle name="Percent 17" xfId="6556"/>
    <cellStyle name="Percent 17 10" xfId="6557"/>
    <cellStyle name="Percent 17 11" xfId="6558"/>
    <cellStyle name="Percent 17 2" xfId="6559"/>
    <cellStyle name="Percent 17 2 2" xfId="6560"/>
    <cellStyle name="Percent 17 3" xfId="6561"/>
    <cellStyle name="Percent 17 3 2" xfId="6562"/>
    <cellStyle name="Percent 17 4" xfId="6563"/>
    <cellStyle name="Percent 17 4 2" xfId="6564"/>
    <cellStyle name="Percent 17 5" xfId="6565"/>
    <cellStyle name="Percent 17 5 2" xfId="6566"/>
    <cellStyle name="Percent 17 6" xfId="6567"/>
    <cellStyle name="Percent 17 6 2" xfId="6568"/>
    <cellStyle name="Percent 17 7" xfId="6569"/>
    <cellStyle name="Percent 17 7 2" xfId="6570"/>
    <cellStyle name="Percent 17 7 2 2" xfId="6571"/>
    <cellStyle name="Percent 17 7 3" xfId="6572"/>
    <cellStyle name="Percent 17 7 3 2" xfId="6573"/>
    <cellStyle name="Percent 17 7 4" xfId="6574"/>
    <cellStyle name="Percent 17 8" xfId="6575"/>
    <cellStyle name="Percent 17 8 2" xfId="6576"/>
    <cellStyle name="Percent 17 8 2 2" xfId="6577"/>
    <cellStyle name="Percent 17 8 3" xfId="6578"/>
    <cellStyle name="Percent 17 9" xfId="6579"/>
    <cellStyle name="Percent 17 9 2" xfId="6580"/>
    <cellStyle name="Percent 18" xfId="6581"/>
    <cellStyle name="Percent 18 2" xfId="6582"/>
    <cellStyle name="Percent 18 2 2" xfId="6583"/>
    <cellStyle name="Percent 18 3" xfId="6584"/>
    <cellStyle name="Percent 19" xfId="6585"/>
    <cellStyle name="Percent 19 2" xfId="6586"/>
    <cellStyle name="Percent 19 2 2" xfId="6587"/>
    <cellStyle name="Percent 19 3" xfId="6588"/>
    <cellStyle name="Percent 2" xfId="6589"/>
    <cellStyle name="Percent 2 10" xfId="6590"/>
    <cellStyle name="Percent 2 10 10" xfId="6591"/>
    <cellStyle name="Percent 2 10 2" xfId="6592"/>
    <cellStyle name="Percent 2 10 2 2" xfId="6593"/>
    <cellStyle name="Percent 2 10 2 3" xfId="6594"/>
    <cellStyle name="Percent 2 10 3" xfId="6595"/>
    <cellStyle name="Percent 2 10 3 2" xfId="6596"/>
    <cellStyle name="Percent 2 10 3 3" xfId="6597"/>
    <cellStyle name="Percent 2 10 4" xfId="6598"/>
    <cellStyle name="Percent 2 10 4 2" xfId="6599"/>
    <cellStyle name="Percent 2 10 4 3" xfId="6600"/>
    <cellStyle name="Percent 2 10 5" xfId="6601"/>
    <cellStyle name="Percent 2 10 5 2" xfId="6602"/>
    <cellStyle name="Percent 2 10 5 3" xfId="6603"/>
    <cellStyle name="Percent 2 10 6" xfId="6604"/>
    <cellStyle name="Percent 2 10 6 2" xfId="6605"/>
    <cellStyle name="Percent 2 10 6 3" xfId="6606"/>
    <cellStyle name="Percent 2 10 7" xfId="6607"/>
    <cellStyle name="Percent 2 10 7 2" xfId="6608"/>
    <cellStyle name="Percent 2 10 7 3" xfId="6609"/>
    <cellStyle name="Percent 2 10 8" xfId="6610"/>
    <cellStyle name="Percent 2 10 8 2" xfId="6611"/>
    <cellStyle name="Percent 2 10 8 3" xfId="6612"/>
    <cellStyle name="Percent 2 10 9" xfId="6613"/>
    <cellStyle name="Percent 2 11" xfId="6614"/>
    <cellStyle name="Percent 2 11 10" xfId="6615"/>
    <cellStyle name="Percent 2 11 2" xfId="6616"/>
    <cellStyle name="Percent 2 11 2 2" xfId="6617"/>
    <cellStyle name="Percent 2 11 2 3" xfId="6618"/>
    <cellStyle name="Percent 2 11 3" xfId="6619"/>
    <cellStyle name="Percent 2 11 3 2" xfId="6620"/>
    <cellStyle name="Percent 2 11 3 3" xfId="6621"/>
    <cellStyle name="Percent 2 11 4" xfId="6622"/>
    <cellStyle name="Percent 2 11 4 2" xfId="6623"/>
    <cellStyle name="Percent 2 11 4 3" xfId="6624"/>
    <cellStyle name="Percent 2 11 5" xfId="6625"/>
    <cellStyle name="Percent 2 11 5 2" xfId="6626"/>
    <cellStyle name="Percent 2 11 5 3" xfId="6627"/>
    <cellStyle name="Percent 2 11 6" xfId="6628"/>
    <cellStyle name="Percent 2 11 6 2" xfId="6629"/>
    <cellStyle name="Percent 2 11 6 3" xfId="6630"/>
    <cellStyle name="Percent 2 11 7" xfId="6631"/>
    <cellStyle name="Percent 2 11 7 2" xfId="6632"/>
    <cellStyle name="Percent 2 11 7 3" xfId="6633"/>
    <cellStyle name="Percent 2 11 8" xfId="6634"/>
    <cellStyle name="Percent 2 11 8 2" xfId="6635"/>
    <cellStyle name="Percent 2 11 8 3" xfId="6636"/>
    <cellStyle name="Percent 2 11 9" xfId="6637"/>
    <cellStyle name="Percent 2 12" xfId="6638"/>
    <cellStyle name="Percent 2 12 2" xfId="6639"/>
    <cellStyle name="Percent 2 12 3" xfId="6640"/>
    <cellStyle name="Percent 2 13" xfId="6641"/>
    <cellStyle name="Percent 2 13 2" xfId="6642"/>
    <cellStyle name="Percent 2 13 3" xfId="6643"/>
    <cellStyle name="Percent 2 14" xfId="6644"/>
    <cellStyle name="Percent 2 14 2" xfId="6645"/>
    <cellStyle name="Percent 2 14 3" xfId="6646"/>
    <cellStyle name="Percent 2 15" xfId="6647"/>
    <cellStyle name="Percent 2 15 2" xfId="6648"/>
    <cellStyle name="Percent 2 15 3" xfId="6649"/>
    <cellStyle name="Percent 2 16" xfId="6650"/>
    <cellStyle name="Percent 2 16 2" xfId="6651"/>
    <cellStyle name="Percent 2 16 3" xfId="6652"/>
    <cellStyle name="Percent 2 17" xfId="6653"/>
    <cellStyle name="Percent 2 17 2" xfId="6654"/>
    <cellStyle name="Percent 2 17 3" xfId="6655"/>
    <cellStyle name="Percent 2 18" xfId="6656"/>
    <cellStyle name="Percent 2 18 2" xfId="6657"/>
    <cellStyle name="Percent 2 18 3" xfId="6658"/>
    <cellStyle name="Percent 2 19" xfId="6659"/>
    <cellStyle name="Percent 2 19 2" xfId="6660"/>
    <cellStyle name="Percent 2 2" xfId="6661"/>
    <cellStyle name="Percent 2 2 10" xfId="6662"/>
    <cellStyle name="Percent 2 2 10 2" xfId="6663"/>
    <cellStyle name="Percent 2 2 2" xfId="6664"/>
    <cellStyle name="Percent 2 2 2 2" xfId="6665"/>
    <cellStyle name="Percent 2 2 2 2 2" xfId="6666"/>
    <cellStyle name="Percent 2 2 3" xfId="6667"/>
    <cellStyle name="Percent 2 2 3 2" xfId="6668"/>
    <cellStyle name="Percent 2 2 3 2 2" xfId="6669"/>
    <cellStyle name="Percent 2 2 3 2 2 2" xfId="6670"/>
    <cellStyle name="Percent 2 2 3 3" xfId="6671"/>
    <cellStyle name="Percent 2 2 3 3 2" xfId="6672"/>
    <cellStyle name="Percent 2 2 3 4" xfId="6673"/>
    <cellStyle name="Percent 2 2 3 4 2" xfId="6674"/>
    <cellStyle name="Percent 2 2 3 4 2 2" xfId="6675"/>
    <cellStyle name="Percent 2 2 3 4 3" xfId="6676"/>
    <cellStyle name="Percent 2 2 3 5" xfId="6677"/>
    <cellStyle name="Percent 2 2 3 5 2" xfId="6678"/>
    <cellStyle name="Percent 2 2 4" xfId="6679"/>
    <cellStyle name="Percent 2 2 4 2" xfId="6680"/>
    <cellStyle name="Percent 2 2 4 2 2" xfId="6681"/>
    <cellStyle name="Percent 2 2 4 3" xfId="6682"/>
    <cellStyle name="Percent 2 2 4 3 2" xfId="6683"/>
    <cellStyle name="Percent 2 2 4 4" xfId="6684"/>
    <cellStyle name="Percent 2 2 4 5" xfId="6685"/>
    <cellStyle name="Percent 2 2 5" xfId="6686"/>
    <cellStyle name="Percent 2 2 5 2" xfId="6687"/>
    <cellStyle name="Percent 2 2 5 3" xfId="6688"/>
    <cellStyle name="Percent 2 2 6" xfId="6689"/>
    <cellStyle name="Percent 2 2 6 2" xfId="6690"/>
    <cellStyle name="Percent 2 2 6 2 2" xfId="6691"/>
    <cellStyle name="Percent 2 2 6 3" xfId="6692"/>
    <cellStyle name="Percent 2 2 6 3 2" xfId="6693"/>
    <cellStyle name="Percent 2 2 6 4" xfId="6694"/>
    <cellStyle name="Percent 2 2 6 5" xfId="6695"/>
    <cellStyle name="Percent 2 2 7" xfId="6696"/>
    <cellStyle name="Percent 2 2 7 2" xfId="6697"/>
    <cellStyle name="Percent 2 2 7 2 2" xfId="6698"/>
    <cellStyle name="Percent 2 2 7 3" xfId="6699"/>
    <cellStyle name="Percent 2 2 7 3 2" xfId="6700"/>
    <cellStyle name="Percent 2 2 7 4" xfId="6701"/>
    <cellStyle name="Percent 2 2 7 5" xfId="6702"/>
    <cellStyle name="Percent 2 2 8" xfId="6703"/>
    <cellStyle name="Percent 2 2 8 2" xfId="6704"/>
    <cellStyle name="Percent 2 2 8 3" xfId="6705"/>
    <cellStyle name="Percent 2 2 9" xfId="6706"/>
    <cellStyle name="Percent 2 2 9 2" xfId="6707"/>
    <cellStyle name="Percent 2 20" xfId="6708"/>
    <cellStyle name="Percent 2 20 2" xfId="6709"/>
    <cellStyle name="Percent 2 21" xfId="6710"/>
    <cellStyle name="Percent 2 21 2" xfId="6711"/>
    <cellStyle name="Percent 2 22" xfId="6712"/>
    <cellStyle name="Percent 2 22 2" xfId="6713"/>
    <cellStyle name="Percent 2 23" xfId="6714"/>
    <cellStyle name="Percent 2 23 2" xfId="6715"/>
    <cellStyle name="Percent 2 24" xfId="6716"/>
    <cellStyle name="Percent 2 24 2" xfId="6717"/>
    <cellStyle name="Percent 2 25" xfId="6718"/>
    <cellStyle name="Percent 2 25 2" xfId="6719"/>
    <cellStyle name="Percent 2 26" xfId="6720"/>
    <cellStyle name="Percent 2 26 2" xfId="6721"/>
    <cellStyle name="Percent 2 27" xfId="6722"/>
    <cellStyle name="Percent 2 27 2" xfId="6723"/>
    <cellStyle name="Percent 2 28" xfId="6724"/>
    <cellStyle name="Percent 2 28 2" xfId="6725"/>
    <cellStyle name="Percent 2 29" xfId="6726"/>
    <cellStyle name="Percent 2 29 2" xfId="6727"/>
    <cellStyle name="Percent 2 3" xfId="6728"/>
    <cellStyle name="Percent 2 3 10" xfId="6729"/>
    <cellStyle name="Percent 2 3 10 2" xfId="6730"/>
    <cellStyle name="Percent 2 3 11" xfId="6731"/>
    <cellStyle name="Percent 2 3 11 2" xfId="6732"/>
    <cellStyle name="Percent 2 3 12" xfId="6733"/>
    <cellStyle name="Percent 2 3 12 2" xfId="6734"/>
    <cellStyle name="Percent 2 3 13" xfId="6735"/>
    <cellStyle name="Percent 2 3 13 2" xfId="6736"/>
    <cellStyle name="Percent 2 3 14" xfId="6737"/>
    <cellStyle name="Percent 2 3 14 2" xfId="6738"/>
    <cellStyle name="Percent 2 3 15" xfId="6739"/>
    <cellStyle name="Percent 2 3 15 2" xfId="6740"/>
    <cellStyle name="Percent 2 3 16" xfId="6741"/>
    <cellStyle name="Percent 2 3 16 2" xfId="6742"/>
    <cellStyle name="Percent 2 3 17" xfId="6743"/>
    <cellStyle name="Percent 2 3 17 2" xfId="6744"/>
    <cellStyle name="Percent 2 3 2" xfId="6745"/>
    <cellStyle name="Percent 2 3 2 2" xfId="6746"/>
    <cellStyle name="Percent 2 3 2 2 2" xfId="6747"/>
    <cellStyle name="Percent 2 3 3" xfId="6748"/>
    <cellStyle name="Percent 2 3 3 2" xfId="6749"/>
    <cellStyle name="Percent 2 3 3 2 2" xfId="6750"/>
    <cellStyle name="Percent 2 3 3 2 2 2" xfId="6751"/>
    <cellStyle name="Percent 2 3 3 3" xfId="6752"/>
    <cellStyle name="Percent 2 3 3 3 2" xfId="6753"/>
    <cellStyle name="Percent 2 3 3 3 2 2" xfId="6754"/>
    <cellStyle name="Percent 2 3 3 3 3" xfId="6755"/>
    <cellStyle name="Percent 2 3 3 3 3 2" xfId="6756"/>
    <cellStyle name="Percent 2 3 3 3 4" xfId="6757"/>
    <cellStyle name="Percent 2 3 3 3 4 2" xfId="6758"/>
    <cellStyle name="Percent 2 3 3 3 4 2 2" xfId="6759"/>
    <cellStyle name="Percent 2 3 3 3 4 3" xfId="6760"/>
    <cellStyle name="Percent 2 3 3 3 5" xfId="6761"/>
    <cellStyle name="Percent 2 3 3 4" xfId="6762"/>
    <cellStyle name="Percent 2 3 3 4 2" xfId="6763"/>
    <cellStyle name="Percent 2 3 4" xfId="6764"/>
    <cellStyle name="Percent 2 3 4 2" xfId="6765"/>
    <cellStyle name="Percent 2 3 4 3" xfId="6766"/>
    <cellStyle name="Percent 2 3 5" xfId="6767"/>
    <cellStyle name="Percent 2 3 5 2" xfId="6768"/>
    <cellStyle name="Percent 2 3 5 2 2" xfId="6769"/>
    <cellStyle name="Percent 2 3 5 3" xfId="6770"/>
    <cellStyle name="Percent 2 3 5 4" xfId="6771"/>
    <cellStyle name="Percent 2 3 6" xfId="6772"/>
    <cellStyle name="Percent 2 3 6 2" xfId="6773"/>
    <cellStyle name="Percent 2 3 6 3" xfId="6774"/>
    <cellStyle name="Percent 2 3 7" xfId="6775"/>
    <cellStyle name="Percent 2 3 7 2" xfId="6776"/>
    <cellStyle name="Percent 2 3 7 3" xfId="6777"/>
    <cellStyle name="Percent 2 3 8" xfId="6778"/>
    <cellStyle name="Percent 2 3 8 2" xfId="6779"/>
    <cellStyle name="Percent 2 3 8 3" xfId="6780"/>
    <cellStyle name="Percent 2 3 9" xfId="6781"/>
    <cellStyle name="Percent 2 3 9 2" xfId="6782"/>
    <cellStyle name="Percent 2 30" xfId="6783"/>
    <cellStyle name="Percent 2 30 2" xfId="6784"/>
    <cellStyle name="Percent 2 31" xfId="6785"/>
    <cellStyle name="Percent 2 31 2" xfId="6786"/>
    <cellStyle name="Percent 2 32" xfId="6787"/>
    <cellStyle name="Percent 2 32 2" xfId="6788"/>
    <cellStyle name="Percent 2 33" xfId="6789"/>
    <cellStyle name="Percent 2 33 2" xfId="6790"/>
    <cellStyle name="Percent 2 34" xfId="6791"/>
    <cellStyle name="Percent 2 34 2" xfId="6792"/>
    <cellStyle name="Percent 2 35" xfId="6793"/>
    <cellStyle name="Percent 2 35 2" xfId="6794"/>
    <cellStyle name="Percent 2 36" xfId="6795"/>
    <cellStyle name="Percent 2 36 2" xfId="6796"/>
    <cellStyle name="Percent 2 37" xfId="6797"/>
    <cellStyle name="Percent 2 37 2" xfId="6798"/>
    <cellStyle name="Percent 2 38" xfId="6799"/>
    <cellStyle name="Percent 2 38 2" xfId="6800"/>
    <cellStyle name="Percent 2 39" xfId="6801"/>
    <cellStyle name="Percent 2 39 2" xfId="6802"/>
    <cellStyle name="Percent 2 4" xfId="6803"/>
    <cellStyle name="Percent 2 4 10" xfId="6804"/>
    <cellStyle name="Percent 2 4 10 2" xfId="6805"/>
    <cellStyle name="Percent 2 4 11" xfId="6806"/>
    <cellStyle name="Percent 2 4 11 2" xfId="6807"/>
    <cellStyle name="Percent 2 4 12" xfId="6808"/>
    <cellStyle name="Percent 2 4 12 2" xfId="6809"/>
    <cellStyle name="Percent 2 4 13" xfId="6810"/>
    <cellStyle name="Percent 2 4 13 2" xfId="6811"/>
    <cellStyle name="Percent 2 4 14" xfId="6812"/>
    <cellStyle name="Percent 2 4 14 2" xfId="6813"/>
    <cellStyle name="Percent 2 4 15" xfId="6814"/>
    <cellStyle name="Percent 2 4 15 2" xfId="6815"/>
    <cellStyle name="Percent 2 4 16" xfId="6816"/>
    <cellStyle name="Percent 2 4 16 2" xfId="6817"/>
    <cellStyle name="Percent 2 4 17" xfId="6818"/>
    <cellStyle name="Percent 2 4 17 2" xfId="6819"/>
    <cellStyle name="Percent 2 4 18" xfId="6820"/>
    <cellStyle name="Percent 2 4 18 2" xfId="6821"/>
    <cellStyle name="Percent 2 4 19" xfId="6822"/>
    <cellStyle name="Percent 2 4 2" xfId="6823"/>
    <cellStyle name="Percent 2 4 2 2" xfId="6824"/>
    <cellStyle name="Percent 2 4 2 3" xfId="6825"/>
    <cellStyle name="Percent 2 4 3" xfId="6826"/>
    <cellStyle name="Percent 2 4 3 2" xfId="6827"/>
    <cellStyle name="Percent 2 4 3 3" xfId="6828"/>
    <cellStyle name="Percent 2 4 4" xfId="6829"/>
    <cellStyle name="Percent 2 4 4 2" xfId="6830"/>
    <cellStyle name="Percent 2 4 4 3" xfId="6831"/>
    <cellStyle name="Percent 2 4 5" xfId="6832"/>
    <cellStyle name="Percent 2 4 5 2" xfId="6833"/>
    <cellStyle name="Percent 2 4 5 3" xfId="6834"/>
    <cellStyle name="Percent 2 4 6" xfId="6835"/>
    <cellStyle name="Percent 2 4 6 2" xfId="6836"/>
    <cellStyle name="Percent 2 4 6 3" xfId="6837"/>
    <cellStyle name="Percent 2 4 7" xfId="6838"/>
    <cellStyle name="Percent 2 4 7 2" xfId="6839"/>
    <cellStyle name="Percent 2 4 7 3" xfId="6840"/>
    <cellStyle name="Percent 2 4 8" xfId="6841"/>
    <cellStyle name="Percent 2 4 8 2" xfId="6842"/>
    <cellStyle name="Percent 2 4 8 3" xfId="6843"/>
    <cellStyle name="Percent 2 4 9" xfId="6844"/>
    <cellStyle name="Percent 2 4 9 2" xfId="6845"/>
    <cellStyle name="Percent 2 4 9 3" xfId="6846"/>
    <cellStyle name="Percent 2 40" xfId="6847"/>
    <cellStyle name="Percent 2 40 2" xfId="6848"/>
    <cellStyle name="Percent 2 41" xfId="6849"/>
    <cellStyle name="Percent 2 41 2" xfId="6850"/>
    <cellStyle name="Percent 2 42" xfId="6851"/>
    <cellStyle name="Percent 2 42 2" xfId="6852"/>
    <cellStyle name="Percent 2 43" xfId="6853"/>
    <cellStyle name="Percent 2 43 2" xfId="6854"/>
    <cellStyle name="Percent 2 44" xfId="6855"/>
    <cellStyle name="Percent 2 44 2" xfId="6856"/>
    <cellStyle name="Percent 2 45" xfId="6857"/>
    <cellStyle name="Percent 2 45 2" xfId="6858"/>
    <cellStyle name="Percent 2 46" xfId="6859"/>
    <cellStyle name="Percent 2 46 2" xfId="6860"/>
    <cellStyle name="Percent 2 47" xfId="6861"/>
    <cellStyle name="Percent 2 47 2" xfId="6862"/>
    <cellStyle name="Percent 2 48" xfId="6863"/>
    <cellStyle name="Percent 2 48 2" xfId="6864"/>
    <cellStyle name="Percent 2 48 2 2" xfId="6865"/>
    <cellStyle name="Percent 2 48 3" xfId="6866"/>
    <cellStyle name="Percent 2 49" xfId="6867"/>
    <cellStyle name="Percent 2 49 2" xfId="6868"/>
    <cellStyle name="Percent 2 5" xfId="6869"/>
    <cellStyle name="Percent 2 5 10" xfId="6870"/>
    <cellStyle name="Percent 2 5 10 2" xfId="6871"/>
    <cellStyle name="Percent 2 5 11" xfId="6872"/>
    <cellStyle name="Percent 2 5 11 2" xfId="6873"/>
    <cellStyle name="Percent 2 5 12" xfId="6874"/>
    <cellStyle name="Percent 2 5 12 2" xfId="6875"/>
    <cellStyle name="Percent 2 5 13" xfId="6876"/>
    <cellStyle name="Percent 2 5 13 2" xfId="6877"/>
    <cellStyle name="Percent 2 5 14" xfId="6878"/>
    <cellStyle name="Percent 2 5 14 2" xfId="6879"/>
    <cellStyle name="Percent 2 5 15" xfId="6880"/>
    <cellStyle name="Percent 2 5 15 2" xfId="6881"/>
    <cellStyle name="Percent 2 5 16" xfId="6882"/>
    <cellStyle name="Percent 2 5 16 2" xfId="6883"/>
    <cellStyle name="Percent 2 5 2" xfId="6884"/>
    <cellStyle name="Percent 2 5 2 2" xfId="6885"/>
    <cellStyle name="Percent 2 5 2 2 2" xfId="6886"/>
    <cellStyle name="Percent 2 5 3" xfId="6887"/>
    <cellStyle name="Percent 2 5 3 2" xfId="6888"/>
    <cellStyle name="Percent 2 5 3 2 2" xfId="6889"/>
    <cellStyle name="Percent 2 5 4" xfId="6890"/>
    <cellStyle name="Percent 2 5 4 2" xfId="6891"/>
    <cellStyle name="Percent 2 5 4 3" xfId="6892"/>
    <cellStyle name="Percent 2 5 5" xfId="6893"/>
    <cellStyle name="Percent 2 5 5 2" xfId="6894"/>
    <cellStyle name="Percent 2 5 5 3" xfId="6895"/>
    <cellStyle name="Percent 2 5 6" xfId="6896"/>
    <cellStyle name="Percent 2 5 6 2" xfId="6897"/>
    <cellStyle name="Percent 2 5 6 3" xfId="6898"/>
    <cellStyle name="Percent 2 5 7" xfId="6899"/>
    <cellStyle name="Percent 2 5 7 2" xfId="6900"/>
    <cellStyle name="Percent 2 5 7 3" xfId="6901"/>
    <cellStyle name="Percent 2 5 8" xfId="6902"/>
    <cellStyle name="Percent 2 5 8 2" xfId="6903"/>
    <cellStyle name="Percent 2 5 8 3" xfId="6904"/>
    <cellStyle name="Percent 2 5 9" xfId="6905"/>
    <cellStyle name="Percent 2 5 9 2" xfId="6906"/>
    <cellStyle name="Percent 2 50" xfId="6907"/>
    <cellStyle name="Percent 2 6" xfId="6908"/>
    <cellStyle name="Percent 2 6 10" xfId="6909"/>
    <cellStyle name="Percent 2 6 10 2" xfId="6910"/>
    <cellStyle name="Percent 2 6 11" xfId="6911"/>
    <cellStyle name="Percent 2 6 11 2" xfId="6912"/>
    <cellStyle name="Percent 2 6 12" xfId="6913"/>
    <cellStyle name="Percent 2 6 12 2" xfId="6914"/>
    <cellStyle name="Percent 2 6 13" xfId="6915"/>
    <cellStyle name="Percent 2 6 13 2" xfId="6916"/>
    <cellStyle name="Percent 2 6 14" xfId="6917"/>
    <cellStyle name="Percent 2 6 14 2" xfId="6918"/>
    <cellStyle name="Percent 2 6 15" xfId="6919"/>
    <cellStyle name="Percent 2 6 15 2" xfId="6920"/>
    <cellStyle name="Percent 2 6 16" xfId="6921"/>
    <cellStyle name="Percent 2 6 16 2" xfId="6922"/>
    <cellStyle name="Percent 2 6 17" xfId="6923"/>
    <cellStyle name="Percent 2 6 2" xfId="6924"/>
    <cellStyle name="Percent 2 6 2 2" xfId="6925"/>
    <cellStyle name="Percent 2 6 2 3" xfId="6926"/>
    <cellStyle name="Percent 2 6 3" xfId="6927"/>
    <cellStyle name="Percent 2 6 3 2" xfId="6928"/>
    <cellStyle name="Percent 2 6 3 3" xfId="6929"/>
    <cellStyle name="Percent 2 6 4" xfId="6930"/>
    <cellStyle name="Percent 2 6 4 2" xfId="6931"/>
    <cellStyle name="Percent 2 6 4 3" xfId="6932"/>
    <cellStyle name="Percent 2 6 5" xfId="6933"/>
    <cellStyle name="Percent 2 6 5 2" xfId="6934"/>
    <cellStyle name="Percent 2 6 5 3" xfId="6935"/>
    <cellStyle name="Percent 2 6 6" xfId="6936"/>
    <cellStyle name="Percent 2 6 6 2" xfId="6937"/>
    <cellStyle name="Percent 2 6 6 3" xfId="6938"/>
    <cellStyle name="Percent 2 6 7" xfId="6939"/>
    <cellStyle name="Percent 2 6 7 2" xfId="6940"/>
    <cellStyle name="Percent 2 6 7 3" xfId="6941"/>
    <cellStyle name="Percent 2 6 8" xfId="6942"/>
    <cellStyle name="Percent 2 6 8 2" xfId="6943"/>
    <cellStyle name="Percent 2 6 8 3" xfId="6944"/>
    <cellStyle name="Percent 2 6 9" xfId="6945"/>
    <cellStyle name="Percent 2 6 9 2" xfId="6946"/>
    <cellStyle name="Percent 2 7" xfId="6947"/>
    <cellStyle name="Percent 2 7 10" xfId="6948"/>
    <cellStyle name="Percent 2 7 2" xfId="6949"/>
    <cellStyle name="Percent 2 7 2 2" xfId="6950"/>
    <cellStyle name="Percent 2 7 2 3" xfId="6951"/>
    <cellStyle name="Percent 2 7 3" xfId="6952"/>
    <cellStyle name="Percent 2 7 3 2" xfId="6953"/>
    <cellStyle name="Percent 2 7 3 3" xfId="6954"/>
    <cellStyle name="Percent 2 7 4" xfId="6955"/>
    <cellStyle name="Percent 2 7 4 2" xfId="6956"/>
    <cellStyle name="Percent 2 7 4 3" xfId="6957"/>
    <cellStyle name="Percent 2 7 5" xfId="6958"/>
    <cellStyle name="Percent 2 7 5 2" xfId="6959"/>
    <cellStyle name="Percent 2 7 5 3" xfId="6960"/>
    <cellStyle name="Percent 2 7 6" xfId="6961"/>
    <cellStyle name="Percent 2 7 6 2" xfId="6962"/>
    <cellStyle name="Percent 2 7 6 3" xfId="6963"/>
    <cellStyle name="Percent 2 7 7" xfId="6964"/>
    <cellStyle name="Percent 2 7 7 2" xfId="6965"/>
    <cellStyle name="Percent 2 7 7 3" xfId="6966"/>
    <cellStyle name="Percent 2 7 8" xfId="6967"/>
    <cellStyle name="Percent 2 7 8 2" xfId="6968"/>
    <cellStyle name="Percent 2 7 8 3" xfId="6969"/>
    <cellStyle name="Percent 2 7 9" xfId="6970"/>
    <cellStyle name="Percent 2 8" xfId="6971"/>
    <cellStyle name="Percent 2 8 10" xfId="6972"/>
    <cellStyle name="Percent 2 8 2" xfId="6973"/>
    <cellStyle name="Percent 2 8 2 2" xfId="6974"/>
    <cellStyle name="Percent 2 8 2 3" xfId="6975"/>
    <cellStyle name="Percent 2 8 3" xfId="6976"/>
    <cellStyle name="Percent 2 8 3 2" xfId="6977"/>
    <cellStyle name="Percent 2 8 3 3" xfId="6978"/>
    <cellStyle name="Percent 2 8 4" xfId="6979"/>
    <cellStyle name="Percent 2 8 4 2" xfId="6980"/>
    <cellStyle name="Percent 2 8 4 3" xfId="6981"/>
    <cellStyle name="Percent 2 8 5" xfId="6982"/>
    <cellStyle name="Percent 2 8 5 2" xfId="6983"/>
    <cellStyle name="Percent 2 8 5 3" xfId="6984"/>
    <cellStyle name="Percent 2 8 6" xfId="6985"/>
    <cellStyle name="Percent 2 8 6 2" xfId="6986"/>
    <cellStyle name="Percent 2 8 6 3" xfId="6987"/>
    <cellStyle name="Percent 2 8 7" xfId="6988"/>
    <cellStyle name="Percent 2 8 7 2" xfId="6989"/>
    <cellStyle name="Percent 2 8 7 3" xfId="6990"/>
    <cellStyle name="Percent 2 8 8" xfId="6991"/>
    <cellStyle name="Percent 2 8 8 2" xfId="6992"/>
    <cellStyle name="Percent 2 8 8 3" xfId="6993"/>
    <cellStyle name="Percent 2 8 9" xfId="6994"/>
    <cellStyle name="Percent 2 9" xfId="6995"/>
    <cellStyle name="Percent 2 9 10" xfId="6996"/>
    <cellStyle name="Percent 2 9 2" xfId="6997"/>
    <cellStyle name="Percent 2 9 2 2" xfId="6998"/>
    <cellStyle name="Percent 2 9 2 3" xfId="6999"/>
    <cellStyle name="Percent 2 9 3" xfId="7000"/>
    <cellStyle name="Percent 2 9 3 2" xfId="7001"/>
    <cellStyle name="Percent 2 9 3 3" xfId="7002"/>
    <cellStyle name="Percent 2 9 4" xfId="7003"/>
    <cellStyle name="Percent 2 9 4 2" xfId="7004"/>
    <cellStyle name="Percent 2 9 4 3" xfId="7005"/>
    <cellStyle name="Percent 2 9 5" xfId="7006"/>
    <cellStyle name="Percent 2 9 5 2" xfId="7007"/>
    <cellStyle name="Percent 2 9 5 3" xfId="7008"/>
    <cellStyle name="Percent 2 9 6" xfId="7009"/>
    <cellStyle name="Percent 2 9 6 2" xfId="7010"/>
    <cellStyle name="Percent 2 9 6 3" xfId="7011"/>
    <cellStyle name="Percent 2 9 7" xfId="7012"/>
    <cellStyle name="Percent 2 9 7 2" xfId="7013"/>
    <cellStyle name="Percent 2 9 7 3" xfId="7014"/>
    <cellStyle name="Percent 2 9 8" xfId="7015"/>
    <cellStyle name="Percent 2 9 8 2" xfId="7016"/>
    <cellStyle name="Percent 2 9 8 3" xfId="7017"/>
    <cellStyle name="Percent 2 9 9" xfId="7018"/>
    <cellStyle name="Percent 20" xfId="7019"/>
    <cellStyle name="Percent 20 2" xfId="7020"/>
    <cellStyle name="Percent 20 2 2" xfId="7021"/>
    <cellStyle name="Percent 20 3" xfId="7022"/>
    <cellStyle name="Percent 20 3 2" xfId="7023"/>
    <cellStyle name="Percent 20 4" xfId="7024"/>
    <cellStyle name="Percent 20 4 2" xfId="7025"/>
    <cellStyle name="Percent 20 5" xfId="7026"/>
    <cellStyle name="Percent 20 5 2" xfId="7027"/>
    <cellStyle name="Percent 20 6" xfId="7028"/>
    <cellStyle name="Percent 20 6 2" xfId="7029"/>
    <cellStyle name="Percent 20 7" xfId="7030"/>
    <cellStyle name="Percent 20 7 2" xfId="7031"/>
    <cellStyle name="Percent 20 7 2 2" xfId="7032"/>
    <cellStyle name="Percent 20 7 3" xfId="7033"/>
    <cellStyle name="Percent 20 7 3 2" xfId="7034"/>
    <cellStyle name="Percent 20 7 4" xfId="7035"/>
    <cellStyle name="Percent 20 8" xfId="7036"/>
    <cellStyle name="Percent 21" xfId="7037"/>
    <cellStyle name="Percent 21 2" xfId="7038"/>
    <cellStyle name="Percent 21 2 2" xfId="7039"/>
    <cellStyle name="Percent 21 3" xfId="7040"/>
    <cellStyle name="Percent 21 3 2" xfId="7041"/>
    <cellStyle name="Percent 21 4" xfId="7042"/>
    <cellStyle name="Percent 21 4 2" xfId="7043"/>
    <cellStyle name="Percent 21 5" xfId="7044"/>
    <cellStyle name="Percent 21 5 2" xfId="7045"/>
    <cellStyle name="Percent 21 6" xfId="7046"/>
    <cellStyle name="Percent 21 6 2" xfId="7047"/>
    <cellStyle name="Percent 21 7" xfId="7048"/>
    <cellStyle name="Percent 21 7 2" xfId="7049"/>
    <cellStyle name="Percent 21 7 2 2" xfId="7050"/>
    <cellStyle name="Percent 21 7 3" xfId="7051"/>
    <cellStyle name="Percent 21 7 3 2" xfId="7052"/>
    <cellStyle name="Percent 21 7 4" xfId="7053"/>
    <cellStyle name="Percent 21 8" xfId="7054"/>
    <cellStyle name="Percent 22" xfId="7055"/>
    <cellStyle name="Percent 22 2" xfId="7056"/>
    <cellStyle name="Percent 22 2 2" xfId="7057"/>
    <cellStyle name="Percent 22 3" xfId="7058"/>
    <cellStyle name="Percent 22 3 2" xfId="7059"/>
    <cellStyle name="Percent 22 4" xfId="7060"/>
    <cellStyle name="Percent 22 4 2" xfId="7061"/>
    <cellStyle name="Percent 22 5" xfId="7062"/>
    <cellStyle name="Percent 22 5 2" xfId="7063"/>
    <cellStyle name="Percent 22 6" xfId="7064"/>
    <cellStyle name="Percent 22 6 2" xfId="7065"/>
    <cellStyle name="Percent 22 7" xfId="7066"/>
    <cellStyle name="Percent 22 7 2" xfId="7067"/>
    <cellStyle name="Percent 22 7 2 2" xfId="7068"/>
    <cellStyle name="Percent 22 7 3" xfId="7069"/>
    <cellStyle name="Percent 22 7 3 2" xfId="7070"/>
    <cellStyle name="Percent 22 7 4" xfId="7071"/>
    <cellStyle name="Percent 22 8" xfId="7072"/>
    <cellStyle name="Percent 23" xfId="7073"/>
    <cellStyle name="Percent 23 2" xfId="7074"/>
    <cellStyle name="Percent 23 2 2" xfId="7075"/>
    <cellStyle name="Percent 23 3" xfId="7076"/>
    <cellStyle name="Percent 23 3 2" xfId="7077"/>
    <cellStyle name="Percent 23 4" xfId="7078"/>
    <cellStyle name="Percent 23 4 2" xfId="7079"/>
    <cellStyle name="Percent 23 5" xfId="7080"/>
    <cellStyle name="Percent 23 5 2" xfId="7081"/>
    <cellStyle name="Percent 23 6" xfId="7082"/>
    <cellStyle name="Percent 23 6 2" xfId="7083"/>
    <cellStyle name="Percent 23 7" xfId="7084"/>
    <cellStyle name="Percent 23 7 2" xfId="7085"/>
    <cellStyle name="Percent 23 7 2 2" xfId="7086"/>
    <cellStyle name="Percent 23 7 3" xfId="7087"/>
    <cellStyle name="Percent 23 7 3 2" xfId="7088"/>
    <cellStyle name="Percent 23 7 4" xfId="7089"/>
    <cellStyle name="Percent 23 8" xfId="7090"/>
    <cellStyle name="Percent 24" xfId="7091"/>
    <cellStyle name="Percent 24 2" xfId="7092"/>
    <cellStyle name="Percent 24 2 2" xfId="7093"/>
    <cellStyle name="Percent 24 3" xfId="7094"/>
    <cellStyle name="Percent 24 3 2" xfId="7095"/>
    <cellStyle name="Percent 24 4" xfId="7096"/>
    <cellStyle name="Percent 24 4 2" xfId="7097"/>
    <cellStyle name="Percent 24 5" xfId="7098"/>
    <cellStyle name="Percent 24 5 2" xfId="7099"/>
    <cellStyle name="Percent 24 6" xfId="7100"/>
    <cellStyle name="Percent 24 6 2" xfId="7101"/>
    <cellStyle name="Percent 24 7" xfId="7102"/>
    <cellStyle name="Percent 24 7 2" xfId="7103"/>
    <cellStyle name="Percent 24 7 2 2" xfId="7104"/>
    <cellStyle name="Percent 24 7 3" xfId="7105"/>
    <cellStyle name="Percent 24 7 3 2" xfId="7106"/>
    <cellStyle name="Percent 24 7 4" xfId="7107"/>
    <cellStyle name="Percent 24 8" xfId="7108"/>
    <cellStyle name="Percent 24 8 2" xfId="7109"/>
    <cellStyle name="Percent 24 9" xfId="7110"/>
    <cellStyle name="Percent 25" xfId="7111"/>
    <cellStyle name="Percent 25 2" xfId="7112"/>
    <cellStyle name="Percent 25 2 2" xfId="7113"/>
    <cellStyle name="Percent 25 3" xfId="7114"/>
    <cellStyle name="Percent 25 3 2" xfId="7115"/>
    <cellStyle name="Percent 25 4" xfId="7116"/>
    <cellStyle name="Percent 25 4 2" xfId="7117"/>
    <cellStyle name="Percent 25 5" xfId="7118"/>
    <cellStyle name="Percent 25 5 2" xfId="7119"/>
    <cellStyle name="Percent 25 6" xfId="7120"/>
    <cellStyle name="Percent 25 6 2" xfId="7121"/>
    <cellStyle name="Percent 25 7" xfId="7122"/>
    <cellStyle name="Percent 25 7 2" xfId="7123"/>
    <cellStyle name="Percent 25 7 2 2" xfId="7124"/>
    <cellStyle name="Percent 25 7 3" xfId="7125"/>
    <cellStyle name="Percent 25 7 3 2" xfId="7126"/>
    <cellStyle name="Percent 25 7 4" xfId="7127"/>
    <cellStyle name="Percent 25 8" xfId="7128"/>
    <cellStyle name="Percent 26" xfId="7129"/>
    <cellStyle name="Percent 26 2" xfId="7130"/>
    <cellStyle name="Percent 26 2 2" xfId="7131"/>
    <cellStyle name="Percent 26 3" xfId="7132"/>
    <cellStyle name="Percent 26 3 2" xfId="7133"/>
    <cellStyle name="Percent 26 4" xfId="7134"/>
    <cellStyle name="Percent 26 4 2" xfId="7135"/>
    <cellStyle name="Percent 26 5" xfId="7136"/>
    <cellStyle name="Percent 26 5 2" xfId="7137"/>
    <cellStyle name="Percent 26 6" xfId="7138"/>
    <cellStyle name="Percent 26 6 2" xfId="7139"/>
    <cellStyle name="Percent 26 7" xfId="7140"/>
    <cellStyle name="Percent 26 7 2" xfId="7141"/>
    <cellStyle name="Percent 26 7 2 2" xfId="7142"/>
    <cellStyle name="Percent 26 7 3" xfId="7143"/>
    <cellStyle name="Percent 26 7 3 2" xfId="7144"/>
    <cellStyle name="Percent 26 7 4" xfId="7145"/>
    <cellStyle name="Percent 26 8" xfId="7146"/>
    <cellStyle name="Percent 27" xfId="7147"/>
    <cellStyle name="Percent 27 2" xfId="7148"/>
    <cellStyle name="Percent 28" xfId="7149"/>
    <cellStyle name="Percent 28 2" xfId="7150"/>
    <cellStyle name="Percent 28 2 2" xfId="7151"/>
    <cellStyle name="Percent 28 3" xfId="7152"/>
    <cellStyle name="Percent 3" xfId="7153"/>
    <cellStyle name="Percent 3 10" xfId="7154"/>
    <cellStyle name="Percent 3 10 10" xfId="7155"/>
    <cellStyle name="Percent 3 10 10 2" xfId="7156"/>
    <cellStyle name="Percent 3 10 11" xfId="7157"/>
    <cellStyle name="Percent 3 10 11 2" xfId="7158"/>
    <cellStyle name="Percent 3 10 12" xfId="7159"/>
    <cellStyle name="Percent 3 10 12 2" xfId="7160"/>
    <cellStyle name="Percent 3 10 13" xfId="7161"/>
    <cellStyle name="Percent 3 10 13 2" xfId="7162"/>
    <cellStyle name="Percent 3 10 14" xfId="7163"/>
    <cellStyle name="Percent 3 10 14 2" xfId="7164"/>
    <cellStyle name="Percent 3 10 15" xfId="7165"/>
    <cellStyle name="Percent 3 10 15 2" xfId="7166"/>
    <cellStyle name="Percent 3 10 16" xfId="7167"/>
    <cellStyle name="Percent 3 10 2" xfId="7168"/>
    <cellStyle name="Percent 3 10 2 2" xfId="7169"/>
    <cellStyle name="Percent 3 10 3" xfId="7170"/>
    <cellStyle name="Percent 3 10 3 2" xfId="7171"/>
    <cellStyle name="Percent 3 10 4" xfId="7172"/>
    <cellStyle name="Percent 3 10 4 2" xfId="7173"/>
    <cellStyle name="Percent 3 10 5" xfId="7174"/>
    <cellStyle name="Percent 3 10 5 2" xfId="7175"/>
    <cellStyle name="Percent 3 10 6" xfId="7176"/>
    <cellStyle name="Percent 3 10 6 2" xfId="7177"/>
    <cellStyle name="Percent 3 10 7" xfId="7178"/>
    <cellStyle name="Percent 3 10 7 2" xfId="7179"/>
    <cellStyle name="Percent 3 10 8" xfId="7180"/>
    <cellStyle name="Percent 3 10 8 2" xfId="7181"/>
    <cellStyle name="Percent 3 10 9" xfId="7182"/>
    <cellStyle name="Percent 3 10 9 2" xfId="7183"/>
    <cellStyle name="Percent 3 11" xfId="7184"/>
    <cellStyle name="Percent 3 11 2" xfId="7185"/>
    <cellStyle name="Percent 3 12" xfId="7186"/>
    <cellStyle name="Percent 3 12 2" xfId="7187"/>
    <cellStyle name="Percent 3 13" xfId="7188"/>
    <cellStyle name="Percent 3 13 2" xfId="7189"/>
    <cellStyle name="Percent 3 14" xfId="7190"/>
    <cellStyle name="Percent 3 14 2" xfId="7191"/>
    <cellStyle name="Percent 3 15" xfId="7192"/>
    <cellStyle name="Percent 3 15 2" xfId="7193"/>
    <cellStyle name="Percent 3 16" xfId="7194"/>
    <cellStyle name="Percent 3 16 2" xfId="7195"/>
    <cellStyle name="Percent 3 17" xfId="7196"/>
    <cellStyle name="Percent 3 17 2" xfId="7197"/>
    <cellStyle name="Percent 3 18" xfId="7198"/>
    <cellStyle name="Percent 3 18 2" xfId="7199"/>
    <cellStyle name="Percent 3 19" xfId="7200"/>
    <cellStyle name="Percent 3 19 2" xfId="7201"/>
    <cellStyle name="Percent 3 2" xfId="7202"/>
    <cellStyle name="Percent 3 2 10" xfId="7203"/>
    <cellStyle name="Percent 3 2 10 2" xfId="7204"/>
    <cellStyle name="Percent 3 2 11" xfId="7205"/>
    <cellStyle name="Percent 3 2 11 2" xfId="7206"/>
    <cellStyle name="Percent 3 2 12" xfId="7207"/>
    <cellStyle name="Percent 3 2 12 2" xfId="7208"/>
    <cellStyle name="Percent 3 2 13" xfId="7209"/>
    <cellStyle name="Percent 3 2 13 2" xfId="7210"/>
    <cellStyle name="Percent 3 2 14" xfId="7211"/>
    <cellStyle name="Percent 3 2 14 2" xfId="7212"/>
    <cellStyle name="Percent 3 2 15" xfId="7213"/>
    <cellStyle name="Percent 3 2 15 2" xfId="7214"/>
    <cellStyle name="Percent 3 2 16" xfId="7215"/>
    <cellStyle name="Percent 3 2 16 2" xfId="7216"/>
    <cellStyle name="Percent 3 2 17" xfId="7217"/>
    <cellStyle name="Percent 3 2 17 2" xfId="7218"/>
    <cellStyle name="Percent 3 2 18" xfId="7219"/>
    <cellStyle name="Percent 3 2 18 2" xfId="7220"/>
    <cellStyle name="Percent 3 2 2" xfId="7221"/>
    <cellStyle name="Percent 3 2 2 2" xfId="7222"/>
    <cellStyle name="Percent 3 2 2 2 2" xfId="7223"/>
    <cellStyle name="Percent 3 2 2 2 2 2" xfId="7224"/>
    <cellStyle name="Percent 3 2 2 2 3" xfId="7225"/>
    <cellStyle name="Percent 3 2 2 2 3 2" xfId="7226"/>
    <cellStyle name="Percent 3 2 2 2 4" xfId="7227"/>
    <cellStyle name="Percent 3 2 2 3" xfId="7228"/>
    <cellStyle name="Percent 3 2 2 3 2" xfId="7229"/>
    <cellStyle name="Percent 3 2 2 4" xfId="7230"/>
    <cellStyle name="Percent 3 2 2 4 2" xfId="7231"/>
    <cellStyle name="Percent 3 2 3" xfId="7232"/>
    <cellStyle name="Percent 3 2 3 2" xfId="7233"/>
    <cellStyle name="Percent 3 2 3 2 2" xfId="7234"/>
    <cellStyle name="Percent 3 2 3 3" xfId="7235"/>
    <cellStyle name="Percent 3 2 3 3 2" xfId="7236"/>
    <cellStyle name="Percent 3 2 3 4" xfId="7237"/>
    <cellStyle name="Percent 3 2 3 4 2" xfId="7238"/>
    <cellStyle name="Percent 3 2 4" xfId="7239"/>
    <cellStyle name="Percent 3 2 4 2" xfId="7240"/>
    <cellStyle name="Percent 3 2 5" xfId="7241"/>
    <cellStyle name="Percent 3 2 5 2" xfId="7242"/>
    <cellStyle name="Percent 3 2 6" xfId="7243"/>
    <cellStyle name="Percent 3 2 6 2" xfId="7244"/>
    <cellStyle name="Percent 3 2 7" xfId="7245"/>
    <cellStyle name="Percent 3 2 7 2" xfId="7246"/>
    <cellStyle name="Percent 3 2 8" xfId="7247"/>
    <cellStyle name="Percent 3 2 8 2" xfId="7248"/>
    <cellStyle name="Percent 3 2 9" xfId="7249"/>
    <cellStyle name="Percent 3 2 9 2" xfId="7250"/>
    <cellStyle name="Percent 3 20" xfId="7251"/>
    <cellStyle name="Percent 3 20 2" xfId="7252"/>
    <cellStyle name="Percent 3 21" xfId="7253"/>
    <cellStyle name="Percent 3 21 2" xfId="7254"/>
    <cellStyle name="Percent 3 22" xfId="7255"/>
    <cellStyle name="Percent 3 22 2" xfId="7256"/>
    <cellStyle name="Percent 3 23" xfId="7257"/>
    <cellStyle name="Percent 3 23 2" xfId="7258"/>
    <cellStyle name="Percent 3 24" xfId="7259"/>
    <cellStyle name="Percent 3 24 2" xfId="7260"/>
    <cellStyle name="Percent 3 25" xfId="7261"/>
    <cellStyle name="Percent 3 25 2" xfId="7262"/>
    <cellStyle name="Percent 3 26" xfId="7263"/>
    <cellStyle name="Percent 3 26 2" xfId="7264"/>
    <cellStyle name="Percent 3 27" xfId="7265"/>
    <cellStyle name="Percent 3 27 2" xfId="7266"/>
    <cellStyle name="Percent 3 28" xfId="7267"/>
    <cellStyle name="Percent 3 28 2" xfId="7268"/>
    <cellStyle name="Percent 3 29" xfId="7269"/>
    <cellStyle name="Percent 3 29 2" xfId="7270"/>
    <cellStyle name="Percent 3 3" xfId="7271"/>
    <cellStyle name="Percent 3 3 10" xfId="7272"/>
    <cellStyle name="Percent 3 3 10 2" xfId="7273"/>
    <cellStyle name="Percent 3 3 11" xfId="7274"/>
    <cellStyle name="Percent 3 3 11 2" xfId="7275"/>
    <cellStyle name="Percent 3 3 12" xfId="7276"/>
    <cellStyle name="Percent 3 3 12 2" xfId="7277"/>
    <cellStyle name="Percent 3 3 13" xfId="7278"/>
    <cellStyle name="Percent 3 3 13 2" xfId="7279"/>
    <cellStyle name="Percent 3 3 14" xfId="7280"/>
    <cellStyle name="Percent 3 3 14 2" xfId="7281"/>
    <cellStyle name="Percent 3 3 15" xfId="7282"/>
    <cellStyle name="Percent 3 3 15 2" xfId="7283"/>
    <cellStyle name="Percent 3 3 16" xfId="7284"/>
    <cellStyle name="Percent 3 3 16 2" xfId="7285"/>
    <cellStyle name="Percent 3 3 2" xfId="7286"/>
    <cellStyle name="Percent 3 3 2 2" xfId="7287"/>
    <cellStyle name="Percent 3 3 2 2 2" xfId="7288"/>
    <cellStyle name="Percent 3 3 3" xfId="7289"/>
    <cellStyle name="Percent 3 3 3 2" xfId="7290"/>
    <cellStyle name="Percent 3 3 3 2 2" xfId="7291"/>
    <cellStyle name="Percent 3 3 3 2 2 2" xfId="7292"/>
    <cellStyle name="Percent 3 3 3 3" xfId="7293"/>
    <cellStyle name="Percent 3 3 3 3 2" xfId="7294"/>
    <cellStyle name="Percent 3 3 3 3 2 2" xfId="7295"/>
    <cellStyle name="Percent 3 3 3 3 3" xfId="7296"/>
    <cellStyle name="Percent 3 3 3 3 3 2" xfId="7297"/>
    <cellStyle name="Percent 3 3 3 3 4" xfId="7298"/>
    <cellStyle name="Percent 3 3 3 3 4 2" xfId="7299"/>
    <cellStyle name="Percent 3 3 3 3 4 2 2" xfId="7300"/>
    <cellStyle name="Percent 3 3 3 3 4 3" xfId="7301"/>
    <cellStyle name="Percent 3 3 3 3 5" xfId="7302"/>
    <cellStyle name="Percent 3 3 3 4" xfId="7303"/>
    <cellStyle name="Percent 3 3 3 4 2" xfId="7304"/>
    <cellStyle name="Percent 3 3 4" xfId="7305"/>
    <cellStyle name="Percent 3 3 4 2" xfId="7306"/>
    <cellStyle name="Percent 3 3 4 2 2" xfId="7307"/>
    <cellStyle name="Percent 3 3 4 3" xfId="7308"/>
    <cellStyle name="Percent 3 3 5" xfId="7309"/>
    <cellStyle name="Percent 3 3 5 2" xfId="7310"/>
    <cellStyle name="Percent 3 3 6" xfId="7311"/>
    <cellStyle name="Percent 3 3 6 2" xfId="7312"/>
    <cellStyle name="Percent 3 3 6 2 2" xfId="7313"/>
    <cellStyle name="Percent 3 3 6 3" xfId="7314"/>
    <cellStyle name="Percent 3 3 7" xfId="7315"/>
    <cellStyle name="Percent 3 3 7 2" xfId="7316"/>
    <cellStyle name="Percent 3 3 8" xfId="7317"/>
    <cellStyle name="Percent 3 3 8 2" xfId="7318"/>
    <cellStyle name="Percent 3 3 9" xfId="7319"/>
    <cellStyle name="Percent 3 3 9 2" xfId="7320"/>
    <cellStyle name="Percent 3 30" xfId="7321"/>
    <cellStyle name="Percent 3 30 2" xfId="7322"/>
    <cellStyle name="Percent 3 4" xfId="7323"/>
    <cellStyle name="Percent 3 4 10" xfId="7324"/>
    <cellStyle name="Percent 3 4 10 2" xfId="7325"/>
    <cellStyle name="Percent 3 4 11" xfId="7326"/>
    <cellStyle name="Percent 3 4 11 2" xfId="7327"/>
    <cellStyle name="Percent 3 4 12" xfId="7328"/>
    <cellStyle name="Percent 3 4 12 2" xfId="7329"/>
    <cellStyle name="Percent 3 4 13" xfId="7330"/>
    <cellStyle name="Percent 3 4 13 2" xfId="7331"/>
    <cellStyle name="Percent 3 4 14" xfId="7332"/>
    <cellStyle name="Percent 3 4 14 2" xfId="7333"/>
    <cellStyle name="Percent 3 4 15" xfId="7334"/>
    <cellStyle name="Percent 3 4 15 2" xfId="7335"/>
    <cellStyle name="Percent 3 4 16" xfId="7336"/>
    <cellStyle name="Percent 3 4 16 2" xfId="7337"/>
    <cellStyle name="Percent 3 4 2" xfId="7338"/>
    <cellStyle name="Percent 3 4 2 2" xfId="7339"/>
    <cellStyle name="Percent 3 4 2 2 2" xfId="7340"/>
    <cellStyle name="Percent 3 4 3" xfId="7341"/>
    <cellStyle name="Percent 3 4 3 2" xfId="7342"/>
    <cellStyle name="Percent 3 4 4" xfId="7343"/>
    <cellStyle name="Percent 3 4 4 2" xfId="7344"/>
    <cellStyle name="Percent 3 4 4 2 2" xfId="7345"/>
    <cellStyle name="Percent 3 4 4 3" xfId="7346"/>
    <cellStyle name="Percent 3 4 5" xfId="7347"/>
    <cellStyle name="Percent 3 4 5 2" xfId="7348"/>
    <cellStyle name="Percent 3 4 6" xfId="7349"/>
    <cellStyle name="Percent 3 4 6 2" xfId="7350"/>
    <cellStyle name="Percent 3 4 7" xfId="7351"/>
    <cellStyle name="Percent 3 4 7 2" xfId="7352"/>
    <cellStyle name="Percent 3 4 8" xfId="7353"/>
    <cellStyle name="Percent 3 4 8 2" xfId="7354"/>
    <cellStyle name="Percent 3 4 9" xfId="7355"/>
    <cellStyle name="Percent 3 4 9 2" xfId="7356"/>
    <cellStyle name="Percent 3 5" xfId="7357"/>
    <cellStyle name="Percent 3 5 10" xfId="7358"/>
    <cellStyle name="Percent 3 5 10 2" xfId="7359"/>
    <cellStyle name="Percent 3 5 11" xfId="7360"/>
    <cellStyle name="Percent 3 5 11 2" xfId="7361"/>
    <cellStyle name="Percent 3 5 12" xfId="7362"/>
    <cellStyle name="Percent 3 5 12 2" xfId="7363"/>
    <cellStyle name="Percent 3 5 13" xfId="7364"/>
    <cellStyle name="Percent 3 5 13 2" xfId="7365"/>
    <cellStyle name="Percent 3 5 14" xfId="7366"/>
    <cellStyle name="Percent 3 5 14 2" xfId="7367"/>
    <cellStyle name="Percent 3 5 15" xfId="7368"/>
    <cellStyle name="Percent 3 5 15 2" xfId="7369"/>
    <cellStyle name="Percent 3 5 16" xfId="7370"/>
    <cellStyle name="Percent 3 5 16 2" xfId="7371"/>
    <cellStyle name="Percent 3 5 17" xfId="7372"/>
    <cellStyle name="Percent 3 5 17 2" xfId="7373"/>
    <cellStyle name="Percent 3 5 18" xfId="7374"/>
    <cellStyle name="Percent 3 5 18 2" xfId="7375"/>
    <cellStyle name="Percent 3 5 19" xfId="7376"/>
    <cellStyle name="Percent 3 5 2" xfId="7377"/>
    <cellStyle name="Percent 3 5 2 2" xfId="7378"/>
    <cellStyle name="Percent 3 5 2 3" xfId="7379"/>
    <cellStyle name="Percent 3 5 3" xfId="7380"/>
    <cellStyle name="Percent 3 5 3 2" xfId="7381"/>
    <cellStyle name="Percent 3 5 4" xfId="7382"/>
    <cellStyle name="Percent 3 5 4 2" xfId="7383"/>
    <cellStyle name="Percent 3 5 5" xfId="7384"/>
    <cellStyle name="Percent 3 5 5 2" xfId="7385"/>
    <cellStyle name="Percent 3 5 6" xfId="7386"/>
    <cellStyle name="Percent 3 5 6 2" xfId="7387"/>
    <cellStyle name="Percent 3 5 7" xfId="7388"/>
    <cellStyle name="Percent 3 5 7 2" xfId="7389"/>
    <cellStyle name="Percent 3 5 8" xfId="7390"/>
    <cellStyle name="Percent 3 5 8 2" xfId="7391"/>
    <cellStyle name="Percent 3 5 9" xfId="7392"/>
    <cellStyle name="Percent 3 5 9 2" xfId="7393"/>
    <cellStyle name="Percent 3 6" xfId="7394"/>
    <cellStyle name="Percent 3 6 10" xfId="7395"/>
    <cellStyle name="Percent 3 6 10 2" xfId="7396"/>
    <cellStyle name="Percent 3 6 11" xfId="7397"/>
    <cellStyle name="Percent 3 6 11 2" xfId="7398"/>
    <cellStyle name="Percent 3 6 12" xfId="7399"/>
    <cellStyle name="Percent 3 6 12 2" xfId="7400"/>
    <cellStyle name="Percent 3 6 13" xfId="7401"/>
    <cellStyle name="Percent 3 6 13 2" xfId="7402"/>
    <cellStyle name="Percent 3 6 14" xfId="7403"/>
    <cellStyle name="Percent 3 6 14 2" xfId="7404"/>
    <cellStyle name="Percent 3 6 15" xfId="7405"/>
    <cellStyle name="Percent 3 6 15 2" xfId="7406"/>
    <cellStyle name="Percent 3 6 16" xfId="7407"/>
    <cellStyle name="Percent 3 6 16 2" xfId="7408"/>
    <cellStyle name="Percent 3 6 2" xfId="7409"/>
    <cellStyle name="Percent 3 6 2 2" xfId="7410"/>
    <cellStyle name="Percent 3 6 2 2 2" xfId="7411"/>
    <cellStyle name="Percent 3 6 3" xfId="7412"/>
    <cellStyle name="Percent 3 6 3 2" xfId="7413"/>
    <cellStyle name="Percent 3 6 3 2 2" xfId="7414"/>
    <cellStyle name="Percent 3 6 4" xfId="7415"/>
    <cellStyle name="Percent 3 6 4 2" xfId="7416"/>
    <cellStyle name="Percent 3 6 5" xfId="7417"/>
    <cellStyle name="Percent 3 6 5 2" xfId="7418"/>
    <cellStyle name="Percent 3 6 6" xfId="7419"/>
    <cellStyle name="Percent 3 6 6 2" xfId="7420"/>
    <cellStyle name="Percent 3 6 7" xfId="7421"/>
    <cellStyle name="Percent 3 6 7 2" xfId="7422"/>
    <cellStyle name="Percent 3 6 8" xfId="7423"/>
    <cellStyle name="Percent 3 6 8 2" xfId="7424"/>
    <cellStyle name="Percent 3 6 9" xfId="7425"/>
    <cellStyle name="Percent 3 6 9 2" xfId="7426"/>
    <cellStyle name="Percent 3 7" xfId="7427"/>
    <cellStyle name="Percent 3 7 10" xfId="7428"/>
    <cellStyle name="Percent 3 7 10 2" xfId="7429"/>
    <cellStyle name="Percent 3 7 11" xfId="7430"/>
    <cellStyle name="Percent 3 7 11 2" xfId="7431"/>
    <cellStyle name="Percent 3 7 12" xfId="7432"/>
    <cellStyle name="Percent 3 7 12 2" xfId="7433"/>
    <cellStyle name="Percent 3 7 13" xfId="7434"/>
    <cellStyle name="Percent 3 7 13 2" xfId="7435"/>
    <cellStyle name="Percent 3 7 14" xfId="7436"/>
    <cellStyle name="Percent 3 7 14 2" xfId="7437"/>
    <cellStyle name="Percent 3 7 15" xfId="7438"/>
    <cellStyle name="Percent 3 7 15 2" xfId="7439"/>
    <cellStyle name="Percent 3 7 16" xfId="7440"/>
    <cellStyle name="Percent 3 7 16 2" xfId="7441"/>
    <cellStyle name="Percent 3 7 17" xfId="7442"/>
    <cellStyle name="Percent 3 7 2" xfId="7443"/>
    <cellStyle name="Percent 3 7 2 2" xfId="7444"/>
    <cellStyle name="Percent 3 7 3" xfId="7445"/>
    <cellStyle name="Percent 3 7 3 2" xfId="7446"/>
    <cellStyle name="Percent 3 7 4" xfId="7447"/>
    <cellStyle name="Percent 3 7 4 2" xfId="7448"/>
    <cellStyle name="Percent 3 7 5" xfId="7449"/>
    <cellStyle name="Percent 3 7 5 2" xfId="7450"/>
    <cellStyle name="Percent 3 7 6" xfId="7451"/>
    <cellStyle name="Percent 3 7 6 2" xfId="7452"/>
    <cellStyle name="Percent 3 7 7" xfId="7453"/>
    <cellStyle name="Percent 3 7 7 2" xfId="7454"/>
    <cellStyle name="Percent 3 7 8" xfId="7455"/>
    <cellStyle name="Percent 3 7 8 2" xfId="7456"/>
    <cellStyle name="Percent 3 7 9" xfId="7457"/>
    <cellStyle name="Percent 3 7 9 2" xfId="7458"/>
    <cellStyle name="Percent 3 8" xfId="7459"/>
    <cellStyle name="Percent 3 8 10" xfId="7460"/>
    <cellStyle name="Percent 3 8 10 2" xfId="7461"/>
    <cellStyle name="Percent 3 8 11" xfId="7462"/>
    <cellStyle name="Percent 3 8 11 2" xfId="7463"/>
    <cellStyle name="Percent 3 8 12" xfId="7464"/>
    <cellStyle name="Percent 3 8 12 2" xfId="7465"/>
    <cellStyle name="Percent 3 8 13" xfId="7466"/>
    <cellStyle name="Percent 3 8 13 2" xfId="7467"/>
    <cellStyle name="Percent 3 8 14" xfId="7468"/>
    <cellStyle name="Percent 3 8 14 2" xfId="7469"/>
    <cellStyle name="Percent 3 8 15" xfId="7470"/>
    <cellStyle name="Percent 3 8 15 2" xfId="7471"/>
    <cellStyle name="Percent 3 8 16" xfId="7472"/>
    <cellStyle name="Percent 3 8 17" xfId="7473"/>
    <cellStyle name="Percent 3 8 2" xfId="7474"/>
    <cellStyle name="Percent 3 8 2 2" xfId="7475"/>
    <cellStyle name="Percent 3 8 3" xfId="7476"/>
    <cellStyle name="Percent 3 8 3 2" xfId="7477"/>
    <cellStyle name="Percent 3 8 4" xfId="7478"/>
    <cellStyle name="Percent 3 8 4 2" xfId="7479"/>
    <cellStyle name="Percent 3 8 5" xfId="7480"/>
    <cellStyle name="Percent 3 8 5 2" xfId="7481"/>
    <cellStyle name="Percent 3 8 6" xfId="7482"/>
    <cellStyle name="Percent 3 8 6 2" xfId="7483"/>
    <cellStyle name="Percent 3 8 7" xfId="7484"/>
    <cellStyle name="Percent 3 8 7 2" xfId="7485"/>
    <cellStyle name="Percent 3 8 8" xfId="7486"/>
    <cellStyle name="Percent 3 8 8 2" xfId="7487"/>
    <cellStyle name="Percent 3 8 9" xfId="7488"/>
    <cellStyle name="Percent 3 8 9 2" xfId="7489"/>
    <cellStyle name="Percent 3 9" xfId="7490"/>
    <cellStyle name="Percent 3 9 10" xfId="7491"/>
    <cellStyle name="Percent 3 9 10 2" xfId="7492"/>
    <cellStyle name="Percent 3 9 11" xfId="7493"/>
    <cellStyle name="Percent 3 9 11 2" xfId="7494"/>
    <cellStyle name="Percent 3 9 12" xfId="7495"/>
    <cellStyle name="Percent 3 9 12 2" xfId="7496"/>
    <cellStyle name="Percent 3 9 13" xfId="7497"/>
    <cellStyle name="Percent 3 9 13 2" xfId="7498"/>
    <cellStyle name="Percent 3 9 14" xfId="7499"/>
    <cellStyle name="Percent 3 9 14 2" xfId="7500"/>
    <cellStyle name="Percent 3 9 15" xfId="7501"/>
    <cellStyle name="Percent 3 9 15 2" xfId="7502"/>
    <cellStyle name="Percent 3 9 16" xfId="7503"/>
    <cellStyle name="Percent 3 9 2" xfId="7504"/>
    <cellStyle name="Percent 3 9 2 2" xfId="7505"/>
    <cellStyle name="Percent 3 9 3" xfId="7506"/>
    <cellStyle name="Percent 3 9 3 2" xfId="7507"/>
    <cellStyle name="Percent 3 9 4" xfId="7508"/>
    <cellStyle name="Percent 3 9 4 2" xfId="7509"/>
    <cellStyle name="Percent 3 9 5" xfId="7510"/>
    <cellStyle name="Percent 3 9 5 2" xfId="7511"/>
    <cellStyle name="Percent 3 9 6" xfId="7512"/>
    <cellStyle name="Percent 3 9 6 2" xfId="7513"/>
    <cellStyle name="Percent 3 9 7" xfId="7514"/>
    <cellStyle name="Percent 3 9 7 2" xfId="7515"/>
    <cellStyle name="Percent 3 9 8" xfId="7516"/>
    <cellStyle name="Percent 3 9 8 2" xfId="7517"/>
    <cellStyle name="Percent 3 9 9" xfId="7518"/>
    <cellStyle name="Percent 3 9 9 2" xfId="7519"/>
    <cellStyle name="Percent 31" xfId="7520"/>
    <cellStyle name="Percent 31 2" xfId="7521"/>
    <cellStyle name="Percent 4" xfId="7522"/>
    <cellStyle name="Percent 4 10" xfId="7523"/>
    <cellStyle name="Percent 4 10 2" xfId="7524"/>
    <cellStyle name="Percent 4 10 3" xfId="7525"/>
    <cellStyle name="Percent 4 11" xfId="7526"/>
    <cellStyle name="Percent 4 11 2" xfId="7527"/>
    <cellStyle name="Percent 4 11 3" xfId="7528"/>
    <cellStyle name="Percent 4 12" xfId="7529"/>
    <cellStyle name="Percent 4 12 2" xfId="7530"/>
    <cellStyle name="Percent 4 12 3" xfId="7531"/>
    <cellStyle name="Percent 4 13" xfId="7532"/>
    <cellStyle name="Percent 4 13 2" xfId="7533"/>
    <cellStyle name="Percent 4 13 3" xfId="7534"/>
    <cellStyle name="Percent 4 14" xfId="7535"/>
    <cellStyle name="Percent 4 14 2" xfId="7536"/>
    <cellStyle name="Percent 4 14 3" xfId="7537"/>
    <cellStyle name="Percent 4 15" xfId="7538"/>
    <cellStyle name="Percent 4 15 2" xfId="7539"/>
    <cellStyle name="Percent 4 16" xfId="7540"/>
    <cellStyle name="Percent 4 16 2" xfId="7541"/>
    <cellStyle name="Percent 4 16 2 2" xfId="7542"/>
    <cellStyle name="Percent 4 16 3" xfId="7543"/>
    <cellStyle name="Percent 4 17" xfId="7544"/>
    <cellStyle name="Percent 4 17 2" xfId="7545"/>
    <cellStyle name="Percent 4 18" xfId="7546"/>
    <cellStyle name="Percent 4 18 2" xfId="7547"/>
    <cellStyle name="Percent 4 18 2 2" xfId="7548"/>
    <cellStyle name="Percent 4 18 3" xfId="7549"/>
    <cellStyle name="Percent 4 19" xfId="7550"/>
    <cellStyle name="Percent 4 19 2" xfId="7551"/>
    <cellStyle name="Percent 4 2" xfId="7552"/>
    <cellStyle name="Percent 4 2 10" xfId="7553"/>
    <cellStyle name="Percent 4 2 10 2" xfId="7554"/>
    <cellStyle name="Percent 4 2 2" xfId="7555"/>
    <cellStyle name="Percent 4 2 2 2" xfId="7556"/>
    <cellStyle name="Percent 4 2 2 2 2" xfId="7557"/>
    <cellStyle name="Percent 4 2 3" xfId="7558"/>
    <cellStyle name="Percent 4 2 3 2" xfId="7559"/>
    <cellStyle name="Percent 4 2 3 3" xfId="7560"/>
    <cellStyle name="Percent 4 2 4" xfId="7561"/>
    <cellStyle name="Percent 4 2 4 2" xfId="7562"/>
    <cellStyle name="Percent 4 2 4 2 2" xfId="7563"/>
    <cellStyle name="Percent 4 2 4 3" xfId="7564"/>
    <cellStyle name="Percent 4 2 4 3 2" xfId="7565"/>
    <cellStyle name="Percent 4 2 4 4" xfId="7566"/>
    <cellStyle name="Percent 4 2 4 5" xfId="7567"/>
    <cellStyle name="Percent 4 2 5" xfId="7568"/>
    <cellStyle name="Percent 4 2 5 2" xfId="7569"/>
    <cellStyle name="Percent 4 2 5 3" xfId="7570"/>
    <cellStyle name="Percent 4 2 6" xfId="7571"/>
    <cellStyle name="Percent 4 2 6 2" xfId="7572"/>
    <cellStyle name="Percent 4 2 6 2 2" xfId="7573"/>
    <cellStyle name="Percent 4 2 6 3" xfId="7574"/>
    <cellStyle name="Percent 4 2 6 3 2" xfId="7575"/>
    <cellStyle name="Percent 4 2 6 4" xfId="7576"/>
    <cellStyle name="Percent 4 2 6 5" xfId="7577"/>
    <cellStyle name="Percent 4 2 7" xfId="7578"/>
    <cellStyle name="Percent 4 2 7 2" xfId="7579"/>
    <cellStyle name="Percent 4 2 7 3" xfId="7580"/>
    <cellStyle name="Percent 4 2 8" xfId="7581"/>
    <cellStyle name="Percent 4 2 8 2" xfId="7582"/>
    <cellStyle name="Percent 4 2 8 3" xfId="7583"/>
    <cellStyle name="Percent 4 2 9" xfId="7584"/>
    <cellStyle name="Percent 4 2 9 2" xfId="7585"/>
    <cellStyle name="Percent 4 20" xfId="7586"/>
    <cellStyle name="Percent 4 20 2" xfId="7587"/>
    <cellStyle name="Percent 4 21" xfId="7588"/>
    <cellStyle name="Percent 4 21 2" xfId="7589"/>
    <cellStyle name="Percent 4 22" xfId="7590"/>
    <cellStyle name="Percent 4 22 2" xfId="7591"/>
    <cellStyle name="Percent 4 23" xfId="7592"/>
    <cellStyle name="Percent 4 23 2" xfId="7593"/>
    <cellStyle name="Percent 4 24" xfId="7594"/>
    <cellStyle name="Percent 4 24 2" xfId="7595"/>
    <cellStyle name="Percent 4 25" xfId="7596"/>
    <cellStyle name="Percent 4 25 2" xfId="7597"/>
    <cellStyle name="Percent 4 26" xfId="7598"/>
    <cellStyle name="Percent 4 26 2" xfId="7599"/>
    <cellStyle name="Percent 4 27" xfId="7600"/>
    <cellStyle name="Percent 4 27 2" xfId="7601"/>
    <cellStyle name="Percent 4 28" xfId="7602"/>
    <cellStyle name="Percent 4 28 2" xfId="7603"/>
    <cellStyle name="Percent 4 29" xfId="7604"/>
    <cellStyle name="Percent 4 29 2" xfId="7605"/>
    <cellStyle name="Percent 4 29 2 2" xfId="7606"/>
    <cellStyle name="Percent 4 29 3" xfId="7607"/>
    <cellStyle name="Percent 4 29 3 2" xfId="7608"/>
    <cellStyle name="Percent 4 29 4" xfId="7609"/>
    <cellStyle name="Percent 4 3" xfId="7610"/>
    <cellStyle name="Percent 4 3 2" xfId="7611"/>
    <cellStyle name="Percent 4 3 2 2" xfId="7612"/>
    <cellStyle name="Percent 4 3 2 3" xfId="7613"/>
    <cellStyle name="Percent 4 3 3" xfId="7614"/>
    <cellStyle name="Percent 4 3 3 2" xfId="7615"/>
    <cellStyle name="Percent 4 3 3 3" xfId="7616"/>
    <cellStyle name="Percent 4 3 4" xfId="7617"/>
    <cellStyle name="Percent 4 3 4 2" xfId="7618"/>
    <cellStyle name="Percent 4 3 4 3" xfId="7619"/>
    <cellStyle name="Percent 4 3 5" xfId="7620"/>
    <cellStyle name="Percent 4 3 5 2" xfId="7621"/>
    <cellStyle name="Percent 4 3 5 3" xfId="7622"/>
    <cellStyle name="Percent 4 3 6" xfId="7623"/>
    <cellStyle name="Percent 4 3 6 2" xfId="7624"/>
    <cellStyle name="Percent 4 3 6 3" xfId="7625"/>
    <cellStyle name="Percent 4 3 7" xfId="7626"/>
    <cellStyle name="Percent 4 3 7 2" xfId="7627"/>
    <cellStyle name="Percent 4 3 7 3" xfId="7628"/>
    <cellStyle name="Percent 4 3 8" xfId="7629"/>
    <cellStyle name="Percent 4 3 8 2" xfId="7630"/>
    <cellStyle name="Percent 4 3 8 3" xfId="7631"/>
    <cellStyle name="Percent 4 3 9" xfId="7632"/>
    <cellStyle name="Percent 4 3 9 2" xfId="7633"/>
    <cellStyle name="Percent 4 30" xfId="7634"/>
    <cellStyle name="Percent 4 30 2" xfId="7635"/>
    <cellStyle name="Percent 4 31" xfId="7636"/>
    <cellStyle name="Percent 4 31 2" xfId="7637"/>
    <cellStyle name="Percent 4 32" xfId="7638"/>
    <cellStyle name="Percent 4 32 2" xfId="7639"/>
    <cellStyle name="Percent 4 4" xfId="7640"/>
    <cellStyle name="Percent 4 4 10" xfId="7641"/>
    <cellStyle name="Percent 4 4 10 2" xfId="7642"/>
    <cellStyle name="Percent 4 4 11" xfId="7643"/>
    <cellStyle name="Percent 4 4 2" xfId="7644"/>
    <cellStyle name="Percent 4 4 2 2" xfId="7645"/>
    <cellStyle name="Percent 4 4 2 3" xfId="7646"/>
    <cellStyle name="Percent 4 4 3" xfId="7647"/>
    <cellStyle name="Percent 4 4 3 2" xfId="7648"/>
    <cellStyle name="Percent 4 4 3 3" xfId="7649"/>
    <cellStyle name="Percent 4 4 4" xfId="7650"/>
    <cellStyle name="Percent 4 4 4 2" xfId="7651"/>
    <cellStyle name="Percent 4 4 4 3" xfId="7652"/>
    <cellStyle name="Percent 4 4 5" xfId="7653"/>
    <cellStyle name="Percent 4 4 5 2" xfId="7654"/>
    <cellStyle name="Percent 4 4 5 3" xfId="7655"/>
    <cellStyle name="Percent 4 4 6" xfId="7656"/>
    <cellStyle name="Percent 4 4 6 2" xfId="7657"/>
    <cellStyle name="Percent 4 4 6 3" xfId="7658"/>
    <cellStyle name="Percent 4 4 7" xfId="7659"/>
    <cellStyle name="Percent 4 4 7 2" xfId="7660"/>
    <cellStyle name="Percent 4 4 7 3" xfId="7661"/>
    <cellStyle name="Percent 4 4 8" xfId="7662"/>
    <cellStyle name="Percent 4 4 8 2" xfId="7663"/>
    <cellStyle name="Percent 4 4 8 3" xfId="7664"/>
    <cellStyle name="Percent 4 4 9" xfId="7665"/>
    <cellStyle name="Percent 4 4 9 2" xfId="7666"/>
    <cellStyle name="Percent 4 4 9 3" xfId="7667"/>
    <cellStyle name="Percent 4 5" xfId="7668"/>
    <cellStyle name="Percent 4 5 10" xfId="7669"/>
    <cellStyle name="Percent 4 5 10 2" xfId="7670"/>
    <cellStyle name="Percent 4 5 2" xfId="7671"/>
    <cellStyle name="Percent 4 5 2 2" xfId="7672"/>
    <cellStyle name="Percent 4 5 2 2 2" xfId="7673"/>
    <cellStyle name="Percent 4 5 3" xfId="7674"/>
    <cellStyle name="Percent 4 5 3 2" xfId="7675"/>
    <cellStyle name="Percent 4 5 3 3" xfId="7676"/>
    <cellStyle name="Percent 4 5 4" xfId="7677"/>
    <cellStyle name="Percent 4 5 4 2" xfId="7678"/>
    <cellStyle name="Percent 4 5 4 3" xfId="7679"/>
    <cellStyle name="Percent 4 5 5" xfId="7680"/>
    <cellStyle name="Percent 4 5 5 2" xfId="7681"/>
    <cellStyle name="Percent 4 5 5 3" xfId="7682"/>
    <cellStyle name="Percent 4 5 6" xfId="7683"/>
    <cellStyle name="Percent 4 5 6 2" xfId="7684"/>
    <cellStyle name="Percent 4 5 6 3" xfId="7685"/>
    <cellStyle name="Percent 4 5 7" xfId="7686"/>
    <cellStyle name="Percent 4 5 7 2" xfId="7687"/>
    <cellStyle name="Percent 4 5 7 3" xfId="7688"/>
    <cellStyle name="Percent 4 5 8" xfId="7689"/>
    <cellStyle name="Percent 4 5 8 2" xfId="7690"/>
    <cellStyle name="Percent 4 5 8 3" xfId="7691"/>
    <cellStyle name="Percent 4 5 9" xfId="7692"/>
    <cellStyle name="Percent 4 5 9 2" xfId="7693"/>
    <cellStyle name="Percent 4 6" xfId="7694"/>
    <cellStyle name="Percent 4 6 10" xfId="7695"/>
    <cellStyle name="Percent 4 6 2" xfId="7696"/>
    <cellStyle name="Percent 4 6 2 2" xfId="7697"/>
    <cellStyle name="Percent 4 6 2 3" xfId="7698"/>
    <cellStyle name="Percent 4 6 3" xfId="7699"/>
    <cellStyle name="Percent 4 6 3 2" xfId="7700"/>
    <cellStyle name="Percent 4 6 3 3" xfId="7701"/>
    <cellStyle name="Percent 4 6 4" xfId="7702"/>
    <cellStyle name="Percent 4 6 4 2" xfId="7703"/>
    <cellStyle name="Percent 4 6 4 3" xfId="7704"/>
    <cellStyle name="Percent 4 6 5" xfId="7705"/>
    <cellStyle name="Percent 4 6 5 2" xfId="7706"/>
    <cellStyle name="Percent 4 6 5 3" xfId="7707"/>
    <cellStyle name="Percent 4 6 6" xfId="7708"/>
    <cellStyle name="Percent 4 6 6 2" xfId="7709"/>
    <cellStyle name="Percent 4 6 6 3" xfId="7710"/>
    <cellStyle name="Percent 4 6 7" xfId="7711"/>
    <cellStyle name="Percent 4 6 7 2" xfId="7712"/>
    <cellStyle name="Percent 4 6 7 3" xfId="7713"/>
    <cellStyle name="Percent 4 6 8" xfId="7714"/>
    <cellStyle name="Percent 4 6 8 2" xfId="7715"/>
    <cellStyle name="Percent 4 6 8 3" xfId="7716"/>
    <cellStyle name="Percent 4 6 9" xfId="7717"/>
    <cellStyle name="Percent 4 7" xfId="7718"/>
    <cellStyle name="Percent 4 7 2" xfId="7719"/>
    <cellStyle name="Percent 4 7 3" xfId="7720"/>
    <cellStyle name="Percent 4 8" xfId="7721"/>
    <cellStyle name="Percent 4 8 2" xfId="7722"/>
    <cellStyle name="Percent 4 8 3" xfId="7723"/>
    <cellStyle name="Percent 4 9" xfId="7724"/>
    <cellStyle name="Percent 4 9 2" xfId="7725"/>
    <cellStyle name="Percent 4 9 3" xfId="7726"/>
    <cellStyle name="Percent 5" xfId="7727"/>
    <cellStyle name="Percent 5 10" xfId="7728"/>
    <cellStyle name="Percent 5 10 2" xfId="7729"/>
    <cellStyle name="Percent 5 11" xfId="7730"/>
    <cellStyle name="Percent 5 11 2" xfId="7731"/>
    <cellStyle name="Percent 5 11 2 2" xfId="7732"/>
    <cellStyle name="Percent 5 11 3" xfId="7733"/>
    <cellStyle name="Percent 5 12" xfId="7734"/>
    <cellStyle name="Percent 5 12 2" xfId="7735"/>
    <cellStyle name="Percent 5 2" xfId="7736"/>
    <cellStyle name="Percent 5 2 2" xfId="7737"/>
    <cellStyle name="Percent 5 2 2 2" xfId="7738"/>
    <cellStyle name="Percent 5 3" xfId="7739"/>
    <cellStyle name="Percent 5 3 2" xfId="7740"/>
    <cellStyle name="Percent 5 3 2 2" xfId="7741"/>
    <cellStyle name="Percent 5 3 3" xfId="7742"/>
    <cellStyle name="Percent 5 3 4" xfId="7743"/>
    <cellStyle name="Percent 5 4" xfId="7744"/>
    <cellStyle name="Percent 5 4 2" xfId="7745"/>
    <cellStyle name="Percent 5 4 2 2" xfId="7746"/>
    <cellStyle name="Percent 5 4 3" xfId="7747"/>
    <cellStyle name="Percent 5 4 4" xfId="7748"/>
    <cellStyle name="Percent 5 5" xfId="7749"/>
    <cellStyle name="Percent 5 5 2" xfId="7750"/>
    <cellStyle name="Percent 5 5 2 2" xfId="7751"/>
    <cellStyle name="Percent 5 5 3" xfId="7752"/>
    <cellStyle name="Percent 5 5 3 2" xfId="7753"/>
    <cellStyle name="Percent 5 5 4" xfId="7754"/>
    <cellStyle name="Percent 5 5 5" xfId="7755"/>
    <cellStyle name="Percent 5 6" xfId="7756"/>
    <cellStyle name="Percent 5 6 2" xfId="7757"/>
    <cellStyle name="Percent 5 6 3" xfId="7758"/>
    <cellStyle name="Percent 5 7" xfId="7759"/>
    <cellStyle name="Percent 5 7 2" xfId="7760"/>
    <cellStyle name="Percent 5 7 3" xfId="7761"/>
    <cellStyle name="Percent 5 8" xfId="7762"/>
    <cellStyle name="Percent 5 8 2" xfId="7763"/>
    <cellStyle name="Percent 5 8 3" xfId="7764"/>
    <cellStyle name="Percent 5 9" xfId="7765"/>
    <cellStyle name="Percent 5 9 2" xfId="7766"/>
    <cellStyle name="Percent 5 9 2 2" xfId="7767"/>
    <cellStyle name="Percent 5 9 2 2 2" xfId="7768"/>
    <cellStyle name="Percent 5 9 2 3" xfId="7769"/>
    <cellStyle name="Percent 5 9 3" xfId="7770"/>
    <cellStyle name="Percent 6" xfId="7771"/>
    <cellStyle name="Percent 6 10" xfId="7772"/>
    <cellStyle name="Percent 6 10 2" xfId="7773"/>
    <cellStyle name="Percent 6 11" xfId="7774"/>
    <cellStyle name="Percent 6 11 2" xfId="7775"/>
    <cellStyle name="Percent 6 12" xfId="7776"/>
    <cellStyle name="Percent 6 2" xfId="7777"/>
    <cellStyle name="Percent 6 2 2" xfId="7778"/>
    <cellStyle name="Percent 6 2 2 2" xfId="7779"/>
    <cellStyle name="Percent 6 2 3" xfId="7780"/>
    <cellStyle name="Percent 6 3" xfId="7781"/>
    <cellStyle name="Percent 6 3 2" xfId="7782"/>
    <cellStyle name="Percent 6 3 2 2" xfId="7783"/>
    <cellStyle name="Percent 6 3 3" xfId="7784"/>
    <cellStyle name="Percent 6 3 3 2" xfId="7785"/>
    <cellStyle name="Percent 6 3 4" xfId="7786"/>
    <cellStyle name="Percent 6 3 5" xfId="7787"/>
    <cellStyle name="Percent 6 4" xfId="7788"/>
    <cellStyle name="Percent 6 4 2" xfId="7789"/>
    <cellStyle name="Percent 6 4 3" xfId="7790"/>
    <cellStyle name="Percent 6 5" xfId="7791"/>
    <cellStyle name="Percent 6 5 2" xfId="7792"/>
    <cellStyle name="Percent 6 5 3" xfId="7793"/>
    <cellStyle name="Percent 6 6" xfId="7794"/>
    <cellStyle name="Percent 6 6 2" xfId="7795"/>
    <cellStyle name="Percent 6 6 3" xfId="7796"/>
    <cellStyle name="Percent 6 7" xfId="7797"/>
    <cellStyle name="Percent 6 7 2" xfId="7798"/>
    <cellStyle name="Percent 6 7 3" xfId="7799"/>
    <cellStyle name="Percent 6 8" xfId="7800"/>
    <cellStyle name="Percent 6 8 2" xfId="7801"/>
    <cellStyle name="Percent 6 8 3" xfId="7802"/>
    <cellStyle name="Percent 6 9" xfId="7803"/>
    <cellStyle name="Percent 6 9 2" xfId="7804"/>
    <cellStyle name="Percent 6 9 3" xfId="7805"/>
    <cellStyle name="Percent 7" xfId="7806"/>
    <cellStyle name="Percent 7 10" xfId="7807"/>
    <cellStyle name="Percent 7 10 2" xfId="7808"/>
    <cellStyle name="Percent 7 11" xfId="7809"/>
    <cellStyle name="Percent 7 11 2" xfId="7810"/>
    <cellStyle name="Percent 7 2" xfId="7811"/>
    <cellStyle name="Percent 7 2 2" xfId="7812"/>
    <cellStyle name="Percent 7 2 3" xfId="7813"/>
    <cellStyle name="Percent 7 3" xfId="7814"/>
    <cellStyle name="Percent 7 3 2" xfId="7815"/>
    <cellStyle name="Percent 7 3 3" xfId="7816"/>
    <cellStyle name="Percent 7 4" xfId="7817"/>
    <cellStyle name="Percent 7 4 2" xfId="7818"/>
    <cellStyle name="Percent 7 4 3" xfId="7819"/>
    <cellStyle name="Percent 7 5" xfId="7820"/>
    <cellStyle name="Percent 7 5 2" xfId="7821"/>
    <cellStyle name="Percent 7 5 3" xfId="7822"/>
    <cellStyle name="Percent 7 6" xfId="7823"/>
    <cellStyle name="Percent 7 6 2" xfId="7824"/>
    <cellStyle name="Percent 7 6 3" xfId="7825"/>
    <cellStyle name="Percent 7 7" xfId="7826"/>
    <cellStyle name="Percent 7 7 2" xfId="7827"/>
    <cellStyle name="Percent 7 7 3" xfId="7828"/>
    <cellStyle name="Percent 7 8" xfId="7829"/>
    <cellStyle name="Percent 7 8 2" xfId="7830"/>
    <cellStyle name="Percent 7 8 3" xfId="7831"/>
    <cellStyle name="Percent 7 9" xfId="7832"/>
    <cellStyle name="Percent 7 9 2" xfId="7833"/>
    <cellStyle name="Percent 8" xfId="7834"/>
    <cellStyle name="Percent 8 10" xfId="7835"/>
    <cellStyle name="Percent 8 11" xfId="7836"/>
    <cellStyle name="Percent 8 2" xfId="7837"/>
    <cellStyle name="Percent 8 2 2" xfId="7838"/>
    <cellStyle name="Percent 8 2 2 2" xfId="7839"/>
    <cellStyle name="Percent 8 2 3" xfId="7840"/>
    <cellStyle name="Percent 8 3" xfId="7841"/>
    <cellStyle name="Percent 8 3 2" xfId="7842"/>
    <cellStyle name="Percent 8 3 3" xfId="7843"/>
    <cellStyle name="Percent 8 4" xfId="7844"/>
    <cellStyle name="Percent 8 4 2" xfId="7845"/>
    <cellStyle name="Percent 8 4 3" xfId="7846"/>
    <cellStyle name="Percent 8 5" xfId="7847"/>
    <cellStyle name="Percent 8 5 2" xfId="7848"/>
    <cellStyle name="Percent 8 5 3" xfId="7849"/>
    <cellStyle name="Percent 8 6" xfId="7850"/>
    <cellStyle name="Percent 8 6 2" xfId="7851"/>
    <cellStyle name="Percent 8 6 3" xfId="7852"/>
    <cellStyle name="Percent 8 7" xfId="7853"/>
    <cellStyle name="Percent 8 7 2" xfId="7854"/>
    <cellStyle name="Percent 8 7 3" xfId="7855"/>
    <cellStyle name="Percent 8 8" xfId="7856"/>
    <cellStyle name="Percent 8 8 2" xfId="7857"/>
    <cellStyle name="Percent 8 8 3" xfId="7858"/>
    <cellStyle name="Percent 8 9" xfId="7859"/>
    <cellStyle name="Percent 8 9 2" xfId="7860"/>
    <cellStyle name="Percent 9" xfId="7861"/>
    <cellStyle name="Percent 9 10" xfId="7862"/>
    <cellStyle name="Percent 9 10 2" xfId="7863"/>
    <cellStyle name="Percent 9 11" xfId="7864"/>
    <cellStyle name="Percent 9 11 2" xfId="7865"/>
    <cellStyle name="Percent 9 12" xfId="7866"/>
    <cellStyle name="Percent 9 12 2" xfId="7867"/>
    <cellStyle name="Percent 9 13" xfId="7868"/>
    <cellStyle name="Percent 9 13 2" xfId="7869"/>
    <cellStyle name="Percent 9 14" xfId="7870"/>
    <cellStyle name="Percent 9 14 2" xfId="7871"/>
    <cellStyle name="Percent 9 15" xfId="7872"/>
    <cellStyle name="Percent 9 15 2" xfId="7873"/>
    <cellStyle name="Percent 9 16" xfId="7874"/>
    <cellStyle name="Percent 9 16 2" xfId="7875"/>
    <cellStyle name="Percent 9 17" xfId="7876"/>
    <cellStyle name="Percent 9 17 2" xfId="7877"/>
    <cellStyle name="Percent 9 18" xfId="7878"/>
    <cellStyle name="Percent 9 18 2" xfId="7879"/>
    <cellStyle name="Percent 9 19" xfId="7880"/>
    <cellStyle name="Percent 9 19 2" xfId="7881"/>
    <cellStyle name="Percent 9 2" xfId="7882"/>
    <cellStyle name="Percent 9 2 2" xfId="7883"/>
    <cellStyle name="Percent 9 2 2 2" xfId="7884"/>
    <cellStyle name="Percent 9 2 3" xfId="7885"/>
    <cellStyle name="Percent 9 2 3 2" xfId="7886"/>
    <cellStyle name="Percent 9 2 4" xfId="7887"/>
    <cellStyle name="Percent 9 2 5" xfId="7888"/>
    <cellStyle name="Percent 9 20" xfId="7889"/>
    <cellStyle name="Percent 9 20 2" xfId="7890"/>
    <cellStyle name="Percent 9 21" xfId="7891"/>
    <cellStyle name="Percent 9 21 2" xfId="7892"/>
    <cellStyle name="Percent 9 22" xfId="7893"/>
    <cellStyle name="Percent 9 22 2" xfId="7894"/>
    <cellStyle name="Percent 9 23" xfId="7895"/>
    <cellStyle name="Percent 9 23 2" xfId="7896"/>
    <cellStyle name="Percent 9 24" xfId="7897"/>
    <cellStyle name="Percent 9 3" xfId="7898"/>
    <cellStyle name="Percent 9 3 2" xfId="7899"/>
    <cellStyle name="Percent 9 3 2 2" xfId="7900"/>
    <cellStyle name="Percent 9 3 3" xfId="7901"/>
    <cellStyle name="Percent 9 3 3 2" xfId="7902"/>
    <cellStyle name="Percent 9 3 4" xfId="7903"/>
    <cellStyle name="Percent 9 3 5" xfId="7904"/>
    <cellStyle name="Percent 9 4" xfId="7905"/>
    <cellStyle name="Percent 9 4 2" xfId="7906"/>
    <cellStyle name="Percent 9 4 2 2" xfId="7907"/>
    <cellStyle name="Percent 9 4 3" xfId="7908"/>
    <cellStyle name="Percent 9 4 3 2" xfId="7909"/>
    <cellStyle name="Percent 9 4 4" xfId="7910"/>
    <cellStyle name="Percent 9 4 5" xfId="7911"/>
    <cellStyle name="Percent 9 5" xfId="7912"/>
    <cellStyle name="Percent 9 5 2" xfId="7913"/>
    <cellStyle name="Percent 9 5 2 2" xfId="7914"/>
    <cellStyle name="Percent 9 5 3" xfId="7915"/>
    <cellStyle name="Percent 9 5 3 2" xfId="7916"/>
    <cellStyle name="Percent 9 5 4" xfId="7917"/>
    <cellStyle name="Percent 9 5 5" xfId="7918"/>
    <cellStyle name="Percent 9 6" xfId="7919"/>
    <cellStyle name="Percent 9 6 2" xfId="7920"/>
    <cellStyle name="Percent 9 6 2 2" xfId="7921"/>
    <cellStyle name="Percent 9 6 3" xfId="7922"/>
    <cellStyle name="Percent 9 6 3 2" xfId="7923"/>
    <cellStyle name="Percent 9 6 4" xfId="7924"/>
    <cellStyle name="Percent 9 6 5" xfId="7925"/>
    <cellStyle name="Percent 9 7" xfId="7926"/>
    <cellStyle name="Percent 9 7 2" xfId="7927"/>
    <cellStyle name="Percent 9 7 2 2" xfId="7928"/>
    <cellStyle name="Percent 9 7 3" xfId="7929"/>
    <cellStyle name="Percent 9 7 3 2" xfId="7930"/>
    <cellStyle name="Percent 9 7 4" xfId="7931"/>
    <cellStyle name="Percent 9 7 4 2" xfId="7932"/>
    <cellStyle name="Percent 9 7 5" xfId="7933"/>
    <cellStyle name="Percent 9 7 5 2" xfId="7934"/>
    <cellStyle name="Percent 9 7 6" xfId="7935"/>
    <cellStyle name="Percent 9 7 7" xfId="7936"/>
    <cellStyle name="Percent 9 8" xfId="7937"/>
    <cellStyle name="Percent 9 8 2" xfId="7938"/>
    <cellStyle name="Percent 9 8 2 2" xfId="7939"/>
    <cellStyle name="Percent 9 8 3" xfId="7940"/>
    <cellStyle name="Percent 9 8 3 2" xfId="7941"/>
    <cellStyle name="Percent 9 8 4" xfId="7942"/>
    <cellStyle name="Percent 9 8 5" xfId="7943"/>
    <cellStyle name="Percent 9 9" xfId="7944"/>
    <cellStyle name="Percent 9 9 2" xfId="7945"/>
    <cellStyle name="Percentagem 2 2" xfId="7946"/>
    <cellStyle name="Percentagem 2 2 2" xfId="7947"/>
    <cellStyle name="Percentagem 2 3" xfId="7948"/>
    <cellStyle name="Percentagem 2 3 2" xfId="7949"/>
    <cellStyle name="Pilkku_Layo9704" xfId="7950"/>
    <cellStyle name="Pyör. luku_Layo9704" xfId="7951"/>
    <cellStyle name="Pyör. valuutta_Layo9704" xfId="7952"/>
    <cellStyle name="Rossz" xfId="7953"/>
    <cellStyle name="Schlecht" xfId="7954"/>
    <cellStyle name="Schlecht 2" xfId="7955"/>
    <cellStyle name="Semleges" xfId="7956"/>
    <cellStyle name="Shade" xfId="7957"/>
    <cellStyle name="Shade 2" xfId="7958"/>
    <cellStyle name="source" xfId="7959"/>
    <cellStyle name="source 2" xfId="7960"/>
    <cellStyle name="source 2 2" xfId="7961"/>
    <cellStyle name="source 2 2 2" xfId="7962"/>
    <cellStyle name="source 3" xfId="7963"/>
    <cellStyle name="source 4" xfId="7964"/>
    <cellStyle name="source 4 2" xfId="7965"/>
    <cellStyle name="Standaard_Blad1" xfId="7966"/>
    <cellStyle name="Standard 2" xfId="7967"/>
    <cellStyle name="Standard 2 2" xfId="7968"/>
    <cellStyle name="Standard 3" xfId="7969"/>
    <cellStyle name="Standard 3 2" xfId="7970"/>
    <cellStyle name="Standard_Sce_D_Extraction" xfId="7971"/>
    <cellStyle name="Style 1" xfId="7972"/>
    <cellStyle name="Style 1 2" xfId="7973"/>
    <cellStyle name="Style 103" xfId="7974"/>
    <cellStyle name="Style 103 2" xfId="7975"/>
    <cellStyle name="Style 103 2 2" xfId="7976"/>
    <cellStyle name="Style 103 3" xfId="7977"/>
    <cellStyle name="Style 103 3 2" xfId="7978"/>
    <cellStyle name="Style 103 4" xfId="7979"/>
    <cellStyle name="Style 104" xfId="7980"/>
    <cellStyle name="Style 104 2" xfId="7981"/>
    <cellStyle name="Style 104 2 2" xfId="7982"/>
    <cellStyle name="Style 104 3" xfId="7983"/>
    <cellStyle name="Style 104 3 2" xfId="7984"/>
    <cellStyle name="Style 104 4" xfId="7985"/>
    <cellStyle name="Style 105" xfId="7986"/>
    <cellStyle name="Style 105 2" xfId="7987"/>
    <cellStyle name="Style 105 2 2" xfId="7988"/>
    <cellStyle name="Style 105 3" xfId="7989"/>
    <cellStyle name="Style 106" xfId="7990"/>
    <cellStyle name="Style 106 2" xfId="7991"/>
    <cellStyle name="Style 106 2 2" xfId="7992"/>
    <cellStyle name="Style 106 3" xfId="7993"/>
    <cellStyle name="Style 107" xfId="7994"/>
    <cellStyle name="Style 107 2" xfId="7995"/>
    <cellStyle name="Style 107 2 2" xfId="7996"/>
    <cellStyle name="Style 107 3" xfId="7997"/>
    <cellStyle name="Style 108" xfId="7998"/>
    <cellStyle name="Style 108 2" xfId="7999"/>
    <cellStyle name="Style 108 2 2" xfId="8000"/>
    <cellStyle name="Style 108 3" xfId="8001"/>
    <cellStyle name="Style 108 3 2" xfId="8002"/>
    <cellStyle name="Style 108 4" xfId="8003"/>
    <cellStyle name="Style 109" xfId="8004"/>
    <cellStyle name="Style 109 2" xfId="8005"/>
    <cellStyle name="Style 109 2 2" xfId="8006"/>
    <cellStyle name="Style 109 3" xfId="8007"/>
    <cellStyle name="Style 110" xfId="8008"/>
    <cellStyle name="Style 110 2" xfId="8009"/>
    <cellStyle name="Style 110 2 2" xfId="8010"/>
    <cellStyle name="Style 110 3" xfId="8011"/>
    <cellStyle name="Style 114" xfId="8012"/>
    <cellStyle name="Style 114 2" xfId="8013"/>
    <cellStyle name="Style 114 2 2" xfId="8014"/>
    <cellStyle name="Style 114 3" xfId="8015"/>
    <cellStyle name="Style 114 3 2" xfId="8016"/>
    <cellStyle name="Style 114 4" xfId="8017"/>
    <cellStyle name="Style 115" xfId="8018"/>
    <cellStyle name="Style 115 2" xfId="8019"/>
    <cellStyle name="Style 115 2 2" xfId="8020"/>
    <cellStyle name="Style 115 3" xfId="8021"/>
    <cellStyle name="Style 115 3 2" xfId="8022"/>
    <cellStyle name="Style 115 4" xfId="8023"/>
    <cellStyle name="Style 116" xfId="8024"/>
    <cellStyle name="Style 116 2" xfId="8025"/>
    <cellStyle name="Style 116 2 2" xfId="8026"/>
    <cellStyle name="Style 116 3" xfId="8027"/>
    <cellStyle name="Style 117" xfId="8028"/>
    <cellStyle name="Style 117 2" xfId="8029"/>
    <cellStyle name="Style 117 2 2" xfId="8030"/>
    <cellStyle name="Style 117 3" xfId="8031"/>
    <cellStyle name="Style 118" xfId="8032"/>
    <cellStyle name="Style 118 2" xfId="8033"/>
    <cellStyle name="Style 118 2 2" xfId="8034"/>
    <cellStyle name="Style 118 3" xfId="8035"/>
    <cellStyle name="Style 119" xfId="8036"/>
    <cellStyle name="Style 119 2" xfId="8037"/>
    <cellStyle name="Style 119 2 2" xfId="8038"/>
    <cellStyle name="Style 119 3" xfId="8039"/>
    <cellStyle name="Style 119 3 2" xfId="8040"/>
    <cellStyle name="Style 119 4" xfId="8041"/>
    <cellStyle name="Style 120" xfId="8042"/>
    <cellStyle name="Style 120 2" xfId="8043"/>
    <cellStyle name="Style 120 2 2" xfId="8044"/>
    <cellStyle name="Style 120 3" xfId="8045"/>
    <cellStyle name="Style 121" xfId="8046"/>
    <cellStyle name="Style 121 2" xfId="8047"/>
    <cellStyle name="Style 121 2 2" xfId="8048"/>
    <cellStyle name="Style 121 3" xfId="8049"/>
    <cellStyle name="Style 126" xfId="8050"/>
    <cellStyle name="Style 126 2" xfId="8051"/>
    <cellStyle name="Style 126 2 2" xfId="8052"/>
    <cellStyle name="Style 126 3" xfId="8053"/>
    <cellStyle name="Style 126 3 2" xfId="8054"/>
    <cellStyle name="Style 126 4" xfId="8055"/>
    <cellStyle name="Style 127" xfId="8056"/>
    <cellStyle name="Style 127 2" xfId="8057"/>
    <cellStyle name="Style 127 2 2" xfId="8058"/>
    <cellStyle name="Style 127 3" xfId="8059"/>
    <cellStyle name="Style 128" xfId="8060"/>
    <cellStyle name="Style 128 2" xfId="8061"/>
    <cellStyle name="Style 128 2 2" xfId="8062"/>
    <cellStyle name="Style 128 3" xfId="8063"/>
    <cellStyle name="Style 129" xfId="8064"/>
    <cellStyle name="Style 129 2" xfId="8065"/>
    <cellStyle name="Style 129 2 2" xfId="8066"/>
    <cellStyle name="Style 129 3" xfId="8067"/>
    <cellStyle name="Style 130" xfId="8068"/>
    <cellStyle name="Style 130 2" xfId="8069"/>
    <cellStyle name="Style 130 2 2" xfId="8070"/>
    <cellStyle name="Style 130 3" xfId="8071"/>
    <cellStyle name="Style 130 3 2" xfId="8072"/>
    <cellStyle name="Style 130 4" xfId="8073"/>
    <cellStyle name="Style 131" xfId="8074"/>
    <cellStyle name="Style 131 2" xfId="8075"/>
    <cellStyle name="Style 131 2 2" xfId="8076"/>
    <cellStyle name="Style 131 3" xfId="8077"/>
    <cellStyle name="Style 132" xfId="8078"/>
    <cellStyle name="Style 132 2" xfId="8079"/>
    <cellStyle name="Style 132 2 2" xfId="8080"/>
    <cellStyle name="Style 132 3" xfId="8081"/>
    <cellStyle name="Style 137" xfId="8082"/>
    <cellStyle name="Style 137 2" xfId="8083"/>
    <cellStyle name="Style 137 2 2" xfId="8084"/>
    <cellStyle name="Style 137 3" xfId="8085"/>
    <cellStyle name="Style 137 3 2" xfId="8086"/>
    <cellStyle name="Style 137 4" xfId="8087"/>
    <cellStyle name="Style 138" xfId="8088"/>
    <cellStyle name="Style 138 2" xfId="8089"/>
    <cellStyle name="Style 138 2 2" xfId="8090"/>
    <cellStyle name="Style 138 3" xfId="8091"/>
    <cellStyle name="Style 139" xfId="8092"/>
    <cellStyle name="Style 139 2" xfId="8093"/>
    <cellStyle name="Style 139 2 2" xfId="8094"/>
    <cellStyle name="Style 139 3" xfId="8095"/>
    <cellStyle name="Style 140" xfId="8096"/>
    <cellStyle name="Style 140 2" xfId="8097"/>
    <cellStyle name="Style 140 2 2" xfId="8098"/>
    <cellStyle name="Style 140 3" xfId="8099"/>
    <cellStyle name="Style 141" xfId="8100"/>
    <cellStyle name="Style 141 2" xfId="8101"/>
    <cellStyle name="Style 141 2 2" xfId="8102"/>
    <cellStyle name="Style 141 3" xfId="8103"/>
    <cellStyle name="Style 141 3 2" xfId="8104"/>
    <cellStyle name="Style 141 4" xfId="8105"/>
    <cellStyle name="Style 142" xfId="8106"/>
    <cellStyle name="Style 142 2" xfId="8107"/>
    <cellStyle name="Style 142 2 2" xfId="8108"/>
    <cellStyle name="Style 142 3" xfId="8109"/>
    <cellStyle name="Style 143" xfId="8110"/>
    <cellStyle name="Style 143 2" xfId="8111"/>
    <cellStyle name="Style 143 2 2" xfId="8112"/>
    <cellStyle name="Style 143 3" xfId="8113"/>
    <cellStyle name="Style 148" xfId="8114"/>
    <cellStyle name="Style 148 2" xfId="8115"/>
    <cellStyle name="Style 148 2 2" xfId="8116"/>
    <cellStyle name="Style 148 3" xfId="8117"/>
    <cellStyle name="Style 148 3 2" xfId="8118"/>
    <cellStyle name="Style 148 4" xfId="8119"/>
    <cellStyle name="Style 149" xfId="8120"/>
    <cellStyle name="Style 149 2" xfId="8121"/>
    <cellStyle name="Style 149 2 2" xfId="8122"/>
    <cellStyle name="Style 149 3" xfId="8123"/>
    <cellStyle name="Style 150" xfId="8124"/>
    <cellStyle name="Style 150 2" xfId="8125"/>
    <cellStyle name="Style 150 2 2" xfId="8126"/>
    <cellStyle name="Style 150 3" xfId="8127"/>
    <cellStyle name="Style 151" xfId="8128"/>
    <cellStyle name="Style 151 2" xfId="8129"/>
    <cellStyle name="Style 151 2 2" xfId="8130"/>
    <cellStyle name="Style 151 3" xfId="8131"/>
    <cellStyle name="Style 152" xfId="8132"/>
    <cellStyle name="Style 152 2" xfId="8133"/>
    <cellStyle name="Style 152 2 2" xfId="8134"/>
    <cellStyle name="Style 152 3" xfId="8135"/>
    <cellStyle name="Style 152 3 2" xfId="8136"/>
    <cellStyle name="Style 152 4" xfId="8137"/>
    <cellStyle name="Style 153" xfId="8138"/>
    <cellStyle name="Style 153 2" xfId="8139"/>
    <cellStyle name="Style 153 2 2" xfId="8140"/>
    <cellStyle name="Style 153 3" xfId="8141"/>
    <cellStyle name="Style 154" xfId="8142"/>
    <cellStyle name="Style 154 2" xfId="8143"/>
    <cellStyle name="Style 154 2 2" xfId="8144"/>
    <cellStyle name="Style 154 3" xfId="8145"/>
    <cellStyle name="Style 159" xfId="8146"/>
    <cellStyle name="Style 159 2" xfId="8147"/>
    <cellStyle name="Style 159 2 2" xfId="8148"/>
    <cellStyle name="Style 159 3" xfId="8149"/>
    <cellStyle name="Style 159 3 2" xfId="8150"/>
    <cellStyle name="Style 159 4" xfId="8151"/>
    <cellStyle name="Style 160" xfId="8152"/>
    <cellStyle name="Style 160 2" xfId="8153"/>
    <cellStyle name="Style 160 2 2" xfId="8154"/>
    <cellStyle name="Style 160 3" xfId="8155"/>
    <cellStyle name="Style 161" xfId="8156"/>
    <cellStyle name="Style 161 2" xfId="8157"/>
    <cellStyle name="Style 161 2 2" xfId="8158"/>
    <cellStyle name="Style 161 3" xfId="8159"/>
    <cellStyle name="Style 162" xfId="8160"/>
    <cellStyle name="Style 162 2" xfId="8161"/>
    <cellStyle name="Style 162 2 2" xfId="8162"/>
    <cellStyle name="Style 162 3" xfId="8163"/>
    <cellStyle name="Style 163" xfId="8164"/>
    <cellStyle name="Style 163 2" xfId="8165"/>
    <cellStyle name="Style 163 2 2" xfId="8166"/>
    <cellStyle name="Style 163 3" xfId="8167"/>
    <cellStyle name="Style 163 3 2" xfId="8168"/>
    <cellStyle name="Style 163 4" xfId="8169"/>
    <cellStyle name="Style 164" xfId="8170"/>
    <cellStyle name="Style 164 2" xfId="8171"/>
    <cellStyle name="Style 164 2 2" xfId="8172"/>
    <cellStyle name="Style 164 3" xfId="8173"/>
    <cellStyle name="Style 165" xfId="8174"/>
    <cellStyle name="Style 165 2" xfId="8175"/>
    <cellStyle name="Style 165 2 2" xfId="8176"/>
    <cellStyle name="Style 165 3" xfId="8177"/>
    <cellStyle name="Style 21" xfId="8178"/>
    <cellStyle name="Style 21 2" xfId="8179"/>
    <cellStyle name="Style 21 2 2" xfId="8180"/>
    <cellStyle name="Style 21 2 2 2" xfId="8181"/>
    <cellStyle name="Style 21 2 3" xfId="8182"/>
    <cellStyle name="Style 21 2 3 2" xfId="8183"/>
    <cellStyle name="Style 21 2 4" xfId="8184"/>
    <cellStyle name="Style 21 2 4 2" xfId="8185"/>
    <cellStyle name="Style 21 3" xfId="8186"/>
    <cellStyle name="Style 21 3 2" xfId="8187"/>
    <cellStyle name="Style 21 3 2 2" xfId="8188"/>
    <cellStyle name="Style 21 3 3" xfId="8189"/>
    <cellStyle name="Style 21 3 3 2" xfId="8190"/>
    <cellStyle name="Style 21 3 4" xfId="8191"/>
    <cellStyle name="Style 21 4" xfId="8192"/>
    <cellStyle name="Style 21 4 2" xfId="8193"/>
    <cellStyle name="Style 21 5" xfId="8194"/>
    <cellStyle name="Style 21 5 2" xfId="8195"/>
    <cellStyle name="Style 21 6" xfId="8196"/>
    <cellStyle name="Style 21 6 2" xfId="8197"/>
    <cellStyle name="Style 22" xfId="8198"/>
    <cellStyle name="Style 22 2" xfId="8199"/>
    <cellStyle name="Style 22 2 2" xfId="8200"/>
    <cellStyle name="Style 22 3" xfId="8201"/>
    <cellStyle name="Style 22 3 2" xfId="8202"/>
    <cellStyle name="Style 22 4" xfId="8203"/>
    <cellStyle name="Style 22 4 2" xfId="8204"/>
    <cellStyle name="Style 23" xfId="8205"/>
    <cellStyle name="Style 23 2" xfId="8206"/>
    <cellStyle name="Style 23 2 2" xfId="8207"/>
    <cellStyle name="Style 23 3" xfId="8208"/>
    <cellStyle name="Style 23 3 2" xfId="8209"/>
    <cellStyle name="Style 23 4" xfId="8210"/>
    <cellStyle name="Style 23 4 2" xfId="8211"/>
    <cellStyle name="Style 24" xfId="8212"/>
    <cellStyle name="Style 24 2" xfId="8213"/>
    <cellStyle name="Style 24 2 2" xfId="8214"/>
    <cellStyle name="Style 24 3" xfId="8215"/>
    <cellStyle name="Style 24 3 2" xfId="8216"/>
    <cellStyle name="Style 24 4" xfId="8217"/>
    <cellStyle name="Style 24 4 2" xfId="8218"/>
    <cellStyle name="Style 25" xfId="8219"/>
    <cellStyle name="Style 25 2" xfId="8220"/>
    <cellStyle name="Style 25 2 2" xfId="8221"/>
    <cellStyle name="Style 25 2 2 2" xfId="8222"/>
    <cellStyle name="Style 25 2 3" xfId="8223"/>
    <cellStyle name="Style 25 2 3 2" xfId="8224"/>
    <cellStyle name="Style 25 3" xfId="8225"/>
    <cellStyle name="Style 25 3 2" xfId="8226"/>
    <cellStyle name="Style 25 3 2 2" xfId="8227"/>
    <cellStyle name="Style 25 3 3" xfId="8228"/>
    <cellStyle name="Style 25 3 3 2" xfId="8229"/>
    <cellStyle name="Style 25 3 4" xfId="8230"/>
    <cellStyle name="Style 25 4" xfId="8231"/>
    <cellStyle name="Style 25 4 2" xfId="8232"/>
    <cellStyle name="Style 25 5" xfId="8233"/>
    <cellStyle name="Style 25 5 2" xfId="8234"/>
    <cellStyle name="Style 26" xfId="8235"/>
    <cellStyle name="Style 26 2" xfId="8236"/>
    <cellStyle name="Style 26 2 2" xfId="8237"/>
    <cellStyle name="Style 26 3" xfId="8238"/>
    <cellStyle name="Style 26 3 2" xfId="8239"/>
    <cellStyle name="Style 26 4" xfId="8240"/>
    <cellStyle name="Style 26 4 2" xfId="8241"/>
    <cellStyle name="Style 27" xfId="8242"/>
    <cellStyle name="Style 27 2" xfId="8243"/>
    <cellStyle name="Style 27 2 2" xfId="8244"/>
    <cellStyle name="Style 27 3" xfId="8245"/>
    <cellStyle name="Style 35" xfId="8246"/>
    <cellStyle name="Style 35 2" xfId="8247"/>
    <cellStyle name="Style 35 2 2" xfId="8248"/>
    <cellStyle name="Style 35 3" xfId="8249"/>
    <cellStyle name="Style 35 3 2" xfId="8250"/>
    <cellStyle name="Style 35 4" xfId="8251"/>
    <cellStyle name="Style 36" xfId="8252"/>
    <cellStyle name="Style 36 2" xfId="8253"/>
    <cellStyle name="Style 36 2 2" xfId="8254"/>
    <cellStyle name="Style 36 3" xfId="8255"/>
    <cellStyle name="Style 37" xfId="8256"/>
    <cellStyle name="Style 37 2" xfId="8257"/>
    <cellStyle name="Style 37 2 2" xfId="8258"/>
    <cellStyle name="Style 37 3" xfId="8259"/>
    <cellStyle name="Style 38" xfId="8260"/>
    <cellStyle name="Style 38 2" xfId="8261"/>
    <cellStyle name="Style 38 2 2" xfId="8262"/>
    <cellStyle name="Style 38 3" xfId="8263"/>
    <cellStyle name="Style 39" xfId="8264"/>
    <cellStyle name="Style 39 2" xfId="8265"/>
    <cellStyle name="Style 39 2 2" xfId="8266"/>
    <cellStyle name="Style 39 3" xfId="8267"/>
    <cellStyle name="Style 39 3 2" xfId="8268"/>
    <cellStyle name="Style 39 4" xfId="8269"/>
    <cellStyle name="Style 40" xfId="8270"/>
    <cellStyle name="Style 40 2" xfId="8271"/>
    <cellStyle name="Style 40 2 2" xfId="8272"/>
    <cellStyle name="Style 40 3" xfId="8273"/>
    <cellStyle name="Style 41" xfId="8274"/>
    <cellStyle name="Style 41 2" xfId="8275"/>
    <cellStyle name="Style 41 2 2" xfId="8276"/>
    <cellStyle name="Style 41 3" xfId="8277"/>
    <cellStyle name="Style 46" xfId="8278"/>
    <cellStyle name="Style 46 2" xfId="8279"/>
    <cellStyle name="Style 46 2 2" xfId="8280"/>
    <cellStyle name="Style 46 3" xfId="8281"/>
    <cellStyle name="Style 46 3 2" xfId="8282"/>
    <cellStyle name="Style 46 4" xfId="8283"/>
    <cellStyle name="Style 47" xfId="8284"/>
    <cellStyle name="Style 47 2" xfId="8285"/>
    <cellStyle name="Style 47 2 2" xfId="8286"/>
    <cellStyle name="Style 47 3" xfId="8287"/>
    <cellStyle name="Style 48" xfId="8288"/>
    <cellStyle name="Style 48 2" xfId="8289"/>
    <cellStyle name="Style 48 2 2" xfId="8290"/>
    <cellStyle name="Style 48 3" xfId="8291"/>
    <cellStyle name="Style 49" xfId="8292"/>
    <cellStyle name="Style 49 2" xfId="8293"/>
    <cellStyle name="Style 49 2 2" xfId="8294"/>
    <cellStyle name="Style 49 3" xfId="8295"/>
    <cellStyle name="Style 50" xfId="8296"/>
    <cellStyle name="Style 50 2" xfId="8297"/>
    <cellStyle name="Style 50 2 2" xfId="8298"/>
    <cellStyle name="Style 50 3" xfId="8299"/>
    <cellStyle name="Style 50 3 2" xfId="8300"/>
    <cellStyle name="Style 50 4" xfId="8301"/>
    <cellStyle name="Style 51" xfId="8302"/>
    <cellStyle name="Style 51 2" xfId="8303"/>
    <cellStyle name="Style 51 2 2" xfId="8304"/>
    <cellStyle name="Style 51 3" xfId="8305"/>
    <cellStyle name="Style 52" xfId="8306"/>
    <cellStyle name="Style 52 2" xfId="8307"/>
    <cellStyle name="Style 52 2 2" xfId="8308"/>
    <cellStyle name="Style 52 3" xfId="8309"/>
    <cellStyle name="Style 58" xfId="8310"/>
    <cellStyle name="Style 58 2" xfId="8311"/>
    <cellStyle name="Style 58 2 2" xfId="8312"/>
    <cellStyle name="Style 58 3" xfId="8313"/>
    <cellStyle name="Style 58 3 2" xfId="8314"/>
    <cellStyle name="Style 58 4" xfId="8315"/>
    <cellStyle name="Style 59" xfId="8316"/>
    <cellStyle name="Style 59 2" xfId="8317"/>
    <cellStyle name="Style 59 2 2" xfId="8318"/>
    <cellStyle name="Style 59 3" xfId="8319"/>
    <cellStyle name="Style 60" xfId="8320"/>
    <cellStyle name="Style 60 2" xfId="8321"/>
    <cellStyle name="Style 60 2 2" xfId="8322"/>
    <cellStyle name="Style 60 3" xfId="8323"/>
    <cellStyle name="Style 61" xfId="8324"/>
    <cellStyle name="Style 61 2" xfId="8325"/>
    <cellStyle name="Style 61 2 2" xfId="8326"/>
    <cellStyle name="Style 61 3" xfId="8327"/>
    <cellStyle name="Style 62" xfId="8328"/>
    <cellStyle name="Style 62 2" xfId="8329"/>
    <cellStyle name="Style 62 2 2" xfId="8330"/>
    <cellStyle name="Style 62 3" xfId="8331"/>
    <cellStyle name="Style 62 3 2" xfId="8332"/>
    <cellStyle name="Style 62 4" xfId="8333"/>
    <cellStyle name="Style 63" xfId="8334"/>
    <cellStyle name="Style 63 2" xfId="8335"/>
    <cellStyle name="Style 63 2 2" xfId="8336"/>
    <cellStyle name="Style 63 3" xfId="8337"/>
    <cellStyle name="Style 64" xfId="8338"/>
    <cellStyle name="Style 64 2" xfId="8339"/>
    <cellStyle name="Style 64 2 2" xfId="8340"/>
    <cellStyle name="Style 64 3" xfId="8341"/>
    <cellStyle name="Style 69" xfId="8342"/>
    <cellStyle name="Style 69 2" xfId="8343"/>
    <cellStyle name="Style 69 2 2" xfId="8344"/>
    <cellStyle name="Style 69 3" xfId="8345"/>
    <cellStyle name="Style 69 3 2" xfId="8346"/>
    <cellStyle name="Style 69 4" xfId="8347"/>
    <cellStyle name="Style 70" xfId="8348"/>
    <cellStyle name="Style 70 2" xfId="8349"/>
    <cellStyle name="Style 70 2 2" xfId="8350"/>
    <cellStyle name="Style 70 3" xfId="8351"/>
    <cellStyle name="Style 71" xfId="8352"/>
    <cellStyle name="Style 71 2" xfId="8353"/>
    <cellStyle name="Style 71 2 2" xfId="8354"/>
    <cellStyle name="Style 71 3" xfId="8355"/>
    <cellStyle name="Style 72" xfId="8356"/>
    <cellStyle name="Style 72 2" xfId="8357"/>
    <cellStyle name="Style 72 2 2" xfId="8358"/>
    <cellStyle name="Style 72 3" xfId="8359"/>
    <cellStyle name="Style 73" xfId="8360"/>
    <cellStyle name="Style 73 2" xfId="8361"/>
    <cellStyle name="Style 73 2 2" xfId="8362"/>
    <cellStyle name="Style 73 3" xfId="8363"/>
    <cellStyle name="Style 73 3 2" xfId="8364"/>
    <cellStyle name="Style 73 4" xfId="8365"/>
    <cellStyle name="Style 74" xfId="8366"/>
    <cellStyle name="Style 74 2" xfId="8367"/>
    <cellStyle name="Style 74 2 2" xfId="8368"/>
    <cellStyle name="Style 74 3" xfId="8369"/>
    <cellStyle name="Style 75" xfId="8370"/>
    <cellStyle name="Style 75 2" xfId="8371"/>
    <cellStyle name="Style 75 2 2" xfId="8372"/>
    <cellStyle name="Style 75 3" xfId="8373"/>
    <cellStyle name="Style 80" xfId="8374"/>
    <cellStyle name="Style 80 2" xfId="8375"/>
    <cellStyle name="Style 80 2 2" xfId="8376"/>
    <cellStyle name="Style 80 3" xfId="8377"/>
    <cellStyle name="Style 80 3 2" xfId="8378"/>
    <cellStyle name="Style 80 4" xfId="8379"/>
    <cellStyle name="Style 81" xfId="8380"/>
    <cellStyle name="Style 81 2" xfId="8381"/>
    <cellStyle name="Style 81 2 2" xfId="8382"/>
    <cellStyle name="Style 81 3" xfId="8383"/>
    <cellStyle name="Style 81 3 2" xfId="8384"/>
    <cellStyle name="Style 81 4" xfId="8385"/>
    <cellStyle name="Style 82" xfId="8386"/>
    <cellStyle name="Style 82 2" xfId="8387"/>
    <cellStyle name="Style 82 2 2" xfId="8388"/>
    <cellStyle name="Style 82 3" xfId="8389"/>
    <cellStyle name="Style 83" xfId="8390"/>
    <cellStyle name="Style 83 2" xfId="8391"/>
    <cellStyle name="Style 83 2 2" xfId="8392"/>
    <cellStyle name="Style 83 3" xfId="8393"/>
    <cellStyle name="Style 84" xfId="8394"/>
    <cellStyle name="Style 84 2" xfId="8395"/>
    <cellStyle name="Style 84 2 2" xfId="8396"/>
    <cellStyle name="Style 84 3" xfId="8397"/>
    <cellStyle name="Style 85" xfId="8398"/>
    <cellStyle name="Style 85 2" xfId="8399"/>
    <cellStyle name="Style 85 2 2" xfId="8400"/>
    <cellStyle name="Style 85 3" xfId="8401"/>
    <cellStyle name="Style 85 3 2" xfId="8402"/>
    <cellStyle name="Style 85 4" xfId="8403"/>
    <cellStyle name="Style 86" xfId="8404"/>
    <cellStyle name="Style 86 2" xfId="8405"/>
    <cellStyle name="Style 86 2 2" xfId="8406"/>
    <cellStyle name="Style 86 3" xfId="8407"/>
    <cellStyle name="Style 87" xfId="8408"/>
    <cellStyle name="Style 87 2" xfId="8409"/>
    <cellStyle name="Style 87 2 2" xfId="8410"/>
    <cellStyle name="Style 87 3" xfId="8411"/>
    <cellStyle name="Style 93" xfId="8412"/>
    <cellStyle name="Style 93 2" xfId="8413"/>
    <cellStyle name="Style 93 2 2" xfId="8414"/>
    <cellStyle name="Style 93 3" xfId="8415"/>
    <cellStyle name="Style 93 3 2" xfId="8416"/>
    <cellStyle name="Style 93 4" xfId="8417"/>
    <cellStyle name="Style 94" xfId="8418"/>
    <cellStyle name="Style 94 2" xfId="8419"/>
    <cellStyle name="Style 94 2 2" xfId="8420"/>
    <cellStyle name="Style 94 3" xfId="8421"/>
    <cellStyle name="Style 95" xfId="8422"/>
    <cellStyle name="Style 95 2" xfId="8423"/>
    <cellStyle name="Style 95 2 2" xfId="8424"/>
    <cellStyle name="Style 95 3" xfId="8425"/>
    <cellStyle name="Style 96" xfId="8426"/>
    <cellStyle name="Style 96 2" xfId="8427"/>
    <cellStyle name="Style 96 2 2" xfId="8428"/>
    <cellStyle name="Style 96 3" xfId="8429"/>
    <cellStyle name="Style 97" xfId="8430"/>
    <cellStyle name="Style 97 2" xfId="8431"/>
    <cellStyle name="Style 97 2 2" xfId="8432"/>
    <cellStyle name="Style 97 3" xfId="8433"/>
    <cellStyle name="Style 97 3 2" xfId="8434"/>
    <cellStyle name="Style 97 4" xfId="8435"/>
    <cellStyle name="Style 98" xfId="8436"/>
    <cellStyle name="Style 98 2" xfId="8437"/>
    <cellStyle name="Style 98 2 2" xfId="8438"/>
    <cellStyle name="Style 98 3" xfId="8439"/>
    <cellStyle name="Style 99" xfId="8440"/>
    <cellStyle name="Style 99 2" xfId="8441"/>
    <cellStyle name="Style 99 2 2" xfId="8442"/>
    <cellStyle name="Style 99 3" xfId="8443"/>
    <cellStyle name="Számítás" xfId="8444"/>
    <cellStyle name="tableau | cellule | normal | decimal 1" xfId="8445"/>
    <cellStyle name="tableau | cellule | normal | decimal 1 2" xfId="8446"/>
    <cellStyle name="tableau | cellule | normal | decimal 1 2 2" xfId="8447"/>
    <cellStyle name="tableau | cellule | normal | pourcentage | decimal 1" xfId="8448"/>
    <cellStyle name="tableau | cellule | normal | pourcentage | decimal 1 2" xfId="8449"/>
    <cellStyle name="tableau | cellule | normal | pourcentage | decimal 1 2 2" xfId="8450"/>
    <cellStyle name="tableau | cellule | total | decimal 1" xfId="8451"/>
    <cellStyle name="tableau | cellule | total | decimal 1 2" xfId="8452"/>
    <cellStyle name="tableau | cellule | total | decimal 1 2 2" xfId="8453"/>
    <cellStyle name="tableau | coin superieur gauche" xfId="8454"/>
    <cellStyle name="tableau | coin superieur gauche 2" xfId="8455"/>
    <cellStyle name="tableau | coin superieur gauche 2 2" xfId="8456"/>
    <cellStyle name="tableau | entete-colonne | series" xfId="8457"/>
    <cellStyle name="tableau | entete-colonne | series 2" xfId="8458"/>
    <cellStyle name="tableau | entete-colonne | series 2 2" xfId="8459"/>
    <cellStyle name="tableau | entete-ligne | normal" xfId="8460"/>
    <cellStyle name="tableau | entete-ligne | normal 2" xfId="8461"/>
    <cellStyle name="tableau | entete-ligne | normal 2 2" xfId="8462"/>
    <cellStyle name="tableau | entete-ligne | total" xfId="8463"/>
    <cellStyle name="tableau | entete-ligne | total 2" xfId="8464"/>
    <cellStyle name="tableau | entete-ligne | total 2 2" xfId="8465"/>
    <cellStyle name="tableau | ligne-titre | niveau1" xfId="8466"/>
    <cellStyle name="tableau | ligne-titre | niveau1 2" xfId="8467"/>
    <cellStyle name="tableau | ligne-titre | niveau1 2 2" xfId="8468"/>
    <cellStyle name="tableau | ligne-titre | niveau2" xfId="8469"/>
    <cellStyle name="tableau | ligne-titre | niveau2 2" xfId="8470"/>
    <cellStyle name="tableau | ligne-titre | niveau2 2 2" xfId="8471"/>
    <cellStyle name="Title 10" xfId="8472"/>
    <cellStyle name="Title 10 2" xfId="8473"/>
    <cellStyle name="Title 11" xfId="8474"/>
    <cellStyle name="Title 11 2" xfId="8475"/>
    <cellStyle name="Title 12" xfId="8476"/>
    <cellStyle name="Title 12 2" xfId="8477"/>
    <cellStyle name="Title 13" xfId="8478"/>
    <cellStyle name="Title 13 2" xfId="8479"/>
    <cellStyle name="Title 14" xfId="8480"/>
    <cellStyle name="Title 14 2" xfId="8481"/>
    <cellStyle name="Title 15" xfId="8482"/>
    <cellStyle name="Title 15 2" xfId="8483"/>
    <cellStyle name="Title 16" xfId="8484"/>
    <cellStyle name="Title 16 2" xfId="8485"/>
    <cellStyle name="Title 17" xfId="8486"/>
    <cellStyle name="Title 17 2" xfId="8487"/>
    <cellStyle name="Title 18" xfId="8488"/>
    <cellStyle name="Title 18 2" xfId="8489"/>
    <cellStyle name="Title 19" xfId="8490"/>
    <cellStyle name="Title 19 2" xfId="8491"/>
    <cellStyle name="Title 2" xfId="8492"/>
    <cellStyle name="Title 2 10" xfId="8493"/>
    <cellStyle name="Title 2 10 2" xfId="8494"/>
    <cellStyle name="Title 2 10 3" xfId="8495"/>
    <cellStyle name="Title 2 11" xfId="8496"/>
    <cellStyle name="Title 2 11 2" xfId="8497"/>
    <cellStyle name="Title 2 2" xfId="8498"/>
    <cellStyle name="Title 2 2 2" xfId="8499"/>
    <cellStyle name="Title 2 2 2 2" xfId="8500"/>
    <cellStyle name="Title 2 2 3" xfId="8501"/>
    <cellStyle name="Title 2 2 4" xfId="8502"/>
    <cellStyle name="Title 2 3" xfId="8503"/>
    <cellStyle name="Title 2 3 2" xfId="8504"/>
    <cellStyle name="Title 2 3 3" xfId="8505"/>
    <cellStyle name="Title 2 4" xfId="8506"/>
    <cellStyle name="Title 2 4 2" xfId="8507"/>
    <cellStyle name="Title 2 4 3" xfId="8508"/>
    <cellStyle name="Title 2 5" xfId="8509"/>
    <cellStyle name="Title 2 5 2" xfId="8510"/>
    <cellStyle name="Title 2 5 3" xfId="8511"/>
    <cellStyle name="Title 2 6" xfId="8512"/>
    <cellStyle name="Title 2 6 2" xfId="8513"/>
    <cellStyle name="Title 2 6 3" xfId="8514"/>
    <cellStyle name="Title 2 7" xfId="8515"/>
    <cellStyle name="Title 2 7 2" xfId="8516"/>
    <cellStyle name="Title 2 7 3" xfId="8517"/>
    <cellStyle name="Title 2 8" xfId="8518"/>
    <cellStyle name="Title 2 8 2" xfId="8519"/>
    <cellStyle name="Title 2 8 3" xfId="8520"/>
    <cellStyle name="Title 2 9" xfId="8521"/>
    <cellStyle name="Title 2 9 2" xfId="8522"/>
    <cellStyle name="Title 2 9 3" xfId="8523"/>
    <cellStyle name="Title 20" xfId="8524"/>
    <cellStyle name="Title 20 2" xfId="8525"/>
    <cellStyle name="Title 21" xfId="8526"/>
    <cellStyle name="Title 21 2" xfId="8527"/>
    <cellStyle name="Title 22" xfId="8528"/>
    <cellStyle name="Title 22 2" xfId="8529"/>
    <cellStyle name="Title 23" xfId="8530"/>
    <cellStyle name="Title 23 2" xfId="8531"/>
    <cellStyle name="Title 24" xfId="8532"/>
    <cellStyle name="Title 24 2" xfId="8533"/>
    <cellStyle name="Title 25" xfId="8534"/>
    <cellStyle name="Title 25 2" xfId="8535"/>
    <cellStyle name="Title 26" xfId="8536"/>
    <cellStyle name="Title 26 2" xfId="8537"/>
    <cellStyle name="Title 27" xfId="8538"/>
    <cellStyle name="Title 27 2" xfId="8539"/>
    <cellStyle name="Title 28" xfId="8540"/>
    <cellStyle name="Title 28 2" xfId="8541"/>
    <cellStyle name="Title 29" xfId="8542"/>
    <cellStyle name="Title 29 2" xfId="8543"/>
    <cellStyle name="Title 3" xfId="8544"/>
    <cellStyle name="Title 3 2" xfId="8545"/>
    <cellStyle name="Title 3 2 2" xfId="8546"/>
    <cellStyle name="Title 3 2 3" xfId="8547"/>
    <cellStyle name="Title 3 3" xfId="8548"/>
    <cellStyle name="Title 3 3 2" xfId="8549"/>
    <cellStyle name="Title 3 4" xfId="8550"/>
    <cellStyle name="Title 3 4 2" xfId="8551"/>
    <cellStyle name="Title 3 5" xfId="8552"/>
    <cellStyle name="Title 3 5 2" xfId="8553"/>
    <cellStyle name="Title 3 6" xfId="8554"/>
    <cellStyle name="Title 30" xfId="8555"/>
    <cellStyle name="Title 30 2" xfId="8556"/>
    <cellStyle name="Title 31" xfId="8557"/>
    <cellStyle name="Title 31 2" xfId="8558"/>
    <cellStyle name="Title 32" xfId="8559"/>
    <cellStyle name="Title 32 2" xfId="8560"/>
    <cellStyle name="Title 33" xfId="8561"/>
    <cellStyle name="Title 33 2" xfId="8562"/>
    <cellStyle name="Title 34" xfId="8563"/>
    <cellStyle name="Title 34 2" xfId="8564"/>
    <cellStyle name="Title 35" xfId="8565"/>
    <cellStyle name="Title 35 2" xfId="8566"/>
    <cellStyle name="Title 36" xfId="8567"/>
    <cellStyle name="Title 36 2" xfId="8568"/>
    <cellStyle name="Title 37" xfId="8569"/>
    <cellStyle name="Title 37 2" xfId="8570"/>
    <cellStyle name="Title 38" xfId="8571"/>
    <cellStyle name="Title 38 2" xfId="8572"/>
    <cellStyle name="Title 39" xfId="8573"/>
    <cellStyle name="Title 39 2" xfId="8574"/>
    <cellStyle name="Title 4" xfId="8575"/>
    <cellStyle name="Title 4 2" xfId="8576"/>
    <cellStyle name="Title 4 2 2" xfId="8577"/>
    <cellStyle name="Title 40" xfId="8578"/>
    <cellStyle name="Title 40 2" xfId="8579"/>
    <cellStyle name="Title 41" xfId="8580"/>
    <cellStyle name="Title 41 2" xfId="8581"/>
    <cellStyle name="Title 42" xfId="8582"/>
    <cellStyle name="Title 42 2" xfId="8583"/>
    <cellStyle name="Title 43" xfId="8584"/>
    <cellStyle name="Title 43 2" xfId="8585"/>
    <cellStyle name="Title 5" xfId="8586"/>
    <cellStyle name="Title 5 2" xfId="8587"/>
    <cellStyle name="Title 5 2 2" xfId="8588"/>
    <cellStyle name="Title 6" xfId="8589"/>
    <cellStyle name="Title 6 2" xfId="8590"/>
    <cellStyle name="Title 6 2 2" xfId="8591"/>
    <cellStyle name="Title 7" xfId="8592"/>
    <cellStyle name="Title 7 2" xfId="8593"/>
    <cellStyle name="Title 8" xfId="8594"/>
    <cellStyle name="Title 8 2" xfId="8595"/>
    <cellStyle name="Title 9" xfId="8596"/>
    <cellStyle name="Title 9 2" xfId="8597"/>
    <cellStyle name="Total 10" xfId="8598"/>
    <cellStyle name="Total 10 2" xfId="8599"/>
    <cellStyle name="Total 11" xfId="8600"/>
    <cellStyle name="Total 11 2" xfId="8601"/>
    <cellStyle name="Total 12" xfId="8602"/>
    <cellStyle name="Total 12 2" xfId="8603"/>
    <cellStyle name="Total 13" xfId="8604"/>
    <cellStyle name="Total 13 2" xfId="8605"/>
    <cellStyle name="Total 14" xfId="8606"/>
    <cellStyle name="Total 14 2" xfId="8607"/>
    <cellStyle name="Total 15" xfId="8608"/>
    <cellStyle name="Total 15 2" xfId="8609"/>
    <cellStyle name="Total 16" xfId="8610"/>
    <cellStyle name="Total 16 2" xfId="8611"/>
    <cellStyle name="Total 17" xfId="8612"/>
    <cellStyle name="Total 17 2" xfId="8613"/>
    <cellStyle name="Total 18" xfId="8614"/>
    <cellStyle name="Total 18 2" xfId="8615"/>
    <cellStyle name="Total 19" xfId="8616"/>
    <cellStyle name="Total 19 2" xfId="8617"/>
    <cellStyle name="Total 2" xfId="8618"/>
    <cellStyle name="Total 2 10" xfId="8619"/>
    <cellStyle name="Total 2 10 2" xfId="8620"/>
    <cellStyle name="Total 2 10 3" xfId="8621"/>
    <cellStyle name="Total 2 11" xfId="8622"/>
    <cellStyle name="Total 2 11 2" xfId="8623"/>
    <cellStyle name="Total 2 2" xfId="8624"/>
    <cellStyle name="Total 2 2 2" xfId="8625"/>
    <cellStyle name="Total 2 2 3" xfId="8626"/>
    <cellStyle name="Total 2 3" xfId="8627"/>
    <cellStyle name="Total 2 3 2" xfId="8628"/>
    <cellStyle name="Total 2 3 3" xfId="8629"/>
    <cellStyle name="Total 2 4" xfId="8630"/>
    <cellStyle name="Total 2 4 2" xfId="8631"/>
    <cellStyle name="Total 2 4 3" xfId="8632"/>
    <cellStyle name="Total 2 5" xfId="8633"/>
    <cellStyle name="Total 2 5 2" xfId="8634"/>
    <cellStyle name="Total 2 5 3" xfId="8635"/>
    <cellStyle name="Total 2 6" xfId="8636"/>
    <cellStyle name="Total 2 6 2" xfId="8637"/>
    <cellStyle name="Total 2 6 3" xfId="8638"/>
    <cellStyle name="Total 2 7" xfId="8639"/>
    <cellStyle name="Total 2 7 2" xfId="8640"/>
    <cellStyle name="Total 2 7 3" xfId="8641"/>
    <cellStyle name="Total 2 8" xfId="8642"/>
    <cellStyle name="Total 2 8 2" xfId="8643"/>
    <cellStyle name="Total 2 8 3" xfId="8644"/>
    <cellStyle name="Total 2 9" xfId="8645"/>
    <cellStyle name="Total 2 9 2" xfId="8646"/>
    <cellStyle name="Total 2 9 3" xfId="8647"/>
    <cellStyle name="Total 20" xfId="8648"/>
    <cellStyle name="Total 20 2" xfId="8649"/>
    <cellStyle name="Total 21" xfId="8650"/>
    <cellStyle name="Total 21 2" xfId="8651"/>
    <cellStyle name="Total 22" xfId="8652"/>
    <cellStyle name="Total 22 2" xfId="8653"/>
    <cellStyle name="Total 23" xfId="8654"/>
    <cellStyle name="Total 23 2" xfId="8655"/>
    <cellStyle name="Total 24" xfId="8656"/>
    <cellStyle name="Total 24 2" xfId="8657"/>
    <cellStyle name="Total 25" xfId="8658"/>
    <cellStyle name="Total 25 2" xfId="8659"/>
    <cellStyle name="Total 26" xfId="8660"/>
    <cellStyle name="Total 26 2" xfId="8661"/>
    <cellStyle name="Total 27" xfId="8662"/>
    <cellStyle name="Total 27 2" xfId="8663"/>
    <cellStyle name="Total 28" xfId="8664"/>
    <cellStyle name="Total 28 2" xfId="8665"/>
    <cellStyle name="Total 29" xfId="8666"/>
    <cellStyle name="Total 29 2" xfId="8667"/>
    <cellStyle name="Total 3" xfId="8668"/>
    <cellStyle name="Total 3 2" xfId="8669"/>
    <cellStyle name="Total 3 2 2" xfId="8670"/>
    <cellStyle name="Total 3 2 3" xfId="8671"/>
    <cellStyle name="Total 3 3" xfId="8672"/>
    <cellStyle name="Total 3 3 2" xfId="8673"/>
    <cellStyle name="Total 3 4" xfId="8674"/>
    <cellStyle name="Total 3 4 2" xfId="8675"/>
    <cellStyle name="Total 3 5" xfId="8676"/>
    <cellStyle name="Total 3 5 2" xfId="8677"/>
    <cellStyle name="Total 3 6" xfId="8678"/>
    <cellStyle name="Total 30" xfId="8679"/>
    <cellStyle name="Total 30 2" xfId="8680"/>
    <cellStyle name="Total 31" xfId="8681"/>
    <cellStyle name="Total 31 2" xfId="8682"/>
    <cellStyle name="Total 32" xfId="8683"/>
    <cellStyle name="Total 32 2" xfId="8684"/>
    <cellStyle name="Total 33" xfId="8685"/>
    <cellStyle name="Total 33 2" xfId="8686"/>
    <cellStyle name="Total 34" xfId="8687"/>
    <cellStyle name="Total 34 2" xfId="8688"/>
    <cellStyle name="Total 35" xfId="8689"/>
    <cellStyle name="Total 35 2" xfId="8690"/>
    <cellStyle name="Total 36" xfId="8691"/>
    <cellStyle name="Total 36 2" xfId="8692"/>
    <cellStyle name="Total 37" xfId="8693"/>
    <cellStyle name="Total 37 2" xfId="8694"/>
    <cellStyle name="Total 38" xfId="8695"/>
    <cellStyle name="Total 38 2" xfId="8696"/>
    <cellStyle name="Total 39" xfId="8697"/>
    <cellStyle name="Total 39 2" xfId="8698"/>
    <cellStyle name="Total 4" xfId="8699"/>
    <cellStyle name="Total 4 2" xfId="8700"/>
    <cellStyle name="Total 4 2 2" xfId="8701"/>
    <cellStyle name="Total 40" xfId="8702"/>
    <cellStyle name="Total 40 2" xfId="8703"/>
    <cellStyle name="Total 41" xfId="8704"/>
    <cellStyle name="Total 41 2" xfId="8705"/>
    <cellStyle name="Total 42" xfId="8706"/>
    <cellStyle name="Total 42 2" xfId="8707"/>
    <cellStyle name="Total 5" xfId="8708"/>
    <cellStyle name="Total 5 2" xfId="8709"/>
    <cellStyle name="Total 5 2 2" xfId="8710"/>
    <cellStyle name="Total 6" xfId="8711"/>
    <cellStyle name="Total 6 2" xfId="8712"/>
    <cellStyle name="Total 7" xfId="8713"/>
    <cellStyle name="Total 7 2" xfId="8714"/>
    <cellStyle name="Total 8" xfId="8715"/>
    <cellStyle name="Total 8 2" xfId="8716"/>
    <cellStyle name="Total 9" xfId="8717"/>
    <cellStyle name="Total 9 2" xfId="8718"/>
    <cellStyle name="Überschrift" xfId="8719"/>
    <cellStyle name="Überschrift 1" xfId="8720"/>
    <cellStyle name="Überschrift 1 2" xfId="8721"/>
    <cellStyle name="Überschrift 2" xfId="8722"/>
    <cellStyle name="Überschrift 2 2" xfId="8723"/>
    <cellStyle name="Überschrift 3" xfId="8724"/>
    <cellStyle name="Überschrift 3 2" xfId="8725"/>
    <cellStyle name="Überschrift 4" xfId="8726"/>
    <cellStyle name="Überschrift 4 2" xfId="8727"/>
    <cellStyle name="Überschrift 5" xfId="8728"/>
    <cellStyle name="Valuutta_Layo9704" xfId="8729"/>
    <cellStyle name="Verknüpfte Zelle" xfId="8730"/>
    <cellStyle name="Verknüpfte Zelle 2" xfId="8731"/>
    <cellStyle name="Warnender Text" xfId="8732"/>
    <cellStyle name="Warnender Text 2" xfId="8733"/>
    <cellStyle name="Warning Text 10" xfId="8734"/>
    <cellStyle name="Warning Text 10 2" xfId="8735"/>
    <cellStyle name="Warning Text 11" xfId="8736"/>
    <cellStyle name="Warning Text 11 2" xfId="8737"/>
    <cellStyle name="Warning Text 12" xfId="8738"/>
    <cellStyle name="Warning Text 12 2" xfId="8739"/>
    <cellStyle name="Warning Text 13" xfId="8740"/>
    <cellStyle name="Warning Text 13 2" xfId="8741"/>
    <cellStyle name="Warning Text 14" xfId="8742"/>
    <cellStyle name="Warning Text 14 2" xfId="8743"/>
    <cellStyle name="Warning Text 15" xfId="8744"/>
    <cellStyle name="Warning Text 15 2" xfId="8745"/>
    <cellStyle name="Warning Text 16" xfId="8746"/>
    <cellStyle name="Warning Text 16 2" xfId="8747"/>
    <cellStyle name="Warning Text 17" xfId="8748"/>
    <cellStyle name="Warning Text 17 2" xfId="8749"/>
    <cellStyle name="Warning Text 18" xfId="8750"/>
    <cellStyle name="Warning Text 18 2" xfId="8751"/>
    <cellStyle name="Warning Text 19" xfId="8752"/>
    <cellStyle name="Warning Text 19 2" xfId="8753"/>
    <cellStyle name="Warning Text 2" xfId="8754"/>
    <cellStyle name="Warning Text 2 10" xfId="8755"/>
    <cellStyle name="Warning Text 2 10 2" xfId="8756"/>
    <cellStyle name="Warning Text 2 10 3" xfId="8757"/>
    <cellStyle name="Warning Text 2 11" xfId="8758"/>
    <cellStyle name="Warning Text 2 11 2" xfId="8759"/>
    <cellStyle name="Warning Text 2 2" xfId="8760"/>
    <cellStyle name="Warning Text 2 2 2" xfId="8761"/>
    <cellStyle name="Warning Text 2 2 3" xfId="8762"/>
    <cellStyle name="Warning Text 2 3" xfId="8763"/>
    <cellStyle name="Warning Text 2 3 2" xfId="8764"/>
    <cellStyle name="Warning Text 2 3 3" xfId="8765"/>
    <cellStyle name="Warning Text 2 4" xfId="8766"/>
    <cellStyle name="Warning Text 2 4 2" xfId="8767"/>
    <cellStyle name="Warning Text 2 4 3" xfId="8768"/>
    <cellStyle name="Warning Text 2 5" xfId="8769"/>
    <cellStyle name="Warning Text 2 5 2" xfId="8770"/>
    <cellStyle name="Warning Text 2 5 3" xfId="8771"/>
    <cellStyle name="Warning Text 2 6" xfId="8772"/>
    <cellStyle name="Warning Text 2 6 2" xfId="8773"/>
    <cellStyle name="Warning Text 2 6 3" xfId="8774"/>
    <cellStyle name="Warning Text 2 7" xfId="8775"/>
    <cellStyle name="Warning Text 2 7 2" xfId="8776"/>
    <cellStyle name="Warning Text 2 7 3" xfId="8777"/>
    <cellStyle name="Warning Text 2 8" xfId="8778"/>
    <cellStyle name="Warning Text 2 8 2" xfId="8779"/>
    <cellStyle name="Warning Text 2 8 3" xfId="8780"/>
    <cellStyle name="Warning Text 2 9" xfId="8781"/>
    <cellStyle name="Warning Text 2 9 2" xfId="8782"/>
    <cellStyle name="Warning Text 2 9 3" xfId="8783"/>
    <cellStyle name="Warning Text 20" xfId="8784"/>
    <cellStyle name="Warning Text 20 2" xfId="8785"/>
    <cellStyle name="Warning Text 21" xfId="8786"/>
    <cellStyle name="Warning Text 21 2" xfId="8787"/>
    <cellStyle name="Warning Text 22" xfId="8788"/>
    <cellStyle name="Warning Text 22 2" xfId="8789"/>
    <cellStyle name="Warning Text 23" xfId="8790"/>
    <cellStyle name="Warning Text 23 2" xfId="8791"/>
    <cellStyle name="Warning Text 24" xfId="8792"/>
    <cellStyle name="Warning Text 24 2" xfId="8793"/>
    <cellStyle name="Warning Text 25" xfId="8794"/>
    <cellStyle name="Warning Text 25 2" xfId="8795"/>
    <cellStyle name="Warning Text 26" xfId="8796"/>
    <cellStyle name="Warning Text 26 2" xfId="8797"/>
    <cellStyle name="Warning Text 27" xfId="8798"/>
    <cellStyle name="Warning Text 27 2" xfId="8799"/>
    <cellStyle name="Warning Text 28" xfId="8800"/>
    <cellStyle name="Warning Text 28 2" xfId="8801"/>
    <cellStyle name="Warning Text 29" xfId="8802"/>
    <cellStyle name="Warning Text 29 2" xfId="8803"/>
    <cellStyle name="Warning Text 3" xfId="8804"/>
    <cellStyle name="Warning Text 3 2" xfId="8805"/>
    <cellStyle name="Warning Text 3 2 2" xfId="8806"/>
    <cellStyle name="Warning Text 3 3" xfId="8807"/>
    <cellStyle name="Warning Text 3 3 2" xfId="8808"/>
    <cellStyle name="Warning Text 30" xfId="8809"/>
    <cellStyle name="Warning Text 30 2" xfId="8810"/>
    <cellStyle name="Warning Text 31" xfId="8811"/>
    <cellStyle name="Warning Text 31 2" xfId="8812"/>
    <cellStyle name="Warning Text 32" xfId="8813"/>
    <cellStyle name="Warning Text 32 2" xfId="8814"/>
    <cellStyle name="Warning Text 33" xfId="8815"/>
    <cellStyle name="Warning Text 33 2" xfId="8816"/>
    <cellStyle name="Warning Text 34" xfId="8817"/>
    <cellStyle name="Warning Text 34 2" xfId="8818"/>
    <cellStyle name="Warning Text 35" xfId="8819"/>
    <cellStyle name="Warning Text 35 2" xfId="8820"/>
    <cellStyle name="Warning Text 36" xfId="8821"/>
    <cellStyle name="Warning Text 36 2" xfId="8822"/>
    <cellStyle name="Warning Text 37" xfId="8823"/>
    <cellStyle name="Warning Text 37 2" xfId="8824"/>
    <cellStyle name="Warning Text 38" xfId="8825"/>
    <cellStyle name="Warning Text 38 2" xfId="8826"/>
    <cellStyle name="Warning Text 39" xfId="8827"/>
    <cellStyle name="Warning Text 39 2" xfId="8828"/>
    <cellStyle name="Warning Text 4" xfId="8829"/>
    <cellStyle name="Warning Text 4 2" xfId="8830"/>
    <cellStyle name="Warning Text 4 2 2" xfId="8831"/>
    <cellStyle name="Warning Text 40" xfId="8832"/>
    <cellStyle name="Warning Text 40 2" xfId="8833"/>
    <cellStyle name="Warning Text 41" xfId="8834"/>
    <cellStyle name="Warning Text 41 2" xfId="8835"/>
    <cellStyle name="Warning Text 5" xfId="8836"/>
    <cellStyle name="Warning Text 5 2" xfId="8837"/>
    <cellStyle name="Warning Text 5 2 2" xfId="8838"/>
    <cellStyle name="Warning Text 6" xfId="8839"/>
    <cellStyle name="Warning Text 6 2" xfId="8840"/>
    <cellStyle name="Warning Text 7" xfId="8841"/>
    <cellStyle name="Warning Text 7 2" xfId="8842"/>
    <cellStyle name="Warning Text 8" xfId="8843"/>
    <cellStyle name="Warning Text 8 2" xfId="8844"/>
    <cellStyle name="Warning Text 9" xfId="8845"/>
    <cellStyle name="Warning Text 9 2" xfId="8846"/>
    <cellStyle name="Zelle überprüfen" xfId="8847"/>
    <cellStyle name="Zelle überprüfen 2" xfId="8848"/>
    <cellStyle name="Гиперссылка" xfId="8849"/>
    <cellStyle name="Гиперссылка 2" xfId="8850"/>
    <cellStyle name="Обычный_2++" xfId="8851"/>
    <cellStyle name="已访问的超链接" xfId="8852"/>
    <cellStyle name="已访问的超链接 2" xfId="8853"/>
    <cellStyle name="已访问的超链接 2 2" xfId="8854"/>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0.224413799148769</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1.12647587344601</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0.352984554914469</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2.72694349322097</v>
          </cell>
        </row>
      </sheetData>
      <sheetData sheetId="27"/>
      <sheetData sheetId="28"/>
      <sheetData sheetId="29"/>
      <sheetData sheetId="30"/>
      <sheetData sheetId="31"/>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LIFE_n_OM"/>
      <sheetName val="Wrong-bvkmPerPJ_EFF"/>
      <sheetName val="mvkmPerTJ_EFF"/>
      <sheetName val="Electric_vehecle"/>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 val="Sheet1"/>
    </sheetNames>
    <sheetDataSet>
      <sheetData sheetId="0"/>
      <sheetData sheetId="1"/>
      <sheetData sheetId="2"/>
      <sheetData sheetId="3">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94">
          <cell r="D94">
            <v>0.4</v>
          </cell>
        </row>
      </sheetData>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0.516272634667721</v>
          </cell>
          <cell r="E22">
            <v>0.559220679012344</v>
          </cell>
          <cell r="F22">
            <v>0.583743315508021</v>
          </cell>
          <cell r="G22">
            <v>0.534553775743705</v>
          </cell>
          <cell r="H22">
            <v>0.566877303844128</v>
          </cell>
          <cell r="I22">
            <v>0.581632653061224</v>
          </cell>
          <cell r="J22">
            <v>0.576731220657277</v>
          </cell>
        </row>
        <row r="23">
          <cell r="D23">
            <v>0.516272634667721</v>
          </cell>
          <cell r="E23">
            <v>0.559220679012344</v>
          </cell>
          <cell r="F23">
            <v>0.583743315508021</v>
          </cell>
          <cell r="G23">
            <v>0.534553775743705</v>
          </cell>
          <cell r="H23">
            <v>0.566877303844128</v>
          </cell>
          <cell r="I23">
            <v>0.581632653061224</v>
          </cell>
          <cell r="J23">
            <v>0.576731220657277</v>
          </cell>
        </row>
        <row r="24">
          <cell r="D24">
            <v>0.516272634667721</v>
          </cell>
          <cell r="E24">
            <v>0.559220679012344</v>
          </cell>
          <cell r="F24">
            <v>0.583743315508021</v>
          </cell>
          <cell r="G24">
            <v>0.534553775743705</v>
          </cell>
          <cell r="H24">
            <v>0.566877303844128</v>
          </cell>
          <cell r="I24">
            <v>0.581632653061224</v>
          </cell>
          <cell r="J24">
            <v>0.576731220657277</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v>
          </cell>
        </row>
      </sheetData>
      <sheetData sheetId="7"/>
      <sheetData sheetId="8">
        <row r="199">
          <cell r="O199">
            <v>1</v>
          </cell>
        </row>
        <row r="200">
          <cell r="O200">
            <v>1</v>
          </cell>
        </row>
        <row r="201">
          <cell r="O201">
            <v>1</v>
          </cell>
        </row>
        <row r="202">
          <cell r="O202">
            <v>1</v>
          </cell>
        </row>
        <row r="203">
          <cell r="O203">
            <v>1</v>
          </cell>
        </row>
        <row r="204">
          <cell r="O204">
            <v>1</v>
          </cell>
        </row>
      </sheetData>
      <sheetData sheetId="9"/>
      <sheetData sheetId="10"/>
      <sheetData sheetId="11"/>
      <sheetData sheetId="12"/>
      <sheetData sheetId="13">
        <row r="199">
          <cell r="O199">
            <v>0.198483654420798</v>
          </cell>
        </row>
        <row r="200">
          <cell r="O200">
            <v>0.469468493403833</v>
          </cell>
        </row>
        <row r="201">
          <cell r="O201">
            <v>0.183615708905633</v>
          </cell>
        </row>
        <row r="202">
          <cell r="O202">
            <v>0.183615708905633</v>
          </cell>
        </row>
        <row r="203">
          <cell r="O203">
            <v>0.294153795762057</v>
          </cell>
        </row>
        <row r="204">
          <cell r="O204">
            <v>0.619201122080021</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79">
          <cell r="U79">
            <v>0.0134159728442635</v>
          </cell>
        </row>
        <row r="80">
          <cell r="U80">
            <v>0.0134159728442635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51" zoomScaleNormal="51" topLeftCell="J1" workbookViewId="0">
      <pane ySplit="5" topLeftCell="A6" activePane="bottomLeft" state="frozen"/>
      <selection/>
      <selection pane="bottomLeft" activeCell="I117" sqref="I117"/>
    </sheetView>
  </sheetViews>
  <sheetFormatPr defaultColWidth="9" defaultRowHeight="14.5"/>
  <cols>
    <col min="2" max="2" width="255.636363636364" customWidth="1"/>
    <col min="3" max="3" width="38.6363636363636" customWidth="1"/>
    <col min="6" max="6" width="19" customWidth="1"/>
    <col min="7" max="7" width="9" style="41"/>
    <col min="8" max="9" width="9"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88" t="s">
        <v>1</v>
      </c>
      <c r="AO1" s="190" t="s">
        <v>2</v>
      </c>
      <c r="AP1" s="58"/>
    </row>
    <row r="2" ht="36" customHeight="1" spans="2:42">
      <c r="B2" t="s">
        <v>3</v>
      </c>
      <c r="J2" s="42" t="s">
        <v>4</v>
      </c>
      <c r="K2" s="176"/>
      <c r="Q2" s="180" t="s">
        <v>5</v>
      </c>
      <c r="AN2" s="58" t="s">
        <v>6</v>
      </c>
      <c r="AO2" s="58" t="s">
        <v>7</v>
      </c>
      <c r="AP2" s="58" t="s">
        <v>8</v>
      </c>
    </row>
    <row r="3" ht="47" customHeight="1" spans="2:42">
      <c r="B3" s="171" t="s">
        <v>9</v>
      </c>
      <c r="AN3" s="189">
        <v>0.096</v>
      </c>
      <c r="AO3" s="189">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ht="15.2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72">
        <v>0.6</v>
      </c>
      <c r="I6" s="172"/>
      <c r="J6" s="118"/>
      <c r="K6" s="177">
        <f>(6520/(105/3.412)*1)*574/157</f>
        <v>774.603685774947</v>
      </c>
      <c r="L6" s="177">
        <f>80/(105/3.412)*1</f>
        <v>2.59961904761905</v>
      </c>
      <c r="M6" s="178">
        <f>K6</f>
        <v>774.603685774947</v>
      </c>
      <c r="N6" s="178">
        <f>L6</f>
        <v>2.59961904761905</v>
      </c>
      <c r="O6" s="178">
        <f>M6</f>
        <v>774.603685774947</v>
      </c>
      <c r="P6" s="178">
        <f>L6</f>
        <v>2.59961904761905</v>
      </c>
      <c r="Q6" s="181">
        <f>(20+33)/2</f>
        <v>26.5</v>
      </c>
      <c r="R6" s="182">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72">
        <v>0.78</v>
      </c>
      <c r="I7" s="172"/>
      <c r="J7" s="118"/>
      <c r="K7" s="178">
        <f>K6</f>
        <v>774.603685774947</v>
      </c>
      <c r="L7" s="178">
        <f t="shared" ref="L7:Q7" si="1">L6</f>
        <v>2.59961904761905</v>
      </c>
      <c r="M7" s="178">
        <f t="shared" ref="M7:M23" si="2">K7</f>
        <v>774.603685774947</v>
      </c>
      <c r="N7" s="178">
        <f t="shared" si="1"/>
        <v>2.59961904761905</v>
      </c>
      <c r="O7" s="178">
        <f t="shared" ref="O7:O23" si="3">M7</f>
        <v>774.603685774947</v>
      </c>
      <c r="P7" s="178">
        <f t="shared" si="1"/>
        <v>2.59961904761905</v>
      </c>
      <c r="Q7" s="181">
        <f t="shared" si="1"/>
        <v>26.5</v>
      </c>
      <c r="R7" s="182">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72">
        <v>0.85</v>
      </c>
      <c r="I8" s="172"/>
      <c r="J8" s="118"/>
      <c r="K8" s="178">
        <f>K7</f>
        <v>774.603685774947</v>
      </c>
      <c r="L8" s="178">
        <f>L7</f>
        <v>2.59961904761905</v>
      </c>
      <c r="M8" s="178">
        <f t="shared" si="2"/>
        <v>774.603685774947</v>
      </c>
      <c r="N8" s="178">
        <f>N7</f>
        <v>2.59961904761905</v>
      </c>
      <c r="O8" s="178">
        <f t="shared" si="3"/>
        <v>774.603685774947</v>
      </c>
      <c r="P8" s="178">
        <f t="shared" ref="P8:P11" si="4">P7</f>
        <v>2.59961904761905</v>
      </c>
      <c r="Q8" s="181">
        <f>Q7</f>
        <v>26.5</v>
      </c>
      <c r="R8" s="182">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72">
        <v>0.62</v>
      </c>
      <c r="I9" s="172"/>
      <c r="J9" s="118"/>
      <c r="K9" s="135">
        <f>AY16</f>
        <v>573.73785</v>
      </c>
      <c r="L9" s="135">
        <f>60/10</f>
        <v>6</v>
      </c>
      <c r="M9" s="102">
        <f t="shared" si="2"/>
        <v>573.73785</v>
      </c>
      <c r="N9" s="135">
        <f>L9</f>
        <v>6</v>
      </c>
      <c r="O9" s="102">
        <f t="shared" si="3"/>
        <v>573.73785</v>
      </c>
      <c r="P9" s="135">
        <f>N9</f>
        <v>6</v>
      </c>
      <c r="Q9" s="183">
        <v>22</v>
      </c>
      <c r="R9" s="182">
        <v>31.54</v>
      </c>
      <c r="S9">
        <v>1</v>
      </c>
      <c r="V9" s="53"/>
      <c r="W9" t="s">
        <v>43</v>
      </c>
      <c r="X9" s="53"/>
      <c r="Y9" s="53" t="s">
        <v>39</v>
      </c>
      <c r="Z9" s="53" t="s">
        <v>40</v>
      </c>
      <c r="AA9" s="53"/>
      <c r="AB9" s="53"/>
      <c r="AC9" s="53"/>
    </row>
    <row r="10" spans="3:29">
      <c r="C10" t="s">
        <v>45</v>
      </c>
      <c r="D10" t="s">
        <v>44</v>
      </c>
      <c r="F10" t="s">
        <v>37</v>
      </c>
      <c r="G10" s="41">
        <v>2021</v>
      </c>
      <c r="H10" s="172">
        <v>0.8</v>
      </c>
      <c r="I10" s="172"/>
      <c r="J10" s="118"/>
      <c r="K10" s="102">
        <f t="shared" ref="K10:N10" si="5">K9</f>
        <v>573.73785</v>
      </c>
      <c r="L10" s="135">
        <f t="shared" si="5"/>
        <v>6</v>
      </c>
      <c r="M10" s="102">
        <f t="shared" si="2"/>
        <v>573.73785</v>
      </c>
      <c r="N10" s="135">
        <f t="shared" si="5"/>
        <v>6</v>
      </c>
      <c r="O10" s="102">
        <f t="shared" si="3"/>
        <v>573.73785</v>
      </c>
      <c r="P10" s="135">
        <f t="shared" si="4"/>
        <v>6</v>
      </c>
      <c r="Q10" s="183">
        <v>22</v>
      </c>
      <c r="R10" s="182">
        <v>31.54</v>
      </c>
      <c r="S10">
        <v>1</v>
      </c>
      <c r="V10" s="53"/>
      <c r="W10" t="s">
        <v>45</v>
      </c>
      <c r="X10" s="53"/>
      <c r="Y10" s="53" t="s">
        <v>39</v>
      </c>
      <c r="Z10" s="53" t="s">
        <v>40</v>
      </c>
      <c r="AA10" s="53"/>
      <c r="AB10" s="53"/>
      <c r="AC10" s="53"/>
    </row>
    <row r="11" spans="3:29">
      <c r="C11" t="s">
        <v>46</v>
      </c>
      <c r="D11" t="s">
        <v>44</v>
      </c>
      <c r="F11" t="s">
        <v>37</v>
      </c>
      <c r="G11" s="41">
        <v>2021</v>
      </c>
      <c r="H11" s="172">
        <v>0.9</v>
      </c>
      <c r="I11" s="172"/>
      <c r="J11" s="118"/>
      <c r="K11" s="102">
        <f t="shared" ref="K11:N11" si="6">K10</f>
        <v>573.73785</v>
      </c>
      <c r="L11" s="135">
        <f t="shared" si="6"/>
        <v>6</v>
      </c>
      <c r="M11" s="102">
        <f t="shared" si="2"/>
        <v>573.73785</v>
      </c>
      <c r="N11" s="135">
        <f t="shared" si="6"/>
        <v>6</v>
      </c>
      <c r="O11" s="102">
        <f t="shared" si="3"/>
        <v>573.73785</v>
      </c>
      <c r="P11" s="135">
        <f t="shared" si="4"/>
        <v>6</v>
      </c>
      <c r="Q11" s="183">
        <v>22</v>
      </c>
      <c r="R11" s="182">
        <v>31.54</v>
      </c>
      <c r="S11">
        <v>1</v>
      </c>
      <c r="V11" s="53"/>
      <c r="W11" t="s">
        <v>46</v>
      </c>
      <c r="X11" s="53"/>
      <c r="Y11" s="53" t="s">
        <v>39</v>
      </c>
      <c r="Z11" s="53" t="s">
        <v>40</v>
      </c>
      <c r="AA11" s="53"/>
      <c r="AB11" s="53"/>
      <c r="AC11" s="53"/>
    </row>
    <row r="12" spans="3:29">
      <c r="C12" t="s">
        <v>47</v>
      </c>
      <c r="D12" t="s">
        <v>48</v>
      </c>
      <c r="F12" t="s">
        <v>37</v>
      </c>
      <c r="G12" s="41">
        <v>2021</v>
      </c>
      <c r="H12" s="172">
        <v>1</v>
      </c>
      <c r="I12" s="172"/>
      <c r="J12" s="118"/>
      <c r="K12" s="135">
        <f>AY17</f>
        <v>655.7031</v>
      </c>
      <c r="L12" s="42">
        <v>5</v>
      </c>
      <c r="M12" s="42">
        <f t="shared" si="2"/>
        <v>655.7031</v>
      </c>
      <c r="N12" s="42">
        <f t="shared" ref="N12:N13" si="7">L12</f>
        <v>5</v>
      </c>
      <c r="O12" s="42">
        <f t="shared" si="3"/>
        <v>655.7031</v>
      </c>
      <c r="P12" s="42">
        <f t="shared" ref="P12:P13" si="8">N12</f>
        <v>5</v>
      </c>
      <c r="Q12" s="181">
        <f>(15+30)/2</f>
        <v>22.5</v>
      </c>
      <c r="R12" s="182">
        <v>31.54</v>
      </c>
      <c r="S12">
        <v>1</v>
      </c>
      <c r="V12" s="53"/>
      <c r="W12" t="s">
        <v>47</v>
      </c>
      <c r="X12" s="53"/>
      <c r="Y12" s="53" t="s">
        <v>39</v>
      </c>
      <c r="Z12" s="53" t="s">
        <v>40</v>
      </c>
      <c r="AA12" s="53"/>
      <c r="AB12" s="53"/>
      <c r="AC12" s="53"/>
    </row>
    <row r="13" spans="3:29">
      <c r="C13" t="s">
        <v>49</v>
      </c>
      <c r="D13" s="1" t="s">
        <v>48</v>
      </c>
      <c r="E13" s="1"/>
      <c r="F13" t="s">
        <v>37</v>
      </c>
      <c r="G13" s="41">
        <v>2021</v>
      </c>
      <c r="H13" s="172">
        <v>1</v>
      </c>
      <c r="I13" s="172"/>
      <c r="J13" s="118"/>
      <c r="K13" s="120">
        <f>AY19</f>
        <v>1727.75295</v>
      </c>
      <c r="L13" s="42">
        <f>150/10*1</f>
        <v>15</v>
      </c>
      <c r="M13" s="42">
        <f t="shared" si="2"/>
        <v>1727.75295</v>
      </c>
      <c r="N13" s="42">
        <f t="shared" si="7"/>
        <v>15</v>
      </c>
      <c r="O13" s="42">
        <f t="shared" si="3"/>
        <v>1727.75295</v>
      </c>
      <c r="P13" s="42">
        <f t="shared" si="8"/>
        <v>15</v>
      </c>
      <c r="Q13" s="181">
        <v>15.3</v>
      </c>
      <c r="R13" s="184">
        <v>31.54</v>
      </c>
      <c r="S13" s="185">
        <v>0.33</v>
      </c>
      <c r="V13" s="53"/>
      <c r="W13" t="s">
        <v>49</v>
      </c>
      <c r="X13" s="53"/>
      <c r="Y13" s="53" t="s">
        <v>39</v>
      </c>
      <c r="Z13" s="53" t="s">
        <v>40</v>
      </c>
      <c r="AA13" s="53"/>
      <c r="AB13" s="53"/>
      <c r="AC13" s="53"/>
    </row>
    <row r="14" spans="4:41">
      <c r="D14" s="173" t="str">
        <f>[2]COMM!$E$19</f>
        <v>RSDAHT</v>
      </c>
      <c r="H14" s="172"/>
      <c r="I14" s="172"/>
      <c r="K14" s="102"/>
      <c r="L14" s="102"/>
      <c r="M14" s="102"/>
      <c r="N14" s="102"/>
      <c r="O14" s="102"/>
      <c r="P14" s="102"/>
      <c r="Q14" s="183"/>
      <c r="R14" s="182">
        <v>31.54</v>
      </c>
      <c r="S14" s="58">
        <f>1-S13</f>
        <v>0.67</v>
      </c>
      <c r="V14" s="53"/>
      <c r="W14" t="s">
        <v>18</v>
      </c>
      <c r="X14" s="53"/>
      <c r="Y14" s="53"/>
      <c r="Z14" s="53"/>
      <c r="AA14" s="53"/>
      <c r="AB14" s="53"/>
      <c r="AC14" s="53"/>
      <c r="AN14" s="190" t="s">
        <v>50</v>
      </c>
      <c r="AO14" s="190" t="s">
        <v>51</v>
      </c>
    </row>
    <row r="15" ht="29" spans="3:51">
      <c r="C15" t="s">
        <v>52</v>
      </c>
      <c r="D15" t="s">
        <v>53</v>
      </c>
      <c r="F15" t="s">
        <v>37</v>
      </c>
      <c r="G15" s="41">
        <v>2021</v>
      </c>
      <c r="H15" s="172">
        <v>0.5</v>
      </c>
      <c r="I15" s="172"/>
      <c r="K15" s="102">
        <f>K16</f>
        <v>1127.68990573248</v>
      </c>
      <c r="L15" s="102">
        <f t="shared" ref="L15:Q15" si="9">L16</f>
        <v>21.1544</v>
      </c>
      <c r="M15" s="102">
        <f t="shared" si="9"/>
        <v>1127.68990573248</v>
      </c>
      <c r="N15" s="102">
        <f t="shared" si="9"/>
        <v>21.1544</v>
      </c>
      <c r="O15" s="102">
        <f t="shared" si="9"/>
        <v>1127.68990573248</v>
      </c>
      <c r="P15" s="102">
        <f t="shared" si="9"/>
        <v>21.1544</v>
      </c>
      <c r="Q15" s="135">
        <f t="shared" si="9"/>
        <v>19</v>
      </c>
      <c r="R15" s="182">
        <v>31.54</v>
      </c>
      <c r="S15">
        <v>1</v>
      </c>
      <c r="V15" s="53"/>
      <c r="W15" t="s">
        <v>52</v>
      </c>
      <c r="X15" s="53"/>
      <c r="Y15" s="53" t="s">
        <v>39</v>
      </c>
      <c r="Z15" s="53" t="s">
        <v>40</v>
      </c>
      <c r="AA15" s="53"/>
      <c r="AB15" s="53"/>
      <c r="AC15" s="53"/>
      <c r="AN15" s="191" t="s">
        <v>54</v>
      </c>
      <c r="AO15" s="191" t="s">
        <v>55</v>
      </c>
      <c r="AP15" s="191" t="s">
        <v>56</v>
      </c>
      <c r="AQ15" s="191" t="s">
        <v>57</v>
      </c>
      <c r="AR15" s="191" t="s">
        <v>58</v>
      </c>
      <c r="AS15" s="191" t="s">
        <v>59</v>
      </c>
      <c r="AT15" s="191" t="s">
        <v>60</v>
      </c>
      <c r="AX15" s="102" t="s">
        <v>61</v>
      </c>
      <c r="AY15" s="135" t="s">
        <v>62</v>
      </c>
    </row>
    <row r="16" spans="3:51">
      <c r="C16" t="s">
        <v>63</v>
      </c>
      <c r="D16" t="s">
        <v>64</v>
      </c>
      <c r="F16" t="s">
        <v>37</v>
      </c>
      <c r="G16" s="41">
        <v>2021</v>
      </c>
      <c r="H16" s="172">
        <v>0.5</v>
      </c>
      <c r="I16" s="172"/>
      <c r="K16" s="177">
        <f>(4520/(50/3.412)*1)*574/157</f>
        <v>1127.68990573248</v>
      </c>
      <c r="L16" s="177">
        <f>310/(50/3.412)*1</f>
        <v>21.1544</v>
      </c>
      <c r="M16" s="177">
        <f>K16</f>
        <v>1127.68990573248</v>
      </c>
      <c r="N16" s="177">
        <f>L16</f>
        <v>21.1544</v>
      </c>
      <c r="O16" s="177">
        <f>M16</f>
        <v>1127.68990573248</v>
      </c>
      <c r="P16" s="177">
        <f>N16</f>
        <v>21.1544</v>
      </c>
      <c r="Q16" s="186">
        <v>19</v>
      </c>
      <c r="R16" s="182">
        <v>31.54</v>
      </c>
      <c r="S16">
        <v>1</v>
      </c>
      <c r="V16" s="53"/>
      <c r="W16" t="s">
        <v>63</v>
      </c>
      <c r="X16" s="53"/>
      <c r="Y16" s="53" t="s">
        <v>39</v>
      </c>
      <c r="Z16" s="53" t="s">
        <v>40</v>
      </c>
      <c r="AA16" s="53"/>
      <c r="AB16" s="53"/>
      <c r="AC16" s="53"/>
      <c r="AG16" s="192">
        <v>0.6</v>
      </c>
      <c r="AN16" s="193" t="s">
        <v>65</v>
      </c>
      <c r="AO16" s="197">
        <v>4500</v>
      </c>
      <c r="AP16" s="197">
        <v>6030</v>
      </c>
      <c r="AQ16" s="197">
        <v>4080</v>
      </c>
      <c r="AR16" s="197">
        <v>4850</v>
      </c>
      <c r="AS16" s="197">
        <v>3750</v>
      </c>
      <c r="AT16" s="197">
        <v>4170</v>
      </c>
      <c r="AX16">
        <f>AVERAGE(AO16:AP16)*AN3+AVERAGE(AQ16:AR16)*AO3+AVERAGE(AS16:AT16)*AP3</f>
        <v>4249.91</v>
      </c>
      <c r="AY16" s="135">
        <f>AX16/10*1.35</f>
        <v>573.73785</v>
      </c>
    </row>
    <row r="17" spans="3:51">
      <c r="C17" s="105" t="s">
        <v>66</v>
      </c>
      <c r="D17" s="105" t="s">
        <v>48</v>
      </c>
      <c r="E17" s="105"/>
      <c r="F17" t="s">
        <v>37</v>
      </c>
      <c r="G17" s="41">
        <v>2021</v>
      </c>
      <c r="H17" s="174">
        <v>0.75</v>
      </c>
      <c r="I17" s="179"/>
      <c r="K17" s="102">
        <f>AVERAGE(K16,K12)</f>
        <v>891.696502866242</v>
      </c>
      <c r="L17" s="102">
        <f>AVERAGE(L16,L12)</f>
        <v>13.0772</v>
      </c>
      <c r="M17" s="102">
        <f t="shared" si="2"/>
        <v>891.696502866242</v>
      </c>
      <c r="N17" s="102">
        <f>L17</f>
        <v>13.0772</v>
      </c>
      <c r="O17" s="102">
        <f t="shared" si="3"/>
        <v>891.696502866242</v>
      </c>
      <c r="P17" s="102">
        <f>N17</f>
        <v>13.0772</v>
      </c>
      <c r="Q17" s="181">
        <f>AVERAGE(Q16,Q12)</f>
        <v>20.75</v>
      </c>
      <c r="R17" s="182">
        <v>31.54</v>
      </c>
      <c r="S17" s="141">
        <f>'[3]TechHeat-RES-SD'!$I$161</f>
        <v>0.609756097560976</v>
      </c>
      <c r="V17" s="53"/>
      <c r="W17" s="105" t="s">
        <v>66</v>
      </c>
      <c r="X17" s="53"/>
      <c r="Y17" s="53" t="s">
        <v>39</v>
      </c>
      <c r="Z17" s="53" t="s">
        <v>40</v>
      </c>
      <c r="AA17" s="53"/>
      <c r="AB17" s="53"/>
      <c r="AC17" s="53"/>
      <c r="AG17" s="192">
        <v>0.78</v>
      </c>
      <c r="AN17" s="193" t="s">
        <v>67</v>
      </c>
      <c r="AO17" s="197">
        <v>4990</v>
      </c>
      <c r="AP17" s="197">
        <v>4990</v>
      </c>
      <c r="AQ17" s="197">
        <v>4990</v>
      </c>
      <c r="AR17" s="197">
        <v>4990</v>
      </c>
      <c r="AS17" s="197">
        <v>4760</v>
      </c>
      <c r="AT17" s="197">
        <v>4760</v>
      </c>
      <c r="AX17">
        <f>AVERAGE(AO17:AP17)*AN4+AVERAGE(AQ17:AR17)*AO4+AVERAGE(AS17:AT17)*AP4</f>
        <v>4857.06</v>
      </c>
      <c r="AY17" s="135">
        <f>AX17/10*1.35</f>
        <v>655.7031</v>
      </c>
    </row>
    <row r="18" ht="43.5" spans="4:51">
      <c r="D18" s="105" t="s">
        <v>64</v>
      </c>
      <c r="E18" s="105"/>
      <c r="H18" s="174"/>
      <c r="I18" s="179"/>
      <c r="K18" s="102"/>
      <c r="L18" s="3"/>
      <c r="M18" s="102"/>
      <c r="N18" s="3"/>
      <c r="O18" s="102"/>
      <c r="P18" s="3"/>
      <c r="Q18" s="183"/>
      <c r="R18" s="182"/>
      <c r="S18" s="141">
        <f>1-S17</f>
        <v>0.390243902439024</v>
      </c>
      <c r="V18" s="53"/>
      <c r="W18" t="s">
        <v>18</v>
      </c>
      <c r="X18" s="53"/>
      <c r="Y18" s="53"/>
      <c r="Z18" s="53"/>
      <c r="AA18" s="53"/>
      <c r="AB18" s="53"/>
      <c r="AC18" s="53"/>
      <c r="AG18" s="192">
        <v>0.85</v>
      </c>
      <c r="AN18" s="194" t="s">
        <v>68</v>
      </c>
      <c r="AO18" s="197">
        <v>7570</v>
      </c>
      <c r="AP18" s="197">
        <v>8180</v>
      </c>
      <c r="AQ18" s="197">
        <v>6200</v>
      </c>
      <c r="AR18" s="197">
        <v>6200</v>
      </c>
      <c r="AS18" s="197">
        <v>5760</v>
      </c>
      <c r="AT18" s="197">
        <v>5760</v>
      </c>
      <c r="AX18">
        <f>AVERAGE(AO18:AP18)*AN5+AVERAGE(AQ18:AR18)*AO5+AVERAGE(AS18:AT18)*AP5</f>
        <v>6106.48</v>
      </c>
      <c r="AY18" s="135">
        <f>AX18/10*1.35</f>
        <v>824.3748</v>
      </c>
    </row>
    <row r="19" ht="43.5" spans="3:51">
      <c r="C19" s="105" t="s">
        <v>69</v>
      </c>
      <c r="D19" s="105" t="s">
        <v>36</v>
      </c>
      <c r="E19" s="105"/>
      <c r="F19" t="s">
        <v>37</v>
      </c>
      <c r="G19" s="41">
        <v>2021</v>
      </c>
      <c r="H19" s="174">
        <v>0.675</v>
      </c>
      <c r="I19" s="179"/>
      <c r="K19" s="102">
        <f>AVERAGE(K6,K16)</f>
        <v>951.146795753715</v>
      </c>
      <c r="L19" s="102">
        <f>AVERAGE(L6,L16)</f>
        <v>11.8770095238095</v>
      </c>
      <c r="M19" s="102">
        <f t="shared" si="2"/>
        <v>951.146795753715</v>
      </c>
      <c r="N19" s="102">
        <f>L19</f>
        <v>11.8770095238095</v>
      </c>
      <c r="O19" s="102">
        <f t="shared" si="3"/>
        <v>951.146795753715</v>
      </c>
      <c r="P19" s="102">
        <f>N19</f>
        <v>11.8770095238095</v>
      </c>
      <c r="Q19" s="181">
        <f>AVERAGE(Q6,Q16)</f>
        <v>22.75</v>
      </c>
      <c r="R19" s="182">
        <v>31.54</v>
      </c>
      <c r="S19" s="141">
        <f>'[3]TechHeat-RES-SD'!$I$163</f>
        <v>0.238095238095238</v>
      </c>
      <c r="V19" s="53"/>
      <c r="W19" s="105" t="s">
        <v>69</v>
      </c>
      <c r="X19" s="53"/>
      <c r="Y19" s="53" t="s">
        <v>39</v>
      </c>
      <c r="Z19" s="53" t="s">
        <v>40</v>
      </c>
      <c r="AA19" s="53"/>
      <c r="AB19" s="53"/>
      <c r="AC19" s="53"/>
      <c r="AG19" s="192">
        <v>0.62</v>
      </c>
      <c r="AN19" s="193" t="s">
        <v>70</v>
      </c>
      <c r="AO19" s="197">
        <v>14840</v>
      </c>
      <c r="AP19" s="197">
        <v>19880</v>
      </c>
      <c r="AQ19" s="197">
        <v>12870</v>
      </c>
      <c r="AR19" s="197">
        <v>13260</v>
      </c>
      <c r="AS19" s="197">
        <v>11890</v>
      </c>
      <c r="AT19" s="197">
        <v>11890</v>
      </c>
      <c r="AX19">
        <f>AVERAGE(AO19:AP19)*AN6+AVERAGE(AQ19:AR19)*AO6+AVERAGE(AS19:AT19)*AP6</f>
        <v>12798.17</v>
      </c>
      <c r="AY19" s="135">
        <f>AX19/10*1.35</f>
        <v>1727.75295</v>
      </c>
    </row>
    <row r="20" ht="29" spans="4:51">
      <c r="D20" s="105" t="s">
        <v>64</v>
      </c>
      <c r="E20" s="105"/>
      <c r="H20" s="174"/>
      <c r="I20" s="179"/>
      <c r="K20" s="102"/>
      <c r="L20" s="3"/>
      <c r="M20" s="102"/>
      <c r="N20" s="3"/>
      <c r="O20" s="102"/>
      <c r="P20" s="3"/>
      <c r="Q20" s="183"/>
      <c r="R20" s="182"/>
      <c r="S20" s="141">
        <f>1-S19</f>
        <v>0.761904761904762</v>
      </c>
      <c r="V20" s="53"/>
      <c r="W20" t="s">
        <v>18</v>
      </c>
      <c r="X20" s="53"/>
      <c r="Y20" s="53"/>
      <c r="Z20" s="53"/>
      <c r="AA20" s="53"/>
      <c r="AB20" s="53"/>
      <c r="AC20" s="53"/>
      <c r="AG20" s="192">
        <v>0.8</v>
      </c>
      <c r="AN20" s="194" t="s">
        <v>71</v>
      </c>
      <c r="AO20" s="198">
        <v>880</v>
      </c>
      <c r="AP20" s="197">
        <v>1810</v>
      </c>
      <c r="AQ20" s="198">
        <v>620</v>
      </c>
      <c r="AR20" s="197">
        <v>1090</v>
      </c>
      <c r="AS20" s="198">
        <v>420</v>
      </c>
      <c r="AT20" s="198">
        <v>680</v>
      </c>
      <c r="AX20">
        <f>AVERAGE(AO20:AP20)*AN7+AVERAGE(AQ20:AR20)*AO7+AVERAGE(AS20:AT20)*AP7</f>
        <v>725.75</v>
      </c>
      <c r="AY20" s="135">
        <f>AX20/10*1.35</f>
        <v>97.97625</v>
      </c>
    </row>
    <row r="21" spans="3:46">
      <c r="C21" s="105" t="s">
        <v>72</v>
      </c>
      <c r="D21" s="105" t="s">
        <v>48</v>
      </c>
      <c r="E21" s="105"/>
      <c r="F21" t="s">
        <v>37</v>
      </c>
      <c r="G21" s="41">
        <v>2021</v>
      </c>
      <c r="H21" s="174">
        <v>0.9</v>
      </c>
      <c r="I21" s="179"/>
      <c r="K21" s="102">
        <f>AVERAGE(K12,K11)</f>
        <v>614.720475</v>
      </c>
      <c r="L21" s="102">
        <f>AVERAGE(L12,L11)</f>
        <v>5.5</v>
      </c>
      <c r="M21" s="102">
        <f t="shared" si="2"/>
        <v>614.720475</v>
      </c>
      <c r="N21" s="102">
        <f>L21</f>
        <v>5.5</v>
      </c>
      <c r="O21" s="102">
        <f t="shared" si="3"/>
        <v>614.720475</v>
      </c>
      <c r="P21" s="102">
        <f>N21</f>
        <v>5.5</v>
      </c>
      <c r="Q21" s="183">
        <f>AVERAGE(Q9,Q12)</f>
        <v>22.25</v>
      </c>
      <c r="R21" s="182">
        <v>31.54</v>
      </c>
      <c r="S21" s="141">
        <f>'[3]TechHeat-RES-SD'!$I$165</f>
        <v>0.320512820512821</v>
      </c>
      <c r="V21" s="53"/>
      <c r="W21" s="105" t="s">
        <v>72</v>
      </c>
      <c r="X21" s="53"/>
      <c r="Y21" s="53" t="s">
        <v>39</v>
      </c>
      <c r="Z21" s="53" t="s">
        <v>40</v>
      </c>
      <c r="AA21" s="53"/>
      <c r="AB21" s="53"/>
      <c r="AC21" s="53"/>
      <c r="AG21" s="192">
        <v>0.9</v>
      </c>
      <c r="AN21" s="194" t="s">
        <v>73</v>
      </c>
      <c r="AO21" s="197">
        <v>3400</v>
      </c>
      <c r="AP21" s="197">
        <v>3400</v>
      </c>
      <c r="AQ21" s="198" t="s">
        <v>74</v>
      </c>
      <c r="AR21" s="198" t="s">
        <v>74</v>
      </c>
      <c r="AS21" s="198" t="s">
        <v>74</v>
      </c>
      <c r="AT21" s="198" t="s">
        <v>74</v>
      </c>
    </row>
    <row r="22" spans="4:33">
      <c r="D22" s="105" t="s">
        <v>44</v>
      </c>
      <c r="E22" s="105"/>
      <c r="H22" s="174"/>
      <c r="I22" s="179"/>
      <c r="K22" s="102"/>
      <c r="L22" s="3"/>
      <c r="M22" s="102"/>
      <c r="N22" s="3"/>
      <c r="O22" s="102"/>
      <c r="P22" s="3"/>
      <c r="Q22" s="183"/>
      <c r="R22" s="182"/>
      <c r="S22" s="141">
        <f>1-S21</f>
        <v>0.679487179487179</v>
      </c>
      <c r="V22" s="53"/>
      <c r="W22" t="s">
        <v>18</v>
      </c>
      <c r="X22" s="53"/>
      <c r="Y22" s="53"/>
      <c r="Z22" s="53"/>
      <c r="AA22" s="53"/>
      <c r="AB22" s="53"/>
      <c r="AC22" s="53"/>
      <c r="AG22" s="192">
        <v>1</v>
      </c>
    </row>
    <row r="23" spans="3:33">
      <c r="C23" s="105" t="s">
        <v>75</v>
      </c>
      <c r="D23" s="105" t="s">
        <v>48</v>
      </c>
      <c r="E23" s="105"/>
      <c r="F23" t="s">
        <v>37</v>
      </c>
      <c r="G23" s="41">
        <v>2021</v>
      </c>
      <c r="H23" s="174">
        <v>0.89</v>
      </c>
      <c r="I23" s="179"/>
      <c r="K23" s="102">
        <f>AVERAGE(K6,K12)</f>
        <v>715.153392887474</v>
      </c>
      <c r="L23" s="102">
        <f>AVERAGE(L6,L12)</f>
        <v>3.79980952380952</v>
      </c>
      <c r="M23" s="102">
        <f t="shared" si="2"/>
        <v>715.153392887474</v>
      </c>
      <c r="N23" s="102">
        <f>L23</f>
        <v>3.79980952380952</v>
      </c>
      <c r="O23" s="102">
        <f t="shared" si="3"/>
        <v>715.153392887474</v>
      </c>
      <c r="P23" s="102">
        <f>N23</f>
        <v>3.79980952380952</v>
      </c>
      <c r="Q23" s="181">
        <f>AVERAGE(Q6,Q12)</f>
        <v>24.5</v>
      </c>
      <c r="R23" s="182">
        <v>31.54</v>
      </c>
      <c r="S23" s="141">
        <f>'[3]TechHeat-RES-SD'!$I$167</f>
        <v>0.833333333333333</v>
      </c>
      <c r="V23" s="53"/>
      <c r="W23" s="105" t="s">
        <v>75</v>
      </c>
      <c r="X23" s="53"/>
      <c r="Y23" s="53" t="s">
        <v>39</v>
      </c>
      <c r="Z23" s="53" t="s">
        <v>40</v>
      </c>
      <c r="AA23" s="53"/>
      <c r="AB23" s="53"/>
      <c r="AC23" s="53"/>
      <c r="AG23" s="192">
        <v>1.9</v>
      </c>
    </row>
    <row r="24" spans="4:33">
      <c r="D24" s="105" t="s">
        <v>36</v>
      </c>
      <c r="E24" s="105"/>
      <c r="K24" s="102"/>
      <c r="M24" s="102"/>
      <c r="O24" s="102"/>
      <c r="P24" s="3"/>
      <c r="Q24" s="42"/>
      <c r="S24" s="141">
        <f>1-S23</f>
        <v>0.166666666666667</v>
      </c>
      <c r="V24" s="53"/>
      <c r="W24" t="s">
        <v>18</v>
      </c>
      <c r="X24" s="53"/>
      <c r="Y24" s="53"/>
      <c r="Z24" s="53"/>
      <c r="AA24" s="53"/>
      <c r="AB24" s="53"/>
      <c r="AC24" s="53"/>
      <c r="AG24" s="192">
        <v>0.5</v>
      </c>
    </row>
    <row r="25" spans="3:33">
      <c r="C25" t="s">
        <v>76</v>
      </c>
      <c r="D25" t="s">
        <v>36</v>
      </c>
      <c r="F25" t="s">
        <v>77</v>
      </c>
      <c r="G25" s="41">
        <v>2021</v>
      </c>
      <c r="H25" s="172">
        <v>0.6</v>
      </c>
      <c r="I25" s="172"/>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81">
        <f t="shared" si="10"/>
        <v>26.5</v>
      </c>
      <c r="R25">
        <v>31.54</v>
      </c>
      <c r="S25">
        <v>1</v>
      </c>
      <c r="V25" s="53"/>
      <c r="W25" t="s">
        <v>76</v>
      </c>
      <c r="X25" s="53"/>
      <c r="Y25" s="53" t="s">
        <v>39</v>
      </c>
      <c r="Z25" s="53" t="s">
        <v>40</v>
      </c>
      <c r="AA25" s="53"/>
      <c r="AB25" s="53"/>
      <c r="AC25" s="53"/>
      <c r="AG25" s="192">
        <v>0.5</v>
      </c>
    </row>
    <row r="26" spans="3:33">
      <c r="C26" t="s">
        <v>78</v>
      </c>
      <c r="D26" t="s">
        <v>36</v>
      </c>
      <c r="F26" t="s">
        <v>77</v>
      </c>
      <c r="G26" s="41">
        <v>2021</v>
      </c>
      <c r="H26" s="172">
        <v>0.78</v>
      </c>
      <c r="I26" s="172"/>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81">
        <f t="shared" si="16"/>
        <v>26.5</v>
      </c>
      <c r="R26">
        <v>31.54</v>
      </c>
      <c r="S26">
        <v>1</v>
      </c>
      <c r="V26" s="53"/>
      <c r="W26" t="s">
        <v>78</v>
      </c>
      <c r="X26" s="53"/>
      <c r="Y26" s="53" t="s">
        <v>39</v>
      </c>
      <c r="Z26" s="53" t="s">
        <v>40</v>
      </c>
      <c r="AA26" s="53"/>
      <c r="AB26" s="53"/>
      <c r="AC26" s="53"/>
      <c r="AG26" s="195">
        <v>0.75</v>
      </c>
    </row>
    <row r="27" spans="3:33">
      <c r="C27" t="s">
        <v>79</v>
      </c>
      <c r="D27" t="s">
        <v>36</v>
      </c>
      <c r="F27" t="s">
        <v>77</v>
      </c>
      <c r="G27" s="41">
        <v>2021</v>
      </c>
      <c r="H27" s="172">
        <v>0.85</v>
      </c>
      <c r="I27" s="172"/>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81">
        <f t="shared" si="16"/>
        <v>26.5</v>
      </c>
      <c r="R27">
        <v>31.54</v>
      </c>
      <c r="S27">
        <v>1</v>
      </c>
      <c r="V27" s="53"/>
      <c r="W27" t="s">
        <v>79</v>
      </c>
      <c r="X27" s="53"/>
      <c r="Y27" s="53" t="s">
        <v>39</v>
      </c>
      <c r="Z27" s="53" t="s">
        <v>40</v>
      </c>
      <c r="AA27" s="53"/>
      <c r="AB27" s="53"/>
      <c r="AC27" s="53"/>
      <c r="AG27" s="195"/>
    </row>
    <row r="28" spans="3:33">
      <c r="C28" t="s">
        <v>80</v>
      </c>
      <c r="D28" t="s">
        <v>44</v>
      </c>
      <c r="F28" t="s">
        <v>77</v>
      </c>
      <c r="G28" s="41">
        <v>2021</v>
      </c>
      <c r="H28" s="172">
        <v>0.62</v>
      </c>
      <c r="I28" s="172"/>
      <c r="K28" s="62">
        <f t="shared" si="11"/>
        <v>573.73785</v>
      </c>
      <c r="L28" s="62">
        <f t="shared" si="12"/>
        <v>6</v>
      </c>
      <c r="M28" s="62">
        <f t="shared" si="13"/>
        <v>573.73785</v>
      </c>
      <c r="N28" s="62">
        <f t="shared" si="14"/>
        <v>6</v>
      </c>
      <c r="O28" s="62">
        <f t="shared" si="15"/>
        <v>573.73785</v>
      </c>
      <c r="P28" s="62">
        <f t="shared" si="16"/>
        <v>6</v>
      </c>
      <c r="Q28" s="181">
        <f t="shared" si="16"/>
        <v>22</v>
      </c>
      <c r="R28">
        <v>31.54</v>
      </c>
      <c r="S28">
        <v>1</v>
      </c>
      <c r="V28" s="53"/>
      <c r="W28" t="s">
        <v>80</v>
      </c>
      <c r="X28" s="53"/>
      <c r="Y28" s="53" t="s">
        <v>39</v>
      </c>
      <c r="Z28" s="53" t="s">
        <v>40</v>
      </c>
      <c r="AA28" s="53"/>
      <c r="AB28" s="53"/>
      <c r="AC28" s="53"/>
      <c r="AG28" s="195">
        <v>0.675</v>
      </c>
    </row>
    <row r="29" spans="3:33">
      <c r="C29" t="s">
        <v>81</v>
      </c>
      <c r="D29" t="s">
        <v>44</v>
      </c>
      <c r="F29" t="s">
        <v>77</v>
      </c>
      <c r="G29" s="41">
        <v>2021</v>
      </c>
      <c r="H29" s="172">
        <v>0.8</v>
      </c>
      <c r="I29" s="172"/>
      <c r="K29" s="62">
        <f t="shared" si="11"/>
        <v>573.73785</v>
      </c>
      <c r="L29" s="62">
        <f t="shared" si="12"/>
        <v>6</v>
      </c>
      <c r="M29" s="62">
        <f t="shared" si="13"/>
        <v>573.73785</v>
      </c>
      <c r="N29" s="62">
        <f t="shared" si="14"/>
        <v>6</v>
      </c>
      <c r="O29" s="62">
        <f t="shared" si="15"/>
        <v>573.73785</v>
      </c>
      <c r="P29" s="62">
        <f t="shared" si="16"/>
        <v>6</v>
      </c>
      <c r="Q29" s="181">
        <f t="shared" si="16"/>
        <v>22</v>
      </c>
      <c r="R29">
        <v>31.54</v>
      </c>
      <c r="S29">
        <v>1</v>
      </c>
      <c r="V29" s="53"/>
      <c r="W29" t="s">
        <v>81</v>
      </c>
      <c r="X29" s="53"/>
      <c r="Y29" s="53" t="s">
        <v>39</v>
      </c>
      <c r="Z29" s="53" t="s">
        <v>40</v>
      </c>
      <c r="AA29" s="53"/>
      <c r="AB29" s="53"/>
      <c r="AC29" s="53"/>
      <c r="AG29" s="195"/>
    </row>
    <row r="30" spans="3:33">
      <c r="C30" t="s">
        <v>82</v>
      </c>
      <c r="D30" t="s">
        <v>44</v>
      </c>
      <c r="F30" t="s">
        <v>77</v>
      </c>
      <c r="G30" s="41">
        <v>2021</v>
      </c>
      <c r="H30" s="172">
        <v>0.9</v>
      </c>
      <c r="I30" s="172"/>
      <c r="K30" s="62">
        <f t="shared" si="11"/>
        <v>573.73785</v>
      </c>
      <c r="L30" s="62">
        <f t="shared" si="12"/>
        <v>6</v>
      </c>
      <c r="M30" s="62">
        <f t="shared" si="13"/>
        <v>573.73785</v>
      </c>
      <c r="N30" s="62">
        <f t="shared" si="14"/>
        <v>6</v>
      </c>
      <c r="O30" s="62">
        <f t="shared" si="15"/>
        <v>573.73785</v>
      </c>
      <c r="P30" s="62">
        <f t="shared" si="16"/>
        <v>6</v>
      </c>
      <c r="Q30" s="181">
        <f t="shared" si="16"/>
        <v>22</v>
      </c>
      <c r="R30">
        <v>31.54</v>
      </c>
      <c r="S30">
        <v>1</v>
      </c>
      <c r="V30" s="53"/>
      <c r="W30" t="s">
        <v>82</v>
      </c>
      <c r="X30" s="53"/>
      <c r="Y30" s="53" t="s">
        <v>39</v>
      </c>
      <c r="Z30" s="53" t="s">
        <v>40</v>
      </c>
      <c r="AA30" s="53"/>
      <c r="AB30" s="53"/>
      <c r="AC30" s="53"/>
      <c r="AG30" s="195">
        <v>0.9</v>
      </c>
    </row>
    <row r="31" spans="3:33">
      <c r="C31" t="s">
        <v>83</v>
      </c>
      <c r="D31" t="s">
        <v>48</v>
      </c>
      <c r="F31" t="s">
        <v>77</v>
      </c>
      <c r="G31" s="41">
        <v>2021</v>
      </c>
      <c r="H31" s="172">
        <v>1</v>
      </c>
      <c r="I31" s="172"/>
      <c r="K31" s="62">
        <f t="shared" si="11"/>
        <v>655.7031</v>
      </c>
      <c r="L31" s="62">
        <f t="shared" si="12"/>
        <v>5</v>
      </c>
      <c r="M31" s="62">
        <f t="shared" si="13"/>
        <v>655.7031</v>
      </c>
      <c r="N31" s="62">
        <f t="shared" si="14"/>
        <v>5</v>
      </c>
      <c r="O31" s="62">
        <f t="shared" si="15"/>
        <v>655.7031</v>
      </c>
      <c r="P31" s="62">
        <f t="shared" si="16"/>
        <v>5</v>
      </c>
      <c r="Q31" s="181">
        <f t="shared" si="16"/>
        <v>22.5</v>
      </c>
      <c r="R31">
        <v>31.54</v>
      </c>
      <c r="S31">
        <v>1</v>
      </c>
      <c r="V31" s="53"/>
      <c r="W31" t="s">
        <v>83</v>
      </c>
      <c r="X31" s="53"/>
      <c r="Y31" s="53" t="s">
        <v>39</v>
      </c>
      <c r="Z31" s="53" t="s">
        <v>40</v>
      </c>
      <c r="AA31" s="53"/>
      <c r="AB31" s="53"/>
      <c r="AC31" s="53"/>
      <c r="AG31" s="195"/>
    </row>
    <row r="32" spans="3:33">
      <c r="C32" t="s">
        <v>84</v>
      </c>
      <c r="D32" s="1" t="s">
        <v>48</v>
      </c>
      <c r="E32" s="1"/>
      <c r="F32" s="128" t="s">
        <v>77</v>
      </c>
      <c r="G32" s="41">
        <v>2021</v>
      </c>
      <c r="H32" s="172">
        <v>1</v>
      </c>
      <c r="I32" s="172"/>
      <c r="K32" s="62">
        <f t="shared" si="11"/>
        <v>1727.75295</v>
      </c>
      <c r="L32" s="62">
        <f t="shared" si="12"/>
        <v>15</v>
      </c>
      <c r="M32" s="62">
        <f t="shared" si="13"/>
        <v>1727.75295</v>
      </c>
      <c r="N32" s="62">
        <f t="shared" si="14"/>
        <v>15</v>
      </c>
      <c r="O32" s="62">
        <f t="shared" si="15"/>
        <v>1727.75295</v>
      </c>
      <c r="P32" s="62">
        <f t="shared" si="16"/>
        <v>15</v>
      </c>
      <c r="Q32" s="181">
        <f t="shared" si="16"/>
        <v>15.3</v>
      </c>
      <c r="R32" s="128">
        <v>31.54</v>
      </c>
      <c r="S32" s="128">
        <v>0.33</v>
      </c>
      <c r="V32" s="53"/>
      <c r="W32" t="s">
        <v>84</v>
      </c>
      <c r="X32" s="53"/>
      <c r="Y32" s="53" t="s">
        <v>39</v>
      </c>
      <c r="Z32" s="53" t="s">
        <v>40</v>
      </c>
      <c r="AA32" s="53"/>
      <c r="AB32" s="53"/>
      <c r="AC32" s="53"/>
      <c r="AG32" s="195">
        <v>0.89</v>
      </c>
    </row>
    <row r="33" spans="4:33">
      <c r="D33" s="173" t="str">
        <f>[2]COMM!$E$19</f>
        <v>RSDAHT</v>
      </c>
      <c r="H33" s="172"/>
      <c r="I33" s="172"/>
      <c r="K33" s="102"/>
      <c r="L33" s="3"/>
      <c r="M33" s="102"/>
      <c r="N33" s="3"/>
      <c r="O33" s="102"/>
      <c r="P33" s="3"/>
      <c r="Q33" s="181"/>
      <c r="R33">
        <v>31.54</v>
      </c>
      <c r="V33" s="53"/>
      <c r="W33" t="s">
        <v>18</v>
      </c>
      <c r="X33" s="53"/>
      <c r="Y33" s="53"/>
      <c r="Z33" s="53"/>
      <c r="AA33" s="53"/>
      <c r="AB33" s="53"/>
      <c r="AC33" s="53"/>
      <c r="AG33" s="196"/>
    </row>
    <row r="34" spans="3:29">
      <c r="C34" t="s">
        <v>85</v>
      </c>
      <c r="D34" t="s">
        <v>53</v>
      </c>
      <c r="F34" t="s">
        <v>77</v>
      </c>
      <c r="G34" s="41">
        <v>2021</v>
      </c>
      <c r="H34" s="172">
        <v>0.5</v>
      </c>
      <c r="I34" s="172"/>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81">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72">
        <v>0.5</v>
      </c>
      <c r="I35" s="172"/>
      <c r="K35" s="62">
        <f t="shared" si="17"/>
        <v>1127.68990573248</v>
      </c>
      <c r="L35" s="62">
        <f t="shared" si="18"/>
        <v>21.1544</v>
      </c>
      <c r="M35" s="62">
        <f t="shared" si="19"/>
        <v>1127.68990573248</v>
      </c>
      <c r="N35" s="62">
        <f t="shared" si="20"/>
        <v>21.1544</v>
      </c>
      <c r="O35" s="62">
        <f t="shared" si="21"/>
        <v>1127.68990573248</v>
      </c>
      <c r="P35" s="62">
        <f t="shared" si="22"/>
        <v>21.1544</v>
      </c>
      <c r="Q35" s="181">
        <f t="shared" si="23"/>
        <v>19</v>
      </c>
      <c r="R35">
        <v>31.54</v>
      </c>
      <c r="S35">
        <v>1</v>
      </c>
      <c r="V35" s="53"/>
      <c r="W35" t="s">
        <v>86</v>
      </c>
      <c r="X35" s="53"/>
      <c r="Y35" s="53" t="s">
        <v>39</v>
      </c>
      <c r="Z35" s="53" t="s">
        <v>40</v>
      </c>
      <c r="AA35" s="53"/>
      <c r="AB35" s="53"/>
      <c r="AC35" s="53"/>
      <c r="AG35" s="192">
        <v>0.6</v>
      </c>
    </row>
    <row r="36" spans="3:33">
      <c r="C36" s="105" t="s">
        <v>87</v>
      </c>
      <c r="D36" s="105" t="s">
        <v>48</v>
      </c>
      <c r="E36" s="105"/>
      <c r="F36" t="s">
        <v>77</v>
      </c>
      <c r="G36" s="41">
        <v>2021</v>
      </c>
      <c r="H36" s="172">
        <v>0.75</v>
      </c>
      <c r="I36" s="172"/>
      <c r="K36" s="62">
        <f t="shared" si="17"/>
        <v>891.696502866242</v>
      </c>
      <c r="L36" s="62">
        <f t="shared" si="18"/>
        <v>13.0772</v>
      </c>
      <c r="M36" s="62">
        <f t="shared" si="19"/>
        <v>891.696502866242</v>
      </c>
      <c r="N36" s="62">
        <f t="shared" si="20"/>
        <v>13.0772</v>
      </c>
      <c r="O36" s="62">
        <f t="shared" si="21"/>
        <v>891.696502866242</v>
      </c>
      <c r="P36" s="62">
        <f t="shared" si="22"/>
        <v>13.0772</v>
      </c>
      <c r="Q36" s="181">
        <f t="shared" si="23"/>
        <v>20.75</v>
      </c>
      <c r="R36">
        <v>31.54</v>
      </c>
      <c r="S36" s="141">
        <f>'[3]TechHeat-RES-SD'!$I$161</f>
        <v>0.609756097560976</v>
      </c>
      <c r="V36" s="53"/>
      <c r="W36" s="105" t="s">
        <v>87</v>
      </c>
      <c r="X36" s="53"/>
      <c r="Y36" s="53" t="s">
        <v>39</v>
      </c>
      <c r="Z36" s="53" t="s">
        <v>40</v>
      </c>
      <c r="AA36" s="53"/>
      <c r="AB36" s="53"/>
      <c r="AC36" s="53"/>
      <c r="AG36" s="192">
        <v>0.78</v>
      </c>
    </row>
    <row r="37" spans="4:33">
      <c r="D37" s="105" t="s">
        <v>64</v>
      </c>
      <c r="E37" s="105"/>
      <c r="H37" s="172"/>
      <c r="I37" s="172"/>
      <c r="K37" s="102"/>
      <c r="M37" s="102"/>
      <c r="O37" s="102"/>
      <c r="P37" s="3"/>
      <c r="Q37" s="181"/>
      <c r="S37" s="141">
        <f t="shared" ref="S37:S41" si="24">1-S36</f>
        <v>0.390243902439024</v>
      </c>
      <c r="V37" s="53"/>
      <c r="W37" t="s">
        <v>18</v>
      </c>
      <c r="X37" s="53"/>
      <c r="Y37" s="53"/>
      <c r="Z37" s="53"/>
      <c r="AA37" s="53"/>
      <c r="AB37" s="53"/>
      <c r="AC37" s="53"/>
      <c r="AG37" s="192">
        <v>0.85</v>
      </c>
    </row>
    <row r="38" spans="3:33">
      <c r="C38" s="105" t="s">
        <v>88</v>
      </c>
      <c r="D38" s="105" t="s">
        <v>36</v>
      </c>
      <c r="E38" s="105"/>
      <c r="F38" t="s">
        <v>77</v>
      </c>
      <c r="G38" s="41">
        <v>2021</v>
      </c>
      <c r="H38" s="172">
        <v>0.675</v>
      </c>
      <c r="I38" s="172"/>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81">
        <f t="shared" si="23"/>
        <v>22.75</v>
      </c>
      <c r="R38">
        <v>31.54</v>
      </c>
      <c r="S38" s="141">
        <f>'[3]TechHeat-RES-SD'!$I$163</f>
        <v>0.238095238095238</v>
      </c>
      <c r="V38" s="53"/>
      <c r="W38" s="105" t="s">
        <v>88</v>
      </c>
      <c r="X38" s="53"/>
      <c r="Y38" s="53" t="s">
        <v>39</v>
      </c>
      <c r="Z38" s="53" t="s">
        <v>40</v>
      </c>
      <c r="AA38" s="53"/>
      <c r="AB38" s="53"/>
      <c r="AC38" s="53"/>
      <c r="AG38" s="192">
        <v>0.62</v>
      </c>
    </row>
    <row r="39" spans="4:33">
      <c r="D39" s="105" t="s">
        <v>64</v>
      </c>
      <c r="E39" s="105"/>
      <c r="H39" s="172"/>
      <c r="I39" s="172"/>
      <c r="K39" s="102"/>
      <c r="L39" s="3"/>
      <c r="M39" s="102"/>
      <c r="N39" s="3"/>
      <c r="O39" s="102"/>
      <c r="P39" s="3"/>
      <c r="Q39" s="181"/>
      <c r="S39" s="141">
        <f t="shared" si="24"/>
        <v>0.761904761904762</v>
      </c>
      <c r="V39" s="53"/>
      <c r="W39" t="s">
        <v>18</v>
      </c>
      <c r="X39" s="53"/>
      <c r="Y39" s="53"/>
      <c r="Z39" s="53"/>
      <c r="AA39" s="53"/>
      <c r="AB39" s="53"/>
      <c r="AC39" s="53"/>
      <c r="AG39" s="192">
        <v>0.8</v>
      </c>
    </row>
    <row r="40" spans="3:33">
      <c r="C40" s="105" t="s">
        <v>89</v>
      </c>
      <c r="D40" s="105" t="s">
        <v>48</v>
      </c>
      <c r="E40" s="105"/>
      <c r="F40" t="s">
        <v>77</v>
      </c>
      <c r="G40" s="41">
        <v>2021</v>
      </c>
      <c r="H40" s="172">
        <v>0.9</v>
      </c>
      <c r="I40" s="172"/>
      <c r="K40" s="62">
        <f t="shared" ref="K40:P40" si="25">K21</f>
        <v>614.720475</v>
      </c>
      <c r="L40" s="62">
        <f t="shared" si="25"/>
        <v>5.5</v>
      </c>
      <c r="M40" s="62">
        <f t="shared" si="25"/>
        <v>614.720475</v>
      </c>
      <c r="N40" s="62">
        <f t="shared" si="25"/>
        <v>5.5</v>
      </c>
      <c r="O40" s="62">
        <f t="shared" si="25"/>
        <v>614.720475</v>
      </c>
      <c r="P40" s="62">
        <f t="shared" si="25"/>
        <v>5.5</v>
      </c>
      <c r="Q40" s="181">
        <f t="shared" si="23"/>
        <v>22.25</v>
      </c>
      <c r="R40">
        <v>31.54</v>
      </c>
      <c r="S40" s="141">
        <f>'[3]TechHeat-RES-SD'!$I$165</f>
        <v>0.320512820512821</v>
      </c>
      <c r="V40" s="53"/>
      <c r="W40" s="105" t="s">
        <v>89</v>
      </c>
      <c r="X40" s="53"/>
      <c r="Y40" s="53" t="s">
        <v>39</v>
      </c>
      <c r="Z40" s="53" t="s">
        <v>40</v>
      </c>
      <c r="AA40" s="53"/>
      <c r="AB40" s="53"/>
      <c r="AC40" s="53"/>
      <c r="AG40" s="192">
        <v>0.9</v>
      </c>
    </row>
    <row r="41" spans="4:33">
      <c r="D41" s="105" t="s">
        <v>44</v>
      </c>
      <c r="E41" s="105"/>
      <c r="H41" s="172"/>
      <c r="I41" s="172"/>
      <c r="K41" s="102"/>
      <c r="L41" s="3"/>
      <c r="M41" s="102"/>
      <c r="N41" s="3"/>
      <c r="O41" s="102"/>
      <c r="P41" s="3"/>
      <c r="Q41" s="181"/>
      <c r="S41" s="141">
        <f t="shared" si="24"/>
        <v>0.679487179487179</v>
      </c>
      <c r="V41" s="53"/>
      <c r="W41" t="s">
        <v>18</v>
      </c>
      <c r="X41" s="53"/>
      <c r="Y41" s="53"/>
      <c r="Z41" s="53"/>
      <c r="AA41" s="53"/>
      <c r="AB41" s="53"/>
      <c r="AC41" s="53"/>
      <c r="AG41" s="192">
        <v>1</v>
      </c>
    </row>
    <row r="42" spans="3:33">
      <c r="C42" s="105" t="s">
        <v>90</v>
      </c>
      <c r="D42" s="105" t="s">
        <v>48</v>
      </c>
      <c r="E42" s="105"/>
      <c r="F42" t="s">
        <v>77</v>
      </c>
      <c r="G42" s="41">
        <v>2021</v>
      </c>
      <c r="H42" s="172">
        <v>0.89</v>
      </c>
      <c r="I42" s="172"/>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81">
        <f t="shared" si="23"/>
        <v>24.5</v>
      </c>
      <c r="R42">
        <v>31.54</v>
      </c>
      <c r="S42" s="141">
        <f>'[3]TechHeat-RES-SD'!$I$167</f>
        <v>0.833333333333333</v>
      </c>
      <c r="V42" s="53"/>
      <c r="W42" s="105" t="s">
        <v>90</v>
      </c>
      <c r="X42" s="53"/>
      <c r="Y42" s="53" t="s">
        <v>39</v>
      </c>
      <c r="Z42" s="53" t="s">
        <v>40</v>
      </c>
      <c r="AA42" s="53"/>
      <c r="AB42" s="53"/>
      <c r="AC42" s="53"/>
      <c r="AG42" s="192">
        <v>1.9</v>
      </c>
    </row>
    <row r="43" spans="4:33">
      <c r="D43" s="105" t="s">
        <v>36</v>
      </c>
      <c r="E43" s="105"/>
      <c r="K43" s="102"/>
      <c r="M43" s="102"/>
      <c r="O43" s="102"/>
      <c r="P43" s="3"/>
      <c r="Q43" s="42"/>
      <c r="S43" s="141">
        <f>1-S42</f>
        <v>0.166666666666667</v>
      </c>
      <c r="V43" s="53"/>
      <c r="W43" t="s">
        <v>18</v>
      </c>
      <c r="X43" s="53"/>
      <c r="Y43" s="53"/>
      <c r="Z43" s="53"/>
      <c r="AA43" s="53"/>
      <c r="AB43" s="53"/>
      <c r="AC43" s="53"/>
      <c r="AG43" s="192">
        <v>0.5</v>
      </c>
    </row>
    <row r="44" spans="3:33">
      <c r="C44" t="s">
        <v>91</v>
      </c>
      <c r="D44" t="s">
        <v>36</v>
      </c>
      <c r="F44" t="s">
        <v>92</v>
      </c>
      <c r="G44" s="41">
        <v>2021</v>
      </c>
      <c r="H44" s="42">
        <v>0.6</v>
      </c>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81">
        <f t="shared" si="27"/>
        <v>26.5</v>
      </c>
      <c r="R44">
        <v>31.54</v>
      </c>
      <c r="S44">
        <v>1</v>
      </c>
      <c r="V44" s="53"/>
      <c r="W44" t="s">
        <v>91</v>
      </c>
      <c r="X44" s="53"/>
      <c r="Y44" s="53" t="s">
        <v>39</v>
      </c>
      <c r="Z44" s="53" t="s">
        <v>40</v>
      </c>
      <c r="AA44" s="53"/>
      <c r="AB44" s="53"/>
      <c r="AC44" s="53"/>
      <c r="AG44" s="192">
        <v>0.5</v>
      </c>
    </row>
    <row r="45" spans="3:33">
      <c r="C45" t="s">
        <v>93</v>
      </c>
      <c r="D45" t="s">
        <v>36</v>
      </c>
      <c r="F45" t="s">
        <v>92</v>
      </c>
      <c r="G45" s="41">
        <v>2021</v>
      </c>
      <c r="H45" s="42">
        <v>0.78</v>
      </c>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81">
        <f t="shared" si="28"/>
        <v>26.5</v>
      </c>
      <c r="R45">
        <v>31.54</v>
      </c>
      <c r="S45">
        <v>1</v>
      </c>
      <c r="V45" s="53"/>
      <c r="W45" t="s">
        <v>93</v>
      </c>
      <c r="X45" s="53"/>
      <c r="Y45" s="53" t="s">
        <v>39</v>
      </c>
      <c r="Z45" s="53" t="s">
        <v>40</v>
      </c>
      <c r="AA45" s="53"/>
      <c r="AB45" s="53"/>
      <c r="AC45" s="53"/>
      <c r="AG45" s="192">
        <v>0.75</v>
      </c>
    </row>
    <row r="46" spans="3:33">
      <c r="C46" t="s">
        <v>94</v>
      </c>
      <c r="D46" t="s">
        <v>36</v>
      </c>
      <c r="F46" t="s">
        <v>92</v>
      </c>
      <c r="G46" s="41">
        <v>2021</v>
      </c>
      <c r="H46" s="42">
        <v>0.85</v>
      </c>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81">
        <f t="shared" si="29"/>
        <v>26.5</v>
      </c>
      <c r="R46">
        <v>31.54</v>
      </c>
      <c r="S46">
        <v>1</v>
      </c>
      <c r="V46" s="53"/>
      <c r="W46" t="s">
        <v>94</v>
      </c>
      <c r="X46" s="53"/>
      <c r="Y46" s="53" t="s">
        <v>39</v>
      </c>
      <c r="Z46" s="53" t="s">
        <v>40</v>
      </c>
      <c r="AA46" s="53"/>
      <c r="AB46" s="53"/>
      <c r="AC46" s="53"/>
      <c r="AG46" s="192"/>
    </row>
    <row r="47" spans="3:33">
      <c r="C47" t="s">
        <v>95</v>
      </c>
      <c r="D47" t="s">
        <v>44</v>
      </c>
      <c r="F47" t="s">
        <v>92</v>
      </c>
      <c r="G47" s="41">
        <v>2021</v>
      </c>
      <c r="H47" s="42">
        <v>0.62</v>
      </c>
      <c r="K47" s="62">
        <f t="shared" ref="K47:Q47" si="30">K28</f>
        <v>573.73785</v>
      </c>
      <c r="L47" s="62">
        <f t="shared" si="30"/>
        <v>6</v>
      </c>
      <c r="M47" s="62">
        <f t="shared" si="30"/>
        <v>573.73785</v>
      </c>
      <c r="N47" s="62">
        <f t="shared" si="30"/>
        <v>6</v>
      </c>
      <c r="O47" s="62">
        <f t="shared" si="30"/>
        <v>573.73785</v>
      </c>
      <c r="P47" s="62">
        <f t="shared" si="30"/>
        <v>6</v>
      </c>
      <c r="Q47" s="181">
        <f t="shared" si="30"/>
        <v>22</v>
      </c>
      <c r="R47">
        <v>31.54</v>
      </c>
      <c r="S47">
        <v>1</v>
      </c>
      <c r="V47" s="53"/>
      <c r="W47" t="s">
        <v>95</v>
      </c>
      <c r="X47" s="53"/>
      <c r="Y47" s="53" t="s">
        <v>39</v>
      </c>
      <c r="Z47" s="53" t="s">
        <v>40</v>
      </c>
      <c r="AA47" s="53"/>
      <c r="AB47" s="53"/>
      <c r="AC47" s="53"/>
      <c r="AG47" s="192">
        <v>0.675</v>
      </c>
    </row>
    <row r="48" spans="3:33">
      <c r="C48" t="s">
        <v>96</v>
      </c>
      <c r="D48" t="s">
        <v>44</v>
      </c>
      <c r="F48" t="s">
        <v>92</v>
      </c>
      <c r="G48" s="41">
        <v>2021</v>
      </c>
      <c r="H48" s="42">
        <v>0.8</v>
      </c>
      <c r="K48" s="62">
        <f t="shared" ref="K48:Q48" si="31">K29</f>
        <v>573.73785</v>
      </c>
      <c r="L48" s="62">
        <f t="shared" si="31"/>
        <v>6</v>
      </c>
      <c r="M48" s="62">
        <f t="shared" si="31"/>
        <v>573.73785</v>
      </c>
      <c r="N48" s="62">
        <f t="shared" si="31"/>
        <v>6</v>
      </c>
      <c r="O48" s="62">
        <f t="shared" si="31"/>
        <v>573.73785</v>
      </c>
      <c r="P48" s="62">
        <f t="shared" si="31"/>
        <v>6</v>
      </c>
      <c r="Q48" s="181">
        <f t="shared" si="31"/>
        <v>22</v>
      </c>
      <c r="R48">
        <v>31.54</v>
      </c>
      <c r="S48">
        <v>1</v>
      </c>
      <c r="V48" s="53"/>
      <c r="W48" t="s">
        <v>96</v>
      </c>
      <c r="X48" s="53"/>
      <c r="Y48" s="53" t="s">
        <v>39</v>
      </c>
      <c r="Z48" s="53" t="s">
        <v>40</v>
      </c>
      <c r="AA48" s="53"/>
      <c r="AB48" s="53"/>
      <c r="AC48" s="53"/>
      <c r="AG48" s="192"/>
    </row>
    <row r="49" spans="3:33">
      <c r="C49" t="s">
        <v>97</v>
      </c>
      <c r="D49" t="s">
        <v>44</v>
      </c>
      <c r="F49" t="s">
        <v>92</v>
      </c>
      <c r="G49" s="41">
        <v>2021</v>
      </c>
      <c r="H49" s="42">
        <v>0.9</v>
      </c>
      <c r="K49" s="62">
        <f t="shared" ref="K49:Q49" si="32">K30</f>
        <v>573.73785</v>
      </c>
      <c r="L49" s="62">
        <f t="shared" si="32"/>
        <v>6</v>
      </c>
      <c r="M49" s="62">
        <f t="shared" si="32"/>
        <v>573.73785</v>
      </c>
      <c r="N49" s="62">
        <f t="shared" si="32"/>
        <v>6</v>
      </c>
      <c r="O49" s="62">
        <f t="shared" si="32"/>
        <v>573.73785</v>
      </c>
      <c r="P49" s="62">
        <f t="shared" si="32"/>
        <v>6</v>
      </c>
      <c r="Q49" s="181">
        <f t="shared" si="32"/>
        <v>22</v>
      </c>
      <c r="R49">
        <v>31.54</v>
      </c>
      <c r="S49">
        <v>1</v>
      </c>
      <c r="V49" s="53"/>
      <c r="W49" t="s">
        <v>97</v>
      </c>
      <c r="X49" s="53"/>
      <c r="Y49" s="53" t="s">
        <v>39</v>
      </c>
      <c r="Z49" s="53" t="s">
        <v>40</v>
      </c>
      <c r="AA49" s="53"/>
      <c r="AB49" s="53"/>
      <c r="AC49" s="53"/>
      <c r="AG49" s="192">
        <v>0.9</v>
      </c>
    </row>
    <row r="50" spans="3:33">
      <c r="C50" t="s">
        <v>98</v>
      </c>
      <c r="D50" t="s">
        <v>48</v>
      </c>
      <c r="F50" t="s">
        <v>92</v>
      </c>
      <c r="G50" s="41">
        <v>2021</v>
      </c>
      <c r="H50" s="42">
        <v>1</v>
      </c>
      <c r="K50" s="62">
        <f t="shared" ref="K50:Q50" si="33">K31</f>
        <v>655.7031</v>
      </c>
      <c r="L50" s="62">
        <f t="shared" si="33"/>
        <v>5</v>
      </c>
      <c r="M50" s="62">
        <f t="shared" si="33"/>
        <v>655.7031</v>
      </c>
      <c r="N50" s="62">
        <f t="shared" si="33"/>
        <v>5</v>
      </c>
      <c r="O50" s="62">
        <f t="shared" si="33"/>
        <v>655.7031</v>
      </c>
      <c r="P50" s="62">
        <f t="shared" si="33"/>
        <v>5</v>
      </c>
      <c r="Q50" s="181">
        <f t="shared" si="33"/>
        <v>22.5</v>
      </c>
      <c r="R50">
        <v>31.54</v>
      </c>
      <c r="S50">
        <v>1</v>
      </c>
      <c r="V50" s="53"/>
      <c r="W50" t="s">
        <v>98</v>
      </c>
      <c r="X50" s="53"/>
      <c r="Y50" s="53" t="s">
        <v>39</v>
      </c>
      <c r="Z50" s="53" t="s">
        <v>40</v>
      </c>
      <c r="AA50" s="53"/>
      <c r="AB50" s="53"/>
      <c r="AC50" s="53"/>
      <c r="AG50" s="192"/>
    </row>
    <row r="51" spans="3:33">
      <c r="C51" t="s">
        <v>99</v>
      </c>
      <c r="D51" s="175" t="s">
        <v>48</v>
      </c>
      <c r="E51" s="175"/>
      <c r="F51" s="128" t="s">
        <v>92</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81">
        <f t="shared" si="34"/>
        <v>15.3</v>
      </c>
      <c r="R51" s="128">
        <v>31.54</v>
      </c>
      <c r="S51" s="187">
        <v>0.33</v>
      </c>
      <c r="V51" s="53"/>
      <c r="W51" t="s">
        <v>99</v>
      </c>
      <c r="X51" s="53"/>
      <c r="Y51" s="53" t="s">
        <v>39</v>
      </c>
      <c r="Z51" s="53" t="s">
        <v>40</v>
      </c>
      <c r="AA51" s="53"/>
      <c r="AB51" s="53"/>
      <c r="AC51" s="53"/>
      <c r="AG51" s="192">
        <v>0.89</v>
      </c>
    </row>
    <row r="52" spans="4:33">
      <c r="D52" s="173" t="str">
        <f>[2]COMM!$E$19</f>
        <v>RSDAHT</v>
      </c>
      <c r="K52" s="102"/>
      <c r="L52" s="3"/>
      <c r="M52" s="102"/>
      <c r="N52" s="3"/>
      <c r="O52" s="102"/>
      <c r="P52" s="3"/>
      <c r="Q52" s="181"/>
      <c r="R52">
        <v>31.54</v>
      </c>
      <c r="S52" s="85">
        <f>1-S51</f>
        <v>0.67</v>
      </c>
      <c r="V52" s="53"/>
      <c r="W52" t="s">
        <v>18</v>
      </c>
      <c r="X52" s="53"/>
      <c r="Y52" s="53"/>
      <c r="Z52" s="53"/>
      <c r="AA52" s="53"/>
      <c r="AB52" s="53"/>
      <c r="AC52" s="53"/>
      <c r="AG52" s="192"/>
    </row>
    <row r="53" spans="3:29">
      <c r="C53" t="s">
        <v>100</v>
      </c>
      <c r="D53" t="s">
        <v>53</v>
      </c>
      <c r="F53" t="s">
        <v>92</v>
      </c>
      <c r="G53" s="41">
        <v>2021</v>
      </c>
      <c r="H53" s="42">
        <v>0.5</v>
      </c>
      <c r="K53" s="62">
        <f t="shared" ref="K53:Q61" si="35">K34</f>
        <v>1127.68990573248</v>
      </c>
      <c r="L53" s="62">
        <f t="shared" si="35"/>
        <v>21.1544</v>
      </c>
      <c r="M53" s="62">
        <f t="shared" si="35"/>
        <v>1127.68990573248</v>
      </c>
      <c r="N53" s="62">
        <f t="shared" si="35"/>
        <v>21.1544</v>
      </c>
      <c r="O53" s="62">
        <f t="shared" si="35"/>
        <v>1127.68990573248</v>
      </c>
      <c r="P53" s="62">
        <f t="shared" si="35"/>
        <v>21.1544</v>
      </c>
      <c r="Q53" s="181">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1127.68990573248</v>
      </c>
      <c r="L54" s="62">
        <f t="shared" si="36"/>
        <v>21.1544</v>
      </c>
      <c r="M54" s="62">
        <f t="shared" si="36"/>
        <v>1127.68990573248</v>
      </c>
      <c r="N54" s="62">
        <f t="shared" si="36"/>
        <v>21.1544</v>
      </c>
      <c r="O54" s="62">
        <f t="shared" si="36"/>
        <v>1127.68990573248</v>
      </c>
      <c r="P54" s="62">
        <f t="shared" si="36"/>
        <v>21.1544</v>
      </c>
      <c r="Q54" s="181">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891.696502866242</v>
      </c>
      <c r="L55" s="62">
        <f t="shared" si="37"/>
        <v>13.0772</v>
      </c>
      <c r="M55" s="62">
        <f t="shared" si="37"/>
        <v>891.696502866242</v>
      </c>
      <c r="N55" s="62">
        <f t="shared" si="37"/>
        <v>13.0772</v>
      </c>
      <c r="O55" s="62">
        <f t="shared" si="37"/>
        <v>891.696502866242</v>
      </c>
      <c r="P55" s="62">
        <f t="shared" si="37"/>
        <v>13.0772</v>
      </c>
      <c r="Q55" s="181">
        <f t="shared" si="35"/>
        <v>20.75</v>
      </c>
      <c r="R55">
        <v>31.54</v>
      </c>
      <c r="S55" s="141">
        <f>'[3]TechHeat-RES-SD'!$I$161</f>
        <v>0.609756097560976</v>
      </c>
      <c r="V55" s="53"/>
      <c r="W55" s="105" t="s">
        <v>102</v>
      </c>
      <c r="X55" s="53"/>
      <c r="Y55" s="53" t="s">
        <v>39</v>
      </c>
      <c r="Z55" s="53" t="s">
        <v>40</v>
      </c>
      <c r="AA55" s="53"/>
      <c r="AB55" s="53"/>
      <c r="AC55" s="53"/>
      <c r="AG55">
        <v>0.78</v>
      </c>
    </row>
    <row r="56" spans="4:33">
      <c r="D56" s="105" t="s">
        <v>64</v>
      </c>
      <c r="E56" s="105"/>
      <c r="K56" s="102"/>
      <c r="M56" s="102"/>
      <c r="O56" s="102"/>
      <c r="P56" s="3"/>
      <c r="Q56" s="181"/>
      <c r="S56" s="141">
        <f t="shared" ref="S56:S60" si="38">1-S55</f>
        <v>0.390243902439024</v>
      </c>
      <c r="V56" s="53"/>
      <c r="W56" t="s">
        <v>18</v>
      </c>
      <c r="X56" s="53"/>
      <c r="Y56" s="53"/>
      <c r="Z56" s="53"/>
      <c r="AA56" s="53"/>
      <c r="AB56" s="53"/>
      <c r="AC56" s="53"/>
      <c r="AG56">
        <v>0.85</v>
      </c>
    </row>
    <row r="57" spans="3:33">
      <c r="C57" s="105" t="s">
        <v>103</v>
      </c>
      <c r="D57" s="105" t="s">
        <v>36</v>
      </c>
      <c r="E57" s="105"/>
      <c r="F57" t="s">
        <v>92</v>
      </c>
      <c r="G57" s="41">
        <v>2021</v>
      </c>
      <c r="H57" s="42">
        <v>0.675</v>
      </c>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81">
        <f t="shared" si="35"/>
        <v>22.75</v>
      </c>
      <c r="R57">
        <v>31.54</v>
      </c>
      <c r="S57" s="141">
        <f>'[3]TechHeat-RES-SD'!$I$163</f>
        <v>0.238095238095238</v>
      </c>
      <c r="V57" s="53"/>
      <c r="W57" s="105" t="s">
        <v>103</v>
      </c>
      <c r="X57" s="53"/>
      <c r="Y57" s="53" t="s">
        <v>39</v>
      </c>
      <c r="Z57" s="53" t="s">
        <v>40</v>
      </c>
      <c r="AA57" s="53"/>
      <c r="AB57" s="53"/>
      <c r="AC57" s="53"/>
      <c r="AG57">
        <v>0.62</v>
      </c>
    </row>
    <row r="58" spans="4:33">
      <c r="D58" s="105" t="s">
        <v>64</v>
      </c>
      <c r="E58" s="105"/>
      <c r="K58" s="102"/>
      <c r="L58" s="3"/>
      <c r="M58" s="102"/>
      <c r="N58" s="3"/>
      <c r="O58" s="102"/>
      <c r="P58" s="3"/>
      <c r="Q58" s="181"/>
      <c r="S58" s="141">
        <f t="shared" si="38"/>
        <v>0.761904761904762</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81">
        <f t="shared" si="35"/>
        <v>22.25</v>
      </c>
      <c r="R59">
        <v>31.54</v>
      </c>
      <c r="S59" s="141">
        <f>'[3]TechHeat-RES-SD'!$I$165</f>
        <v>0.320512820512821</v>
      </c>
      <c r="V59" s="53"/>
      <c r="W59" s="105" t="s">
        <v>104</v>
      </c>
      <c r="X59" s="53"/>
      <c r="Y59" s="53" t="s">
        <v>39</v>
      </c>
      <c r="Z59" s="53" t="s">
        <v>40</v>
      </c>
      <c r="AA59" s="53"/>
      <c r="AB59" s="53"/>
      <c r="AC59" s="53"/>
      <c r="AG59">
        <v>0.9</v>
      </c>
    </row>
    <row r="60" spans="4:33">
      <c r="D60" s="105" t="s">
        <v>44</v>
      </c>
      <c r="E60" s="105"/>
      <c r="K60" s="102"/>
      <c r="L60" s="3"/>
      <c r="M60" s="102"/>
      <c r="N60" s="3"/>
      <c r="O60" s="102"/>
      <c r="P60" s="3"/>
      <c r="Q60" s="181"/>
      <c r="S60" s="141">
        <f t="shared" si="38"/>
        <v>0.679487179487179</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81">
        <f t="shared" si="35"/>
        <v>24.5</v>
      </c>
      <c r="R61">
        <v>31.54</v>
      </c>
      <c r="S61" s="141">
        <f>'[3]TechHeat-RES-SD'!$I$167</f>
        <v>0.833333333333333</v>
      </c>
      <c r="V61" s="53"/>
      <c r="W61" s="105" t="s">
        <v>105</v>
      </c>
      <c r="X61" s="53"/>
      <c r="Y61" s="53" t="s">
        <v>39</v>
      </c>
      <c r="Z61" s="53" t="s">
        <v>40</v>
      </c>
      <c r="AA61" s="53"/>
      <c r="AB61" s="53"/>
      <c r="AC61" s="53"/>
      <c r="AG61">
        <v>1.9</v>
      </c>
    </row>
    <row r="62" spans="4:33">
      <c r="D62" s="105" t="s">
        <v>36</v>
      </c>
      <c r="E62" s="105"/>
      <c r="K62" s="102"/>
      <c r="L62" s="3"/>
      <c r="M62" s="102"/>
      <c r="N62" s="3"/>
      <c r="O62" s="102"/>
      <c r="P62" s="3"/>
      <c r="S62" s="141">
        <f>1-S61</f>
        <v>0.166666666666667</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81">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81">
        <f t="shared" si="43"/>
        <v>26.5</v>
      </c>
      <c r="R64">
        <v>31.54</v>
      </c>
      <c r="S64">
        <v>1</v>
      </c>
      <c r="V64" s="53"/>
      <c r="W64" t="s">
        <v>108</v>
      </c>
      <c r="X64" s="53"/>
      <c r="Y64" s="53" t="s">
        <v>39</v>
      </c>
      <c r="Z64" s="53" t="s">
        <v>40</v>
      </c>
      <c r="AA64" s="53"/>
      <c r="AB64" s="53"/>
      <c r="AC64" s="53"/>
      <c r="AG64">
        <v>0.75</v>
      </c>
    </row>
    <row r="65" spans="3:29">
      <c r="C65" t="s">
        <v>109</v>
      </c>
      <c r="D65" t="s">
        <v>36</v>
      </c>
      <c r="F65" t="s">
        <v>107</v>
      </c>
      <c r="G65" s="41">
        <v>2021</v>
      </c>
      <c r="H65" s="42">
        <v>0.85</v>
      </c>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81">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573.73785</v>
      </c>
      <c r="L66" s="62">
        <f t="shared" si="45"/>
        <v>6</v>
      </c>
      <c r="M66" s="62">
        <f t="shared" si="45"/>
        <v>573.73785</v>
      </c>
      <c r="N66" s="62">
        <f t="shared" si="45"/>
        <v>6</v>
      </c>
      <c r="O66" s="62">
        <f t="shared" si="45"/>
        <v>573.73785</v>
      </c>
      <c r="P66" s="62">
        <f t="shared" si="45"/>
        <v>6</v>
      </c>
      <c r="Q66" s="181">
        <f t="shared" si="45"/>
        <v>22</v>
      </c>
      <c r="R66">
        <v>31.54</v>
      </c>
      <c r="S66">
        <v>1</v>
      </c>
      <c r="V66" s="53"/>
      <c r="W66" t="s">
        <v>110</v>
      </c>
      <c r="X66" s="53"/>
      <c r="Y66" s="53" t="s">
        <v>39</v>
      </c>
      <c r="Z66" s="53" t="s">
        <v>40</v>
      </c>
      <c r="AA66" s="53"/>
      <c r="AB66" s="53"/>
      <c r="AC66" s="53"/>
      <c r="AG66">
        <v>0.675</v>
      </c>
    </row>
    <row r="67" spans="3:29">
      <c r="C67" t="s">
        <v>111</v>
      </c>
      <c r="D67" t="s">
        <v>44</v>
      </c>
      <c r="F67" t="s">
        <v>107</v>
      </c>
      <c r="G67" s="41">
        <v>2021</v>
      </c>
      <c r="H67" s="42">
        <v>0.8</v>
      </c>
      <c r="K67" s="62">
        <f t="shared" ref="K67:Q67" si="46">K48</f>
        <v>573.73785</v>
      </c>
      <c r="L67" s="62">
        <f t="shared" si="46"/>
        <v>6</v>
      </c>
      <c r="M67" s="62">
        <f t="shared" si="46"/>
        <v>573.73785</v>
      </c>
      <c r="N67" s="62">
        <f t="shared" si="46"/>
        <v>6</v>
      </c>
      <c r="O67" s="62">
        <f t="shared" si="46"/>
        <v>573.73785</v>
      </c>
      <c r="P67" s="62">
        <f t="shared" si="46"/>
        <v>6</v>
      </c>
      <c r="Q67" s="181">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573.73785</v>
      </c>
      <c r="L68" s="62">
        <f t="shared" si="47"/>
        <v>6</v>
      </c>
      <c r="M68" s="62">
        <f t="shared" si="47"/>
        <v>573.73785</v>
      </c>
      <c r="N68" s="62">
        <f t="shared" si="47"/>
        <v>6</v>
      </c>
      <c r="O68" s="62">
        <f t="shared" si="47"/>
        <v>573.73785</v>
      </c>
      <c r="P68" s="62">
        <f t="shared" si="47"/>
        <v>6</v>
      </c>
      <c r="Q68" s="181">
        <f t="shared" si="47"/>
        <v>22</v>
      </c>
      <c r="R68">
        <v>31.54</v>
      </c>
      <c r="S68">
        <v>1</v>
      </c>
      <c r="V68" s="53"/>
      <c r="W68" t="s">
        <v>112</v>
      </c>
      <c r="X68" s="53"/>
      <c r="Y68" s="53" t="s">
        <v>39</v>
      </c>
      <c r="Z68" s="53" t="s">
        <v>40</v>
      </c>
      <c r="AA68" s="53"/>
      <c r="AB68" s="53"/>
      <c r="AC68" s="53"/>
      <c r="AG68">
        <v>0.9</v>
      </c>
    </row>
    <row r="69" spans="3:29">
      <c r="C69" t="s">
        <v>113</v>
      </c>
      <c r="D69" t="s">
        <v>48</v>
      </c>
      <c r="F69" t="s">
        <v>107</v>
      </c>
      <c r="G69" s="41">
        <v>2021</v>
      </c>
      <c r="H69" s="42">
        <v>1</v>
      </c>
      <c r="K69" s="62">
        <f t="shared" ref="K69:Q69" si="48">K50</f>
        <v>655.7031</v>
      </c>
      <c r="L69" s="62">
        <f t="shared" si="48"/>
        <v>5</v>
      </c>
      <c r="M69" s="62">
        <f t="shared" si="48"/>
        <v>655.7031</v>
      </c>
      <c r="N69" s="62">
        <f t="shared" si="48"/>
        <v>5</v>
      </c>
      <c r="O69" s="62">
        <f t="shared" si="48"/>
        <v>655.7031</v>
      </c>
      <c r="P69" s="62">
        <f t="shared" si="48"/>
        <v>5</v>
      </c>
      <c r="Q69" s="181">
        <f t="shared" si="48"/>
        <v>22.5</v>
      </c>
      <c r="R69">
        <v>31.54</v>
      </c>
      <c r="S69">
        <v>1</v>
      </c>
      <c r="V69" s="53"/>
      <c r="W69" t="s">
        <v>113</v>
      </c>
      <c r="X69" s="53"/>
      <c r="Y69" s="53" t="s">
        <v>39</v>
      </c>
      <c r="Z69" s="53" t="s">
        <v>40</v>
      </c>
      <c r="AA69" s="53"/>
      <c r="AB69" s="53"/>
      <c r="AC69" s="53"/>
    </row>
    <row r="70" s="128" customFormat="1" spans="3:33">
      <c r="C70" s="128" t="s">
        <v>114</v>
      </c>
      <c r="D70" s="175" t="s">
        <v>48</v>
      </c>
      <c r="E70" s="175"/>
      <c r="F70" s="128" t="s">
        <v>107</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81">
        <f t="shared" si="49"/>
        <v>15.3</v>
      </c>
      <c r="R70" s="128">
        <v>31.54</v>
      </c>
      <c r="S70" s="187">
        <v>0.33</v>
      </c>
      <c r="V70" s="205"/>
      <c r="W70" s="128" t="s">
        <v>114</v>
      </c>
      <c r="X70" s="205"/>
      <c r="Y70" s="205" t="s">
        <v>39</v>
      </c>
      <c r="Z70" s="205" t="s">
        <v>40</v>
      </c>
      <c r="AA70" s="53"/>
      <c r="AB70" s="205"/>
      <c r="AC70" s="205"/>
      <c r="AG70" s="128">
        <v>0.89</v>
      </c>
    </row>
    <row r="71" spans="4:29">
      <c r="D71" s="173" t="str">
        <f>[2]COMM!$E$19</f>
        <v>RSDAHT</v>
      </c>
      <c r="K71" s="102"/>
      <c r="L71" s="3"/>
      <c r="M71" s="102"/>
      <c r="N71" s="3"/>
      <c r="O71" s="102"/>
      <c r="P71" s="3"/>
      <c r="Q71" s="181"/>
      <c r="R71">
        <v>31.54</v>
      </c>
      <c r="S71" s="85">
        <f>1-S70</f>
        <v>0.67</v>
      </c>
      <c r="V71" s="53"/>
      <c r="W71" t="s">
        <v>18</v>
      </c>
      <c r="X71" s="53"/>
      <c r="Y71" s="53"/>
      <c r="Z71" s="53"/>
      <c r="AA71" s="53"/>
      <c r="AB71" s="53"/>
      <c r="AC71" s="53"/>
    </row>
    <row r="72" spans="3:29">
      <c r="C72" t="s">
        <v>115</v>
      </c>
      <c r="D72" t="s">
        <v>53</v>
      </c>
      <c r="F72" t="s">
        <v>107</v>
      </c>
      <c r="G72" s="41">
        <v>2021</v>
      </c>
      <c r="H72" s="42">
        <v>0.5</v>
      </c>
      <c r="K72" s="62">
        <f t="shared" ref="K72:Q80" si="50">K53</f>
        <v>1127.68990573248</v>
      </c>
      <c r="L72" s="62">
        <f t="shared" si="50"/>
        <v>21.1544</v>
      </c>
      <c r="M72" s="62">
        <f t="shared" si="50"/>
        <v>1127.68990573248</v>
      </c>
      <c r="N72" s="62">
        <f t="shared" si="50"/>
        <v>21.1544</v>
      </c>
      <c r="O72" s="62">
        <f t="shared" si="50"/>
        <v>1127.68990573248</v>
      </c>
      <c r="P72" s="62">
        <f t="shared" si="50"/>
        <v>21.1544</v>
      </c>
      <c r="Q72" s="181">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1127.68990573248</v>
      </c>
      <c r="L73" s="62">
        <f t="shared" si="51"/>
        <v>21.1544</v>
      </c>
      <c r="M73" s="62">
        <f t="shared" si="51"/>
        <v>1127.68990573248</v>
      </c>
      <c r="N73" s="62">
        <f t="shared" si="51"/>
        <v>21.1544</v>
      </c>
      <c r="O73" s="62">
        <f t="shared" si="51"/>
        <v>1127.68990573248</v>
      </c>
      <c r="P73" s="62">
        <f t="shared" si="51"/>
        <v>21.1544</v>
      </c>
      <c r="Q73" s="181">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891.696502866242</v>
      </c>
      <c r="L74" s="62">
        <f t="shared" si="52"/>
        <v>13.0772</v>
      </c>
      <c r="M74" s="62">
        <f t="shared" si="52"/>
        <v>891.696502866242</v>
      </c>
      <c r="N74" s="62">
        <f t="shared" si="52"/>
        <v>13.0772</v>
      </c>
      <c r="O74" s="62">
        <f t="shared" si="52"/>
        <v>891.696502866242</v>
      </c>
      <c r="P74" s="62">
        <f t="shared" si="52"/>
        <v>13.0772</v>
      </c>
      <c r="Q74" s="181">
        <f t="shared" si="50"/>
        <v>20.75</v>
      </c>
      <c r="R74">
        <v>31.54</v>
      </c>
      <c r="S74" s="141">
        <f>'[3]TechHeat-RES-SD'!$I$161</f>
        <v>0.609756097560976</v>
      </c>
      <c r="V74" s="53"/>
      <c r="W74" s="105" t="s">
        <v>117</v>
      </c>
      <c r="X74" s="53"/>
      <c r="Y74" s="53" t="s">
        <v>39</v>
      </c>
      <c r="Z74" s="53" t="s">
        <v>40</v>
      </c>
      <c r="AA74" s="53"/>
      <c r="AB74" s="53"/>
      <c r="AC74" s="53"/>
      <c r="AG74">
        <v>0.78</v>
      </c>
    </row>
    <row r="75" spans="4:33">
      <c r="D75" s="105" t="s">
        <v>64</v>
      </c>
      <c r="E75" s="105"/>
      <c r="K75" s="102"/>
      <c r="M75" s="102"/>
      <c r="O75" s="102"/>
      <c r="P75" s="3"/>
      <c r="Q75" s="181"/>
      <c r="S75" s="141">
        <f t="shared" ref="S75:S79" si="53">1-S74</f>
        <v>0.390243902439024</v>
      </c>
      <c r="V75" s="53"/>
      <c r="W75" t="s">
        <v>18</v>
      </c>
      <c r="X75" s="53"/>
      <c r="Y75" s="53"/>
      <c r="Z75" s="53"/>
      <c r="AA75" s="53"/>
      <c r="AB75" s="53"/>
      <c r="AC75" s="53"/>
      <c r="AG75">
        <v>0.85</v>
      </c>
    </row>
    <row r="76" spans="3:33">
      <c r="C76" s="105" t="s">
        <v>118</v>
      </c>
      <c r="D76" s="105" t="s">
        <v>36</v>
      </c>
      <c r="E76" s="105"/>
      <c r="F76" t="s">
        <v>107</v>
      </c>
      <c r="G76" s="41">
        <v>2021</v>
      </c>
      <c r="H76" s="42">
        <v>0.675</v>
      </c>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81">
        <f t="shared" si="50"/>
        <v>22.75</v>
      </c>
      <c r="R76">
        <v>31.54</v>
      </c>
      <c r="S76" s="141">
        <f>'[3]TechHeat-RES-SD'!$I$163</f>
        <v>0.238095238095238</v>
      </c>
      <c r="V76" s="53"/>
      <c r="W76" s="105" t="s">
        <v>118</v>
      </c>
      <c r="X76" s="53"/>
      <c r="Y76" s="53" t="s">
        <v>39</v>
      </c>
      <c r="Z76" s="53" t="s">
        <v>40</v>
      </c>
      <c r="AA76" s="53"/>
      <c r="AB76" s="53"/>
      <c r="AC76" s="53"/>
      <c r="AG76">
        <v>0.62</v>
      </c>
    </row>
    <row r="77" spans="4:33">
      <c r="D77" s="105" t="s">
        <v>64</v>
      </c>
      <c r="E77" s="105"/>
      <c r="K77" s="102"/>
      <c r="L77" s="3"/>
      <c r="M77" s="102"/>
      <c r="N77" s="3"/>
      <c r="O77" s="102"/>
      <c r="P77" s="3"/>
      <c r="Q77" s="181"/>
      <c r="S77" s="141">
        <f t="shared" si="53"/>
        <v>0.761904761904762</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81">
        <f t="shared" si="50"/>
        <v>22.25</v>
      </c>
      <c r="R78">
        <v>31.54</v>
      </c>
      <c r="S78" s="141">
        <f>'[3]TechHeat-RES-SD'!$I$165</f>
        <v>0.320512820512821</v>
      </c>
      <c r="V78" s="53"/>
      <c r="W78" s="105" t="s">
        <v>119</v>
      </c>
      <c r="X78" s="53"/>
      <c r="Y78" s="53" t="s">
        <v>39</v>
      </c>
      <c r="Z78" s="53" t="s">
        <v>40</v>
      </c>
      <c r="AA78" s="53"/>
      <c r="AB78" s="53"/>
      <c r="AC78" s="53"/>
      <c r="AG78">
        <v>0.9</v>
      </c>
    </row>
    <row r="79" spans="4:33">
      <c r="D79" s="105" t="s">
        <v>44</v>
      </c>
      <c r="E79" s="105"/>
      <c r="K79" s="102"/>
      <c r="L79" s="3"/>
      <c r="M79" s="102"/>
      <c r="N79" s="3"/>
      <c r="O79" s="102"/>
      <c r="P79" s="3"/>
      <c r="Q79" s="181"/>
      <c r="S79" s="141">
        <f t="shared" si="53"/>
        <v>0.679487179487179</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81">
        <f t="shared" si="50"/>
        <v>24.5</v>
      </c>
      <c r="R80">
        <v>31.54</v>
      </c>
      <c r="S80" s="141">
        <f>'[3]TechHeat-RES-SD'!$I$167</f>
        <v>0.833333333333333</v>
      </c>
      <c r="V80" s="53"/>
      <c r="W80" s="105" t="s">
        <v>120</v>
      </c>
      <c r="X80" s="53"/>
      <c r="Y80" s="53" t="s">
        <v>39</v>
      </c>
      <c r="Z80" s="53" t="s">
        <v>40</v>
      </c>
      <c r="AA80" s="53"/>
      <c r="AB80" s="53"/>
      <c r="AC80" s="53"/>
      <c r="AG80">
        <v>1.9</v>
      </c>
    </row>
    <row r="81" spans="4:33">
      <c r="D81" s="105" t="s">
        <v>36</v>
      </c>
      <c r="E81" s="105"/>
      <c r="K81" s="102"/>
      <c r="M81" s="102"/>
      <c r="O81" s="102"/>
      <c r="P81" s="3"/>
      <c r="S81" s="141">
        <f>1-S80</f>
        <v>0.166666666666667</v>
      </c>
      <c r="V81" s="53"/>
      <c r="W81" t="s">
        <v>18</v>
      </c>
      <c r="X81" s="53"/>
      <c r="Y81" s="53"/>
      <c r="Z81" s="53"/>
      <c r="AA81" s="53"/>
      <c r="AB81" s="53"/>
      <c r="AC81" s="53"/>
      <c r="AG81">
        <v>0.5</v>
      </c>
    </row>
    <row r="82" spans="3:33">
      <c r="C82" s="105" t="str">
        <f>W82</f>
        <v>R_ES_SC-SD_ELC_ROOM_CENTRAL1</v>
      </c>
      <c r="D82" s="105" t="s">
        <v>48</v>
      </c>
      <c r="E82" s="105"/>
      <c r="F82" s="105" t="s">
        <v>121</v>
      </c>
      <c r="G82" s="41">
        <v>2021</v>
      </c>
      <c r="H82" s="199">
        <f>11.5/3.412</f>
        <v>3.3704572098476</v>
      </c>
      <c r="I82" s="172"/>
      <c r="K82" s="102">
        <f>AY17</f>
        <v>655.7031</v>
      </c>
      <c r="L82" s="102">
        <f>AVERAGE(20,150)/10</f>
        <v>8.5</v>
      </c>
      <c r="M82" s="102">
        <f>K82</f>
        <v>655.7031</v>
      </c>
      <c r="N82" s="102">
        <f>L82</f>
        <v>8.5</v>
      </c>
      <c r="O82" s="102">
        <f t="shared" ref="O82:P82" si="57">K82</f>
        <v>655.7031</v>
      </c>
      <c r="P82" s="102">
        <f t="shared" si="57"/>
        <v>8.5</v>
      </c>
      <c r="Q82" s="206">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99"/>
      <c r="I83" s="172"/>
      <c r="K83" s="102"/>
      <c r="L83" s="102"/>
      <c r="M83" s="102"/>
      <c r="N83" s="102"/>
      <c r="O83" s="102"/>
      <c r="P83" s="102"/>
      <c r="Q83" s="204"/>
      <c r="V83" s="53"/>
      <c r="W83" s="105" t="s">
        <v>18</v>
      </c>
      <c r="X83" s="53"/>
      <c r="Y83" s="53"/>
      <c r="Z83" s="53"/>
      <c r="AA83" s="53"/>
      <c r="AB83" s="53"/>
      <c r="AC83" s="53"/>
      <c r="AG83">
        <v>0.75</v>
      </c>
    </row>
    <row r="84" spans="3:29">
      <c r="C84" s="105" t="str">
        <f t="shared" si="58"/>
        <v>R_ES_SC-SA_ELC_ROOM_CENTRAL1</v>
      </c>
      <c r="D84" s="105" t="s">
        <v>48</v>
      </c>
      <c r="E84" s="105"/>
      <c r="F84" s="105" t="s">
        <v>123</v>
      </c>
      <c r="G84" s="41">
        <v>2021</v>
      </c>
      <c r="H84" s="199">
        <f>H82</f>
        <v>3.3704572098476</v>
      </c>
      <c r="I84" s="172"/>
      <c r="K84" s="102">
        <f t="shared" ref="K84:O84" si="59">K82</f>
        <v>655.7031</v>
      </c>
      <c r="L84" s="102">
        <f t="shared" si="59"/>
        <v>8.5</v>
      </c>
      <c r="M84" s="102">
        <f t="shared" ref="M84:M88" si="60">K84</f>
        <v>655.7031</v>
      </c>
      <c r="N84" s="102">
        <f t="shared" si="59"/>
        <v>8.5</v>
      </c>
      <c r="O84" s="102">
        <f t="shared" si="59"/>
        <v>655.7031</v>
      </c>
      <c r="P84" s="102">
        <f>L84</f>
        <v>8.5</v>
      </c>
      <c r="Q84" s="206">
        <f>(11+25)/2</f>
        <v>18</v>
      </c>
      <c r="R84">
        <v>31.54</v>
      </c>
      <c r="S84">
        <v>1</v>
      </c>
      <c r="V84" s="53"/>
      <c r="W84" s="105" t="s">
        <v>124</v>
      </c>
      <c r="X84" s="53"/>
      <c r="Y84" s="53" t="s">
        <v>39</v>
      </c>
      <c r="Z84" s="53" t="s">
        <v>40</v>
      </c>
      <c r="AA84" s="53"/>
      <c r="AB84" s="53"/>
      <c r="AC84" s="53"/>
    </row>
    <row r="85" spans="3:33">
      <c r="C85" s="105" t="str">
        <f t="shared" si="58"/>
        <v>*</v>
      </c>
      <c r="D85" s="105"/>
      <c r="E85" s="105"/>
      <c r="F85" s="105"/>
      <c r="H85" s="199"/>
      <c r="I85" s="172"/>
      <c r="K85" s="102"/>
      <c r="L85" s="102"/>
      <c r="M85" s="102"/>
      <c r="N85" s="102"/>
      <c r="O85" s="102"/>
      <c r="P85" s="102"/>
      <c r="Q85" s="204"/>
      <c r="V85" s="53"/>
      <c r="W85" s="105" t="s">
        <v>18</v>
      </c>
      <c r="X85" s="53"/>
      <c r="Y85" s="53"/>
      <c r="Z85" s="53"/>
      <c r="AA85" s="53"/>
      <c r="AB85" s="53"/>
      <c r="AC85" s="53"/>
      <c r="AG85">
        <v>0.675</v>
      </c>
    </row>
    <row r="86" spans="3:29">
      <c r="C86" s="105" t="str">
        <f t="shared" si="58"/>
        <v>R_ES_SC-AP_ELC_ROOM_CENTRAL1</v>
      </c>
      <c r="D86" s="105" t="s">
        <v>48</v>
      </c>
      <c r="E86" s="105"/>
      <c r="F86" s="105" t="s">
        <v>125</v>
      </c>
      <c r="G86" s="41">
        <v>2021</v>
      </c>
      <c r="H86" s="199">
        <f>13.7/3.412</f>
        <v>4.01524032825322</v>
      </c>
      <c r="I86" s="172"/>
      <c r="K86" s="102">
        <f t="shared" ref="K86:O86" si="61">K84</f>
        <v>655.7031</v>
      </c>
      <c r="L86" s="102">
        <f t="shared" si="61"/>
        <v>8.5</v>
      </c>
      <c r="M86" s="102">
        <f t="shared" si="60"/>
        <v>655.7031</v>
      </c>
      <c r="N86" s="102">
        <f t="shared" si="61"/>
        <v>8.5</v>
      </c>
      <c r="O86" s="102">
        <f t="shared" si="61"/>
        <v>655.7031</v>
      </c>
      <c r="P86" s="102">
        <f>L86</f>
        <v>8.5</v>
      </c>
      <c r="Q86" s="206">
        <f>(11+25)/2</f>
        <v>18</v>
      </c>
      <c r="R86">
        <v>31.54</v>
      </c>
      <c r="S86">
        <v>1</v>
      </c>
      <c r="V86" s="53"/>
      <c r="W86" s="105" t="s">
        <v>126</v>
      </c>
      <c r="X86" s="53"/>
      <c r="Y86" s="53" t="s">
        <v>39</v>
      </c>
      <c r="Z86" s="53" t="s">
        <v>40</v>
      </c>
      <c r="AA86" s="53"/>
      <c r="AB86" s="53"/>
      <c r="AC86" s="53"/>
    </row>
    <row r="87" spans="3:33">
      <c r="C87" s="105" t="str">
        <f t="shared" si="58"/>
        <v>*</v>
      </c>
      <c r="D87" s="105"/>
      <c r="E87" s="105"/>
      <c r="F87" s="105"/>
      <c r="H87" s="199"/>
      <c r="I87" s="172"/>
      <c r="K87" s="102"/>
      <c r="L87" s="102"/>
      <c r="M87" s="102"/>
      <c r="N87" s="102"/>
      <c r="O87" s="102"/>
      <c r="P87" s="102"/>
      <c r="Q87" s="204"/>
      <c r="V87" s="53"/>
      <c r="W87" s="105" t="s">
        <v>18</v>
      </c>
      <c r="X87" s="53"/>
      <c r="Y87" s="53"/>
      <c r="Z87" s="53"/>
      <c r="AA87" s="53"/>
      <c r="AB87" s="53"/>
      <c r="AC87" s="53"/>
      <c r="AG87">
        <v>0.9</v>
      </c>
    </row>
    <row r="88" spans="3:29">
      <c r="C88" s="105" t="str">
        <f t="shared" si="58"/>
        <v>R_ES_SC-MOB_ELC_ROOM_CENTRAL1</v>
      </c>
      <c r="D88" s="105" t="s">
        <v>48</v>
      </c>
      <c r="E88" s="105"/>
      <c r="F88" s="105" t="s">
        <v>127</v>
      </c>
      <c r="G88" s="41">
        <v>2021</v>
      </c>
      <c r="H88" s="199">
        <f>H86</f>
        <v>4.01524032825322</v>
      </c>
      <c r="I88" s="172"/>
      <c r="K88" s="102">
        <f>K86</f>
        <v>655.7031</v>
      </c>
      <c r="L88" s="102">
        <f>L86</f>
        <v>8.5</v>
      </c>
      <c r="M88" s="102">
        <f t="shared" si="60"/>
        <v>655.7031</v>
      </c>
      <c r="N88" s="102">
        <f>N86</f>
        <v>8.5</v>
      </c>
      <c r="O88" s="102">
        <f t="shared" ref="O88:P88" si="62">K88</f>
        <v>655.7031</v>
      </c>
      <c r="P88" s="102">
        <f t="shared" si="62"/>
        <v>8.5</v>
      </c>
      <c r="Q88" s="206">
        <f>(11+25)/2</f>
        <v>18</v>
      </c>
      <c r="R88">
        <v>31.54</v>
      </c>
      <c r="S88">
        <v>1</v>
      </c>
      <c r="V88" s="53"/>
      <c r="W88" s="105" t="s">
        <v>128</v>
      </c>
      <c r="X88" s="53"/>
      <c r="Y88" s="53" t="s">
        <v>39</v>
      </c>
      <c r="Z88" s="53" t="s">
        <v>40</v>
      </c>
      <c r="AA88" s="53"/>
      <c r="AB88" s="53"/>
      <c r="AC88" s="53"/>
    </row>
    <row r="89" spans="3:33">
      <c r="C89" s="105" t="str">
        <f t="shared" si="58"/>
        <v>*</v>
      </c>
      <c r="D89" s="105"/>
      <c r="E89" s="105"/>
      <c r="F89" s="105"/>
      <c r="H89" s="172"/>
      <c r="I89" s="172"/>
      <c r="K89" s="3"/>
      <c r="L89" s="102"/>
      <c r="M89" s="102"/>
      <c r="N89" s="102"/>
      <c r="O89" s="102"/>
      <c r="P89" s="102"/>
      <c r="V89" s="53"/>
      <c r="W89" s="105" t="s">
        <v>18</v>
      </c>
      <c r="X89" s="53"/>
      <c r="Y89" s="53"/>
      <c r="Z89" s="53"/>
      <c r="AA89" s="53"/>
      <c r="AB89" s="53"/>
      <c r="AC89" s="53"/>
      <c r="AG89">
        <v>0.89</v>
      </c>
    </row>
    <row r="90" spans="3:29">
      <c r="C90" s="47" t="s">
        <v>129</v>
      </c>
      <c r="D90" s="47" t="s">
        <v>48</v>
      </c>
      <c r="E90" s="47"/>
      <c r="F90" s="47" t="s">
        <v>130</v>
      </c>
      <c r="G90" s="95">
        <v>2021</v>
      </c>
      <c r="H90" s="92">
        <f>'[4]TechWatHea-SingleDetached-RES'!$N$23</f>
        <v>0.9633267069663</v>
      </c>
      <c r="I90" s="92"/>
      <c r="J90" s="92">
        <v>0.171767776689682</v>
      </c>
      <c r="K90" s="177">
        <f>(710+1290)/2*1/11</f>
        <v>90.9090909090909</v>
      </c>
      <c r="L90" s="177">
        <f>20/11</f>
        <v>1.81818181818182</v>
      </c>
      <c r="M90" s="177">
        <f t="shared" ref="M90:P93" si="63">K90</f>
        <v>90.9090909090909</v>
      </c>
      <c r="N90" s="177">
        <f t="shared" si="63"/>
        <v>1.81818181818182</v>
      </c>
      <c r="O90" s="177">
        <f t="shared" si="63"/>
        <v>90.9090909090909</v>
      </c>
      <c r="P90" s="177">
        <f t="shared" si="63"/>
        <v>1.81818181818182</v>
      </c>
      <c r="Q90" s="186">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0.9633267069663</v>
      </c>
      <c r="I91" s="92"/>
      <c r="J91" s="92">
        <v>0.436692238879344</v>
      </c>
      <c r="K91" s="177">
        <f>(2880+1650)/2*1/12</f>
        <v>188.75</v>
      </c>
      <c r="L91" s="177">
        <f>20/12</f>
        <v>1.66666666666667</v>
      </c>
      <c r="M91" s="177">
        <f t="shared" si="63"/>
        <v>188.75</v>
      </c>
      <c r="N91" s="177">
        <f t="shared" si="63"/>
        <v>1.66666666666667</v>
      </c>
      <c r="O91" s="177">
        <f t="shared" si="63"/>
        <v>188.75</v>
      </c>
      <c r="P91" s="177">
        <f t="shared" si="63"/>
        <v>1.66666666666667</v>
      </c>
      <c r="Q91" s="186">
        <v>19</v>
      </c>
      <c r="R91" s="58">
        <v>31.54</v>
      </c>
      <c r="S91" s="58">
        <v>1</v>
      </c>
      <c r="V91" s="53"/>
      <c r="W91" s="105" t="s">
        <v>131</v>
      </c>
      <c r="X91" s="53"/>
      <c r="Y91" s="53" t="s">
        <v>39</v>
      </c>
      <c r="Z91" s="53" t="s">
        <v>40</v>
      </c>
      <c r="AA91" s="53"/>
      <c r="AB91" s="53"/>
      <c r="AC91" s="53"/>
      <c r="AG91" s="192">
        <v>0.124</v>
      </c>
    </row>
    <row r="92" spans="3:33">
      <c r="C92" s="47" t="s">
        <v>132</v>
      </c>
      <c r="D92" s="47" t="s">
        <v>36</v>
      </c>
      <c r="E92" s="47"/>
      <c r="F92" s="47" t="s">
        <v>130</v>
      </c>
      <c r="G92" s="95">
        <v>2021</v>
      </c>
      <c r="H92" s="92">
        <f>'[4]TechWatHea-SingleDetached-RES'!$N$25</f>
        <v>0.9633267069663</v>
      </c>
      <c r="I92" s="92"/>
      <c r="J92" s="92">
        <v>0.146564546538015</v>
      </c>
      <c r="K92" s="177">
        <f>(2650+3350)/2*1/10</f>
        <v>300</v>
      </c>
      <c r="L92" s="177">
        <f>210/10*1</f>
        <v>21</v>
      </c>
      <c r="M92" s="177">
        <f t="shared" si="63"/>
        <v>300</v>
      </c>
      <c r="N92" s="177">
        <f t="shared" si="63"/>
        <v>21</v>
      </c>
      <c r="O92" s="177">
        <f t="shared" si="63"/>
        <v>300</v>
      </c>
      <c r="P92" s="177">
        <f t="shared" si="63"/>
        <v>21</v>
      </c>
      <c r="Q92" s="186">
        <v>13</v>
      </c>
      <c r="R92" s="58">
        <v>31.54</v>
      </c>
      <c r="S92" s="58">
        <v>1</v>
      </c>
      <c r="V92" s="53"/>
      <c r="W92" s="105" t="s">
        <v>132</v>
      </c>
      <c r="X92" s="53"/>
      <c r="Y92" s="53" t="s">
        <v>39</v>
      </c>
      <c r="Z92" s="53" t="s">
        <v>40</v>
      </c>
      <c r="AA92" s="53"/>
      <c r="AB92" s="53"/>
      <c r="AC92" s="53"/>
      <c r="AG92" s="192"/>
    </row>
    <row r="93" spans="3:33">
      <c r="C93" s="47" t="s">
        <v>133</v>
      </c>
      <c r="D93" s="47" t="s">
        <v>134</v>
      </c>
      <c r="E93" s="47"/>
      <c r="F93" s="47" t="s">
        <v>130</v>
      </c>
      <c r="G93" s="95">
        <v>2021</v>
      </c>
      <c r="H93" s="92">
        <f>'[4]TechWatHea-SingleDetached-RES'!$N$26</f>
        <v>0.9633267069663</v>
      </c>
      <c r="I93" s="92"/>
      <c r="J93" s="92">
        <v>0.315287923478673</v>
      </c>
      <c r="K93" s="177">
        <f>5940/(100/3.412)*1</f>
        <v>202.6728</v>
      </c>
      <c r="L93" s="177">
        <f>160/(100/3.412)*1</f>
        <v>5.4592</v>
      </c>
      <c r="M93" s="177">
        <f t="shared" si="63"/>
        <v>202.6728</v>
      </c>
      <c r="N93" s="177">
        <f t="shared" si="63"/>
        <v>5.4592</v>
      </c>
      <c r="O93" s="177">
        <f t="shared" si="63"/>
        <v>202.6728</v>
      </c>
      <c r="P93" s="177">
        <f t="shared" si="63"/>
        <v>5.4592</v>
      </c>
      <c r="Q93" s="186">
        <v>25</v>
      </c>
      <c r="R93" s="58">
        <v>31.54</v>
      </c>
      <c r="S93" s="58">
        <v>1</v>
      </c>
      <c r="V93" s="53"/>
      <c r="W93" s="105" t="s">
        <v>133</v>
      </c>
      <c r="X93" s="53"/>
      <c r="Y93" s="53" t="s">
        <v>39</v>
      </c>
      <c r="Z93" s="53" t="s">
        <v>40</v>
      </c>
      <c r="AA93" s="53"/>
      <c r="AB93" s="53"/>
      <c r="AC93" s="53"/>
      <c r="AG93" s="192">
        <v>0.124</v>
      </c>
    </row>
    <row r="94" spans="3:33">
      <c r="C94" s="47" t="s">
        <v>135</v>
      </c>
      <c r="D94" s="47" t="s">
        <v>53</v>
      </c>
      <c r="E94" s="47"/>
      <c r="F94" s="47" t="s">
        <v>130</v>
      </c>
      <c r="G94" s="95">
        <v>2021</v>
      </c>
      <c r="H94" s="92">
        <f>'[4]TechWatHea-SingleDetached-RES'!$N$27</f>
        <v>0.9633267069663</v>
      </c>
      <c r="I94" s="92"/>
      <c r="J94" s="92">
        <v>0.821415055286326</v>
      </c>
      <c r="K94" s="177">
        <f>K95</f>
        <v>308.4448</v>
      </c>
      <c r="L94" s="177">
        <f t="shared" ref="L94:Q94" si="64">L95</f>
        <v>21.1544</v>
      </c>
      <c r="M94" s="177">
        <f t="shared" si="64"/>
        <v>308.4448</v>
      </c>
      <c r="N94" s="177">
        <f t="shared" si="64"/>
        <v>21.1544</v>
      </c>
      <c r="O94" s="177">
        <f t="shared" si="64"/>
        <v>308.4448</v>
      </c>
      <c r="P94" s="177">
        <f t="shared" si="64"/>
        <v>21.1544</v>
      </c>
      <c r="Q94" s="71">
        <f t="shared" si="64"/>
        <v>19</v>
      </c>
      <c r="R94" s="58">
        <v>31.54</v>
      </c>
      <c r="S94" s="58">
        <v>1</v>
      </c>
      <c r="V94" s="53"/>
      <c r="W94" s="105" t="s">
        <v>135</v>
      </c>
      <c r="X94" s="53"/>
      <c r="Y94" s="53" t="s">
        <v>39</v>
      </c>
      <c r="Z94" s="53" t="s">
        <v>40</v>
      </c>
      <c r="AA94" s="53"/>
      <c r="AB94" s="53"/>
      <c r="AC94" s="53"/>
      <c r="AG94" s="192"/>
    </row>
    <row r="95" spans="3:33">
      <c r="C95" s="47" t="s">
        <v>136</v>
      </c>
      <c r="D95" s="47" t="s">
        <v>64</v>
      </c>
      <c r="E95" s="47"/>
      <c r="F95" s="47" t="s">
        <v>130</v>
      </c>
      <c r="G95" s="95">
        <v>2021</v>
      </c>
      <c r="H95" s="92">
        <f>'[4]TechWatHea-SingleDetached-RES'!$N$28</f>
        <v>0.9633267069663</v>
      </c>
      <c r="I95" s="92"/>
      <c r="J95" s="92">
        <f>'[4]TechWatHea-SingleDetached-RES'!$N$59</f>
        <v>0.224413799148769</v>
      </c>
      <c r="K95" s="177">
        <f>4520/(50/3.412)*1</f>
        <v>308.4448</v>
      </c>
      <c r="L95" s="177">
        <f>310/(50/3.412)*1</f>
        <v>21.1544</v>
      </c>
      <c r="M95" s="177">
        <f>K95</f>
        <v>308.4448</v>
      </c>
      <c r="N95" s="177">
        <f>L95</f>
        <v>21.1544</v>
      </c>
      <c r="O95" s="177">
        <f>M95</f>
        <v>308.4448</v>
      </c>
      <c r="P95" s="177">
        <f>N95</f>
        <v>21.1544</v>
      </c>
      <c r="Q95" s="186">
        <v>19</v>
      </c>
      <c r="R95" s="58">
        <v>31.54</v>
      </c>
      <c r="S95" s="58">
        <v>1</v>
      </c>
      <c r="V95" s="53"/>
      <c r="W95" s="105" t="s">
        <v>136</v>
      </c>
      <c r="X95" s="53"/>
      <c r="Y95" s="53" t="s">
        <v>39</v>
      </c>
      <c r="Z95" s="53" t="s">
        <v>40</v>
      </c>
      <c r="AA95" s="53"/>
      <c r="AB95" s="53"/>
      <c r="AC95" s="53"/>
      <c r="AG95" s="192">
        <v>0.124</v>
      </c>
    </row>
    <row r="96" spans="3:33">
      <c r="C96" s="105" t="s">
        <v>137</v>
      </c>
      <c r="D96" s="105" t="s">
        <v>48</v>
      </c>
      <c r="E96" s="105"/>
      <c r="F96" s="105" t="s">
        <v>138</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86">
        <f t="shared" si="65"/>
        <v>13</v>
      </c>
      <c r="R96" s="58">
        <v>31.54</v>
      </c>
      <c r="S96" s="58">
        <v>1</v>
      </c>
      <c r="V96" s="53"/>
      <c r="W96" s="105" t="s">
        <v>137</v>
      </c>
      <c r="X96" s="53"/>
      <c r="Y96" s="53" t="s">
        <v>39</v>
      </c>
      <c r="Z96" s="53" t="s">
        <v>40</v>
      </c>
      <c r="AA96" s="53"/>
      <c r="AB96" s="53"/>
      <c r="AC96" s="53"/>
      <c r="AG96" s="192"/>
    </row>
    <row r="97" spans="3:33">
      <c r="C97" s="105" t="s">
        <v>139</v>
      </c>
      <c r="D97" s="105" t="s">
        <v>44</v>
      </c>
      <c r="E97" s="105"/>
      <c r="F97" s="105" t="s">
        <v>138</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86">
        <f t="shared" si="71"/>
        <v>19</v>
      </c>
      <c r="R97" s="58">
        <v>31.54</v>
      </c>
      <c r="S97" s="58">
        <v>1</v>
      </c>
      <c r="V97" s="53"/>
      <c r="W97" s="105" t="s">
        <v>139</v>
      </c>
      <c r="X97" s="53"/>
      <c r="Y97" s="53" t="s">
        <v>39</v>
      </c>
      <c r="Z97" s="53" t="s">
        <v>40</v>
      </c>
      <c r="AA97" s="53"/>
      <c r="AB97" s="53"/>
      <c r="AC97" s="53"/>
      <c r="AG97" s="192">
        <v>0.124</v>
      </c>
    </row>
    <row r="98" spans="3:33">
      <c r="C98" s="105" t="s">
        <v>140</v>
      </c>
      <c r="D98" s="105" t="s">
        <v>36</v>
      </c>
      <c r="E98" s="105"/>
      <c r="F98" s="105" t="s">
        <v>138</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86">
        <f t="shared" si="71"/>
        <v>13</v>
      </c>
      <c r="R98" s="58">
        <v>31.54</v>
      </c>
      <c r="S98" s="58">
        <v>1</v>
      </c>
      <c r="V98" s="53"/>
      <c r="W98" s="105" t="s">
        <v>140</v>
      </c>
      <c r="X98" s="53"/>
      <c r="Y98" s="53" t="s">
        <v>39</v>
      </c>
      <c r="Z98" s="53" t="s">
        <v>40</v>
      </c>
      <c r="AA98" s="53"/>
      <c r="AB98" s="53"/>
      <c r="AC98" s="53"/>
      <c r="AG98" s="192"/>
    </row>
    <row r="99" spans="3:33">
      <c r="C99" s="105" t="s">
        <v>141</v>
      </c>
      <c r="D99" s="105" t="s">
        <v>134</v>
      </c>
      <c r="E99" s="105"/>
      <c r="F99" s="105" t="s">
        <v>138</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86">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86">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0.9633267069663</v>
      </c>
      <c r="I101" s="92"/>
      <c r="J101" s="92">
        <f>'[4]TechWatHea-SingleAttached'!$N$59</f>
        <v>1.12647587344601</v>
      </c>
      <c r="K101" s="62">
        <f t="shared" si="66"/>
        <v>308.4448</v>
      </c>
      <c r="L101" s="62">
        <f t="shared" si="67"/>
        <v>21.1544</v>
      </c>
      <c r="M101" s="62">
        <f t="shared" si="68"/>
        <v>308.4448</v>
      </c>
      <c r="N101" s="62">
        <f t="shared" si="69"/>
        <v>21.1544</v>
      </c>
      <c r="O101" s="62">
        <f t="shared" si="70"/>
        <v>308.4448</v>
      </c>
      <c r="P101" s="62">
        <f t="shared" si="71"/>
        <v>21.1544</v>
      </c>
      <c r="Q101" s="186">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200">
        <f>'[4]TechWatHea-Appartment'!$N$23</f>
        <v>0.9633267069663</v>
      </c>
      <c r="I102" s="200"/>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86">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200">
        <f>'[4]TechWatHea-Appartment'!$N$24</f>
        <v>0.9633267069663</v>
      </c>
      <c r="I103" s="200"/>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86">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200">
        <f>'[4]TechWatHea-Appartment'!$N$25</f>
        <v>0.9633267069663</v>
      </c>
      <c r="I104" s="200"/>
      <c r="J104" s="92">
        <v>0.0885606517857261</v>
      </c>
      <c r="K104" s="62">
        <f t="shared" si="66"/>
        <v>300</v>
      </c>
      <c r="L104" s="62">
        <f t="shared" si="67"/>
        <v>21</v>
      </c>
      <c r="M104" s="62">
        <f t="shared" si="68"/>
        <v>300</v>
      </c>
      <c r="N104" s="62">
        <f t="shared" si="69"/>
        <v>21</v>
      </c>
      <c r="O104" s="62">
        <f t="shared" si="70"/>
        <v>300</v>
      </c>
      <c r="P104" s="62">
        <f t="shared" si="71"/>
        <v>21</v>
      </c>
      <c r="Q104" s="186">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200">
        <f>'[4]TechWatHea-Appartment'!$N$26</f>
        <v>0.9633267069663</v>
      </c>
      <c r="I105" s="200"/>
      <c r="J105" s="92">
        <v>0.143923107198767</v>
      </c>
      <c r="K105" s="62">
        <f t="shared" si="66"/>
        <v>202.6728</v>
      </c>
      <c r="L105" s="62">
        <f t="shared" si="67"/>
        <v>5.4592</v>
      </c>
      <c r="M105" s="62">
        <f t="shared" si="68"/>
        <v>202.6728</v>
      </c>
      <c r="N105" s="62">
        <f t="shared" si="69"/>
        <v>5.4592</v>
      </c>
      <c r="O105" s="62">
        <f t="shared" si="70"/>
        <v>202.6728</v>
      </c>
      <c r="P105" s="62">
        <f t="shared" si="71"/>
        <v>5.4592</v>
      </c>
      <c r="Q105" s="186">
        <f t="shared" ref="Q105" si="74">Q99</f>
        <v>25</v>
      </c>
      <c r="R105" s="58">
        <v>31.54</v>
      </c>
      <c r="S105" s="58">
        <v>1</v>
      </c>
      <c r="V105" s="207"/>
      <c r="W105" s="105" t="s">
        <v>148</v>
      </c>
      <c r="X105" s="208"/>
      <c r="Y105" s="207" t="s">
        <v>39</v>
      </c>
      <c r="Z105" s="207" t="s">
        <v>40</v>
      </c>
      <c r="AA105" s="53"/>
      <c r="AB105" s="207"/>
      <c r="AC105" s="207"/>
      <c r="AG105">
        <v>0.65</v>
      </c>
    </row>
    <row r="106" spans="3:33">
      <c r="C106" s="105" t="s">
        <v>149</v>
      </c>
      <c r="D106" s="105" t="s">
        <v>53</v>
      </c>
      <c r="E106" s="105"/>
      <c r="F106" s="105" t="s">
        <v>145</v>
      </c>
      <c r="G106" s="95">
        <v>2021</v>
      </c>
      <c r="H106" s="200">
        <f>'[4]TechWatHea-Appartment'!$N$27</f>
        <v>0.9633267069663</v>
      </c>
      <c r="I106" s="200"/>
      <c r="J106" s="92">
        <v>0.281268478157475</v>
      </c>
      <c r="K106" s="62">
        <f t="shared" si="66"/>
        <v>308.4448</v>
      </c>
      <c r="L106" s="62">
        <f t="shared" si="67"/>
        <v>21.1544</v>
      </c>
      <c r="M106" s="62">
        <f t="shared" si="68"/>
        <v>308.4448</v>
      </c>
      <c r="N106" s="62">
        <f t="shared" si="69"/>
        <v>21.1544</v>
      </c>
      <c r="O106" s="62">
        <f t="shared" si="70"/>
        <v>308.4448</v>
      </c>
      <c r="P106" s="62">
        <f t="shared" si="71"/>
        <v>21.1544</v>
      </c>
      <c r="Q106" s="186">
        <f t="shared" ref="Q106" si="75">Q100</f>
        <v>19</v>
      </c>
      <c r="R106" s="58">
        <v>31.54</v>
      </c>
      <c r="S106" s="58">
        <v>1</v>
      </c>
      <c r="W106" s="105" t="s">
        <v>149</v>
      </c>
      <c r="Y106" s="207" t="s">
        <v>39</v>
      </c>
      <c r="Z106" s="207" t="s">
        <v>40</v>
      </c>
      <c r="AA106" s="53"/>
      <c r="AB106" s="207"/>
      <c r="AC106" s="207"/>
      <c r="AG106">
        <v>0.65</v>
      </c>
    </row>
    <row r="107" spans="3:33">
      <c r="C107" s="105" t="s">
        <v>150</v>
      </c>
      <c r="D107" s="105" t="s">
        <v>64</v>
      </c>
      <c r="E107" s="105"/>
      <c r="F107" s="105" t="s">
        <v>145</v>
      </c>
      <c r="G107" s="95">
        <v>2021</v>
      </c>
      <c r="H107" s="200">
        <f>'[4]TechWatHea-Appartment'!$N$28</f>
        <v>0.9633267069663</v>
      </c>
      <c r="I107" s="200"/>
      <c r="J107" s="92">
        <f>'[4]TechWatHea-Appartment'!$N$59</f>
        <v>0.352984554914469</v>
      </c>
      <c r="K107" s="62">
        <f t="shared" si="66"/>
        <v>308.4448</v>
      </c>
      <c r="L107" s="62">
        <f t="shared" si="67"/>
        <v>21.1544</v>
      </c>
      <c r="M107" s="62">
        <f t="shared" si="68"/>
        <v>308.4448</v>
      </c>
      <c r="N107" s="62">
        <f t="shared" si="69"/>
        <v>21.1544</v>
      </c>
      <c r="O107" s="62">
        <f t="shared" si="70"/>
        <v>308.4448</v>
      </c>
      <c r="P107" s="62">
        <f t="shared" si="71"/>
        <v>21.1544</v>
      </c>
      <c r="Q107" s="186">
        <f t="shared" ref="Q107:Q108" si="76">Q101</f>
        <v>19</v>
      </c>
      <c r="R107" s="58">
        <v>31.54</v>
      </c>
      <c r="S107" s="58">
        <v>1</v>
      </c>
      <c r="W107" s="105" t="s">
        <v>150</v>
      </c>
      <c r="Y107" s="207" t="s">
        <v>39</v>
      </c>
      <c r="Z107" s="207" t="s">
        <v>40</v>
      </c>
      <c r="AA107" s="53"/>
      <c r="AB107" s="207"/>
      <c r="AC107" s="207"/>
      <c r="AG107">
        <v>0.65</v>
      </c>
    </row>
    <row r="108" spans="3:33">
      <c r="C108" s="105" t="s">
        <v>151</v>
      </c>
      <c r="D108" s="105" t="s">
        <v>48</v>
      </c>
      <c r="E108" s="105"/>
      <c r="F108" s="105" t="s">
        <v>152</v>
      </c>
      <c r="G108" s="41">
        <v>2021</v>
      </c>
      <c r="H108" s="122">
        <f>'[4]TechWatHea-MobileHome'!$N$23</f>
        <v>0.9633267069663</v>
      </c>
      <c r="I108" s="122"/>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86">
        <f t="shared" si="76"/>
        <v>13</v>
      </c>
      <c r="R108">
        <v>31.54</v>
      </c>
      <c r="S108">
        <v>1</v>
      </c>
      <c r="W108" s="105" t="s">
        <v>151</v>
      </c>
      <c r="Y108" s="207" t="s">
        <v>39</v>
      </c>
      <c r="Z108" s="207" t="s">
        <v>40</v>
      </c>
      <c r="AA108" s="53"/>
      <c r="AB108" s="207"/>
      <c r="AC108" s="207"/>
      <c r="AG108">
        <v>0.65</v>
      </c>
    </row>
    <row r="109" spans="3:33">
      <c r="C109" s="105" t="s">
        <v>153</v>
      </c>
      <c r="D109" s="105" t="s">
        <v>44</v>
      </c>
      <c r="E109" s="105"/>
      <c r="F109" s="105" t="s">
        <v>152</v>
      </c>
      <c r="G109" s="41">
        <v>2021</v>
      </c>
      <c r="H109" s="122">
        <f>'[4]TechWatHea-MobileHome'!$N$24</f>
        <v>0.9633267069663</v>
      </c>
      <c r="I109" s="122"/>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86">
        <f t="shared" ref="Q109" si="77">Q103</f>
        <v>19</v>
      </c>
      <c r="R109">
        <v>31.54</v>
      </c>
      <c r="S109">
        <v>1</v>
      </c>
      <c r="W109" s="105" t="s">
        <v>153</v>
      </c>
      <c r="Y109" s="207" t="s">
        <v>39</v>
      </c>
      <c r="Z109" s="207" t="s">
        <v>40</v>
      </c>
      <c r="AA109" s="53"/>
      <c r="AB109" s="207"/>
      <c r="AC109" s="207"/>
      <c r="AG109">
        <v>0.65</v>
      </c>
    </row>
    <row r="110" spans="3:33">
      <c r="C110" s="105" t="s">
        <v>154</v>
      </c>
      <c r="D110" s="105" t="s">
        <v>36</v>
      </c>
      <c r="E110" s="105"/>
      <c r="F110" s="105" t="s">
        <v>152</v>
      </c>
      <c r="G110" s="41">
        <v>2021</v>
      </c>
      <c r="H110" s="122">
        <f>'[4]TechWatHea-MobileHome'!$N$25</f>
        <v>0.9633267069663</v>
      </c>
      <c r="I110" s="122"/>
      <c r="J110" s="42">
        <v>0.0970861518499944</v>
      </c>
      <c r="K110" s="62">
        <f t="shared" si="66"/>
        <v>300</v>
      </c>
      <c r="L110" s="62">
        <f t="shared" si="67"/>
        <v>21</v>
      </c>
      <c r="M110" s="62">
        <f t="shared" si="68"/>
        <v>300</v>
      </c>
      <c r="N110" s="62">
        <f t="shared" si="69"/>
        <v>21</v>
      </c>
      <c r="O110" s="62">
        <f t="shared" si="70"/>
        <v>300</v>
      </c>
      <c r="P110" s="62">
        <f t="shared" si="71"/>
        <v>21</v>
      </c>
      <c r="Q110" s="186">
        <f t="shared" ref="Q110" si="78">Q104</f>
        <v>13</v>
      </c>
      <c r="R110">
        <v>31.54</v>
      </c>
      <c r="S110">
        <v>1</v>
      </c>
      <c r="W110" s="105" t="s">
        <v>154</v>
      </c>
      <c r="Y110" s="207" t="s">
        <v>39</v>
      </c>
      <c r="Z110" s="207" t="s">
        <v>40</v>
      </c>
      <c r="AA110" s="53"/>
      <c r="AB110" s="207"/>
      <c r="AC110" s="207"/>
      <c r="AG110">
        <v>0.65</v>
      </c>
    </row>
    <row r="111" spans="3:33">
      <c r="C111" s="105" t="s">
        <v>155</v>
      </c>
      <c r="D111" s="105" t="s">
        <v>134</v>
      </c>
      <c r="E111" s="105"/>
      <c r="F111" s="105" t="s">
        <v>152</v>
      </c>
      <c r="G111" s="41">
        <v>2021</v>
      </c>
      <c r="H111" s="122">
        <f>'[4]TechWatHea-MobileHome'!$N$26</f>
        <v>0.9633267069663</v>
      </c>
      <c r="I111" s="122"/>
      <c r="J111" s="42">
        <v>0.156352937048249</v>
      </c>
      <c r="K111" s="62">
        <f t="shared" si="66"/>
        <v>202.6728</v>
      </c>
      <c r="L111" s="62">
        <f t="shared" si="67"/>
        <v>5.4592</v>
      </c>
      <c r="M111" s="62">
        <f t="shared" si="68"/>
        <v>202.6728</v>
      </c>
      <c r="N111" s="62">
        <f t="shared" si="69"/>
        <v>5.4592</v>
      </c>
      <c r="O111" s="62">
        <f t="shared" si="70"/>
        <v>202.6728</v>
      </c>
      <c r="P111" s="62">
        <f t="shared" si="71"/>
        <v>5.4592</v>
      </c>
      <c r="Q111" s="186">
        <f t="shared" ref="Q111" si="79">Q105</f>
        <v>25</v>
      </c>
      <c r="R111">
        <v>31.54</v>
      </c>
      <c r="S111">
        <v>1</v>
      </c>
      <c r="W111" s="105" t="s">
        <v>155</v>
      </c>
      <c r="Y111" s="207" t="s">
        <v>39</v>
      </c>
      <c r="Z111" s="207" t="s">
        <v>40</v>
      </c>
      <c r="AA111" s="53"/>
      <c r="AB111" s="207"/>
      <c r="AC111" s="207"/>
      <c r="AG111">
        <v>0.65</v>
      </c>
    </row>
    <row r="112" spans="3:33">
      <c r="C112" s="105" t="s">
        <v>156</v>
      </c>
      <c r="D112" s="105" t="s">
        <v>53</v>
      </c>
      <c r="E112" s="105"/>
      <c r="F112" s="105" t="s">
        <v>152</v>
      </c>
      <c r="G112" s="41">
        <v>2021</v>
      </c>
      <c r="H112" s="122">
        <f>'[4]TechWatHea-MobileHome'!$N$27</f>
        <v>0.9633267069663</v>
      </c>
      <c r="I112" s="122"/>
      <c r="J112" s="42">
        <v>0.308140357277919</v>
      </c>
      <c r="K112" s="62">
        <f t="shared" si="66"/>
        <v>308.4448</v>
      </c>
      <c r="L112" s="62">
        <f t="shared" si="67"/>
        <v>21.1544</v>
      </c>
      <c r="M112" s="62">
        <f t="shared" si="68"/>
        <v>308.4448</v>
      </c>
      <c r="N112" s="62">
        <f t="shared" si="69"/>
        <v>21.1544</v>
      </c>
      <c r="O112" s="62">
        <f t="shared" si="70"/>
        <v>308.4448</v>
      </c>
      <c r="P112" s="62">
        <f t="shared" si="71"/>
        <v>21.1544</v>
      </c>
      <c r="Q112" s="186">
        <f t="shared" ref="Q112" si="80">Q106</f>
        <v>19</v>
      </c>
      <c r="R112">
        <v>31.54</v>
      </c>
      <c r="S112">
        <v>1</v>
      </c>
      <c r="W112" s="105" t="s">
        <v>156</v>
      </c>
      <c r="Y112" s="207" t="s">
        <v>39</v>
      </c>
      <c r="Z112" s="207" t="s">
        <v>40</v>
      </c>
      <c r="AA112" s="53"/>
      <c r="AB112" s="207"/>
      <c r="AC112" s="207"/>
      <c r="AG112">
        <v>0.65</v>
      </c>
    </row>
    <row r="113" spans="3:33">
      <c r="C113" s="105" t="s">
        <v>157</v>
      </c>
      <c r="D113" s="105" t="s">
        <v>64</v>
      </c>
      <c r="E113" s="105"/>
      <c r="F113" s="105" t="s">
        <v>152</v>
      </c>
      <c r="G113" s="41">
        <v>2021</v>
      </c>
      <c r="H113" s="122">
        <f>'[4]TechWatHea-MobileHome'!$N$28</f>
        <v>0.9633267069663</v>
      </c>
      <c r="I113" s="122"/>
      <c r="J113" s="42">
        <f>'[4]TechWatHea-MobileHome'!$N$59</f>
        <v>2.72694349322097</v>
      </c>
      <c r="K113" s="62">
        <f t="shared" si="66"/>
        <v>308.4448</v>
      </c>
      <c r="L113" s="62">
        <f t="shared" si="67"/>
        <v>21.1544</v>
      </c>
      <c r="M113" s="62">
        <f t="shared" si="68"/>
        <v>308.4448</v>
      </c>
      <c r="N113" s="62">
        <f t="shared" si="69"/>
        <v>21.1544</v>
      </c>
      <c r="O113" s="62">
        <f t="shared" si="70"/>
        <v>308.4448</v>
      </c>
      <c r="P113" s="62">
        <f t="shared" si="71"/>
        <v>21.1544</v>
      </c>
      <c r="Q113" s="186">
        <f t="shared" ref="Q113" si="81">Q107</f>
        <v>19</v>
      </c>
      <c r="R113">
        <v>31.54</v>
      </c>
      <c r="S113">
        <v>1</v>
      </c>
      <c r="W113" s="105" t="s">
        <v>157</v>
      </c>
      <c r="Y113" s="207" t="s">
        <v>39</v>
      </c>
      <c r="Z113" s="207" t="s">
        <v>40</v>
      </c>
      <c r="AA113" s="53"/>
      <c r="AB113" s="207"/>
      <c r="AC113" s="207"/>
      <c r="AG113">
        <v>0.65</v>
      </c>
    </row>
    <row r="114" spans="3:33">
      <c r="C114" s="105" t="s">
        <v>158</v>
      </c>
      <c r="D114" s="105" t="s">
        <v>48</v>
      </c>
      <c r="E114" s="105"/>
      <c r="F114" s="105" t="s">
        <v>159</v>
      </c>
      <c r="G114" s="41">
        <v>2021</v>
      </c>
      <c r="H114" s="201">
        <v>0.557300803809499</v>
      </c>
      <c r="I114" s="120"/>
      <c r="J114" s="42">
        <v>0.0454585176842925</v>
      </c>
      <c r="K114" s="204">
        <f>1130/0.079*J114*1</f>
        <v>650.229430167728</v>
      </c>
      <c r="L114" s="204">
        <f>20/0.079*J114</f>
        <v>11.5084854896943</v>
      </c>
      <c r="M114" s="204">
        <f>K114</f>
        <v>650.229430167728</v>
      </c>
      <c r="N114" s="204">
        <f>L114</f>
        <v>11.5084854896943</v>
      </c>
      <c r="O114" s="204">
        <f t="shared" ref="O114:O121" si="82">K114</f>
        <v>650.229430167728</v>
      </c>
      <c r="P114" s="204">
        <f t="shared" ref="P114:P121" si="83">L114</f>
        <v>11.5084854896943</v>
      </c>
      <c r="Q114" s="204">
        <v>15</v>
      </c>
      <c r="R114">
        <v>31.54</v>
      </c>
      <c r="S114">
        <v>1</v>
      </c>
      <c r="W114" s="105" t="s">
        <v>158</v>
      </c>
      <c r="Y114" s="207" t="s">
        <v>39</v>
      </c>
      <c r="Z114" s="207" t="s">
        <v>40</v>
      </c>
      <c r="AA114" s="53"/>
      <c r="AB114" s="207"/>
      <c r="AC114" s="207"/>
      <c r="AG114">
        <v>0.65</v>
      </c>
    </row>
    <row r="115" spans="3:33">
      <c r="C115" s="105" t="s">
        <v>160</v>
      </c>
      <c r="D115" s="105" t="s">
        <v>48</v>
      </c>
      <c r="E115" s="105"/>
      <c r="F115" s="105" t="s">
        <v>161</v>
      </c>
      <c r="G115" s="41">
        <v>2021</v>
      </c>
      <c r="H115" s="201">
        <v>0.56468068968069</v>
      </c>
      <c r="I115" s="120"/>
      <c r="J115" s="42">
        <v>0.0454585176842925</v>
      </c>
      <c r="K115" s="204">
        <f>880/0.05*J115</f>
        <v>800.069911243548</v>
      </c>
      <c r="L115" s="204">
        <f>10/0.05*J115</f>
        <v>9.0917035368585</v>
      </c>
      <c r="M115" s="204">
        <f>K115</f>
        <v>800.069911243548</v>
      </c>
      <c r="N115" s="204">
        <f t="shared" ref="N115:P115" si="84">L115</f>
        <v>9.0917035368585</v>
      </c>
      <c r="O115" s="204">
        <f t="shared" si="84"/>
        <v>800.069911243548</v>
      </c>
      <c r="P115" s="204">
        <f t="shared" si="84"/>
        <v>9.0917035368585</v>
      </c>
      <c r="Q115" s="204">
        <v>21</v>
      </c>
      <c r="R115">
        <v>31.54</v>
      </c>
      <c r="S115">
        <v>1</v>
      </c>
      <c r="W115" s="105" t="s">
        <v>160</v>
      </c>
      <c r="Y115" s="207" t="s">
        <v>39</v>
      </c>
      <c r="Z115" s="207" t="s">
        <v>40</v>
      </c>
      <c r="AA115" s="53"/>
      <c r="AB115" s="207"/>
      <c r="AC115" s="207"/>
      <c r="AG115">
        <v>0.65</v>
      </c>
    </row>
    <row r="116" spans="3:33">
      <c r="C116" s="105" t="s">
        <v>162</v>
      </c>
      <c r="D116" s="105" t="s">
        <v>48</v>
      </c>
      <c r="E116" s="105"/>
      <c r="F116" s="105" t="s">
        <v>163</v>
      </c>
      <c r="G116" s="41">
        <v>2021</v>
      </c>
      <c r="H116" s="201">
        <v>0.959183673469388</v>
      </c>
      <c r="I116" s="120"/>
      <c r="J116" s="42">
        <v>0.0454585176842925</v>
      </c>
      <c r="K116" s="204">
        <f>570/0.03*J116</f>
        <v>863.711836001558</v>
      </c>
      <c r="L116" s="204">
        <f t="shared" ref="L116:N116" si="85">L115</f>
        <v>9.0917035368585</v>
      </c>
      <c r="M116" s="204">
        <f t="shared" si="85"/>
        <v>800.069911243548</v>
      </c>
      <c r="N116" s="204">
        <f t="shared" si="85"/>
        <v>9.0917035368585</v>
      </c>
      <c r="O116" s="204">
        <f t="shared" si="82"/>
        <v>863.711836001558</v>
      </c>
      <c r="P116" s="204">
        <f t="shared" si="83"/>
        <v>9.0917035368585</v>
      </c>
      <c r="Q116" s="204">
        <v>15</v>
      </c>
      <c r="R116">
        <v>31.54</v>
      </c>
      <c r="S116">
        <v>1</v>
      </c>
      <c r="W116" s="105" t="s">
        <v>162</v>
      </c>
      <c r="Y116" s="207" t="s">
        <v>39</v>
      </c>
      <c r="Z116" s="207" t="s">
        <v>40</v>
      </c>
      <c r="AA116" s="53"/>
      <c r="AB116" s="207"/>
      <c r="AC116" s="207"/>
      <c r="AG116">
        <v>0.65</v>
      </c>
    </row>
    <row r="117" spans="3:33">
      <c r="C117" s="105" t="s">
        <v>164</v>
      </c>
      <c r="D117" s="105" t="s">
        <v>48</v>
      </c>
      <c r="E117" s="105"/>
      <c r="F117" s="105" t="s">
        <v>165</v>
      </c>
      <c r="G117" s="41">
        <v>2021</v>
      </c>
      <c r="H117" s="201">
        <v>0.935714285714286</v>
      </c>
      <c r="I117" s="120"/>
      <c r="J117" s="42">
        <v>0.0454585176842925</v>
      </c>
      <c r="K117" s="120">
        <f>1175/0.4</f>
        <v>2937.5</v>
      </c>
      <c r="L117" s="120">
        <f>15/0.4</f>
        <v>37.5</v>
      </c>
      <c r="M117" s="120">
        <f>K117</f>
        <v>2937.5</v>
      </c>
      <c r="N117" s="120">
        <f>L117</f>
        <v>37.5</v>
      </c>
      <c r="O117" s="120">
        <f t="shared" si="82"/>
        <v>2937.5</v>
      </c>
      <c r="P117" s="120">
        <f t="shared" si="83"/>
        <v>37.5</v>
      </c>
      <c r="Q117" s="204">
        <v>12</v>
      </c>
      <c r="R117">
        <v>31.54</v>
      </c>
      <c r="S117">
        <v>1</v>
      </c>
      <c r="W117" s="105" t="s">
        <v>164</v>
      </c>
      <c r="Y117" s="207" t="s">
        <v>39</v>
      </c>
      <c r="Z117" s="207" t="s">
        <v>40</v>
      </c>
      <c r="AA117" s="53"/>
      <c r="AB117" s="207"/>
      <c r="AC117" s="207"/>
      <c r="AG117">
        <v>0.65</v>
      </c>
    </row>
    <row r="118" spans="3:33">
      <c r="C118" s="105" t="s">
        <v>166</v>
      </c>
      <c r="D118" s="105" t="s">
        <v>48</v>
      </c>
      <c r="E118" s="105"/>
      <c r="F118" s="105" t="s">
        <v>167</v>
      </c>
      <c r="G118" s="41">
        <v>2021</v>
      </c>
      <c r="H118" s="201">
        <v>0.86804850236468</v>
      </c>
      <c r="I118" s="120"/>
      <c r="J118" s="42">
        <v>0.0454585176842925</v>
      </c>
      <c r="K118" s="120">
        <f>710/3.2</f>
        <v>221.875</v>
      </c>
      <c r="L118" s="120">
        <f>L117</f>
        <v>37.5</v>
      </c>
      <c r="M118" s="120">
        <f>K118</f>
        <v>221.875</v>
      </c>
      <c r="N118" s="120">
        <f>L118</f>
        <v>37.5</v>
      </c>
      <c r="O118" s="120">
        <f>M118</f>
        <v>221.875</v>
      </c>
      <c r="P118" s="120">
        <f t="shared" si="83"/>
        <v>37.5</v>
      </c>
      <c r="Q118" s="204">
        <v>13</v>
      </c>
      <c r="R118">
        <v>31.54</v>
      </c>
      <c r="S118">
        <v>1</v>
      </c>
      <c r="W118" s="105" t="s">
        <v>166</v>
      </c>
      <c r="Y118" s="207" t="s">
        <v>39</v>
      </c>
      <c r="Z118" s="207" t="s">
        <v>40</v>
      </c>
      <c r="AA118" s="53"/>
      <c r="AB118" s="207"/>
      <c r="AC118" s="207"/>
      <c r="AG118">
        <v>0.65</v>
      </c>
    </row>
    <row r="119" spans="3:33">
      <c r="C119" s="105" t="s">
        <v>168</v>
      </c>
      <c r="D119" s="105" t="s">
        <v>48</v>
      </c>
      <c r="E119" s="105"/>
      <c r="F119" s="105" t="s">
        <v>169</v>
      </c>
      <c r="G119" s="41">
        <v>2021</v>
      </c>
      <c r="H119" s="201">
        <v>0.639150474744065</v>
      </c>
      <c r="I119" s="120"/>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204">
        <v>17</v>
      </c>
      <c r="R119">
        <v>31.54</v>
      </c>
      <c r="S119">
        <v>1</v>
      </c>
      <c r="W119" s="105" t="s">
        <v>168</v>
      </c>
      <c r="Y119" s="207" t="s">
        <v>39</v>
      </c>
      <c r="Z119" s="207" t="s">
        <v>40</v>
      </c>
      <c r="AA119" s="53"/>
      <c r="AB119" s="207"/>
      <c r="AC119" s="207"/>
      <c r="AG119">
        <v>0.65</v>
      </c>
    </row>
    <row r="120" spans="3:33">
      <c r="C120" s="105" t="s">
        <v>170</v>
      </c>
      <c r="D120" s="105" t="s">
        <v>48</v>
      </c>
      <c r="E120" s="105"/>
      <c r="F120" s="105" t="s">
        <v>171</v>
      </c>
      <c r="G120" s="41">
        <v>2021</v>
      </c>
      <c r="H120" s="201">
        <v>0.556687681917953</v>
      </c>
      <c r="I120" s="120"/>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204">
        <f t="shared" si="87"/>
        <v>15.5</v>
      </c>
      <c r="R120">
        <v>31.54</v>
      </c>
      <c r="S120">
        <v>1</v>
      </c>
      <c r="W120" s="105" t="s">
        <v>170</v>
      </c>
      <c r="Y120" s="207" t="s">
        <v>39</v>
      </c>
      <c r="Z120" s="207" t="s">
        <v>40</v>
      </c>
      <c r="AA120" s="53"/>
      <c r="AB120" s="207"/>
      <c r="AC120" s="207"/>
      <c r="AG120">
        <v>0.65</v>
      </c>
    </row>
    <row r="121" spans="3:33">
      <c r="C121" s="105" t="s">
        <v>172</v>
      </c>
      <c r="D121" s="105" t="s">
        <v>48</v>
      </c>
      <c r="E121" s="105"/>
      <c r="F121" s="105" t="s">
        <v>173</v>
      </c>
      <c r="G121" s="41">
        <v>2021</v>
      </c>
      <c r="H121" s="202">
        <f>[4]TechLighting!$N$23</f>
        <v>0.695684634187153</v>
      </c>
      <c r="I121" s="120"/>
      <c r="J121" s="202">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204">
        <f>Q120</f>
        <v>15.5</v>
      </c>
      <c r="R121">
        <v>31.54</v>
      </c>
      <c r="S121">
        <v>1</v>
      </c>
      <c r="W121" s="105" t="s">
        <v>172</v>
      </c>
      <c r="Y121" s="207" t="s">
        <v>39</v>
      </c>
      <c r="Z121" s="207" t="s">
        <v>40</v>
      </c>
      <c r="AA121" s="53"/>
      <c r="AB121" s="207"/>
      <c r="AC121" s="207"/>
      <c r="AG121">
        <v>0.65</v>
      </c>
    </row>
    <row r="122" s="41" customFormat="1" spans="3:33">
      <c r="C122" s="42" t="str">
        <f t="shared" ref="C122:C126" si="89">W122</f>
        <v>R_ES_HET-SC-SD_HET1</v>
      </c>
      <c r="D122" s="203" t="s">
        <v>48</v>
      </c>
      <c r="E122" s="203"/>
      <c r="F122" s="203" t="s">
        <v>121</v>
      </c>
      <c r="G122" s="41">
        <v>2021</v>
      </c>
      <c r="H122" s="172">
        <v>1</v>
      </c>
      <c r="I122" s="172"/>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81">
        <f>15</f>
        <v>15</v>
      </c>
      <c r="R122" s="209">
        <v>31.54</v>
      </c>
      <c r="S122" s="210">
        <v>0.33</v>
      </c>
      <c r="W122" s="42" t="s">
        <v>174</v>
      </c>
      <c r="Y122" s="211" t="s">
        <v>39</v>
      </c>
      <c r="Z122" s="211" t="s">
        <v>40</v>
      </c>
      <c r="AA122" s="53"/>
      <c r="AB122" s="211"/>
      <c r="AC122" s="211"/>
      <c r="AG122" s="41">
        <v>0.65</v>
      </c>
    </row>
    <row r="123" s="41" customFormat="1" spans="4:33">
      <c r="D123" s="90" t="str">
        <f>[2]COMM!$E$19</f>
        <v>RSDAHT</v>
      </c>
      <c r="H123" s="172"/>
      <c r="I123" s="172"/>
      <c r="J123" s="42"/>
      <c r="K123" s="42"/>
      <c r="L123" s="81"/>
      <c r="M123" s="42"/>
      <c r="N123" s="81"/>
      <c r="O123" s="42"/>
      <c r="P123" s="81"/>
      <c r="Q123" s="181"/>
      <c r="R123" s="209">
        <v>31.54</v>
      </c>
      <c r="S123" s="41">
        <f>1-S122</f>
        <v>0.67</v>
      </c>
      <c r="W123" s="41" t="s">
        <v>18</v>
      </c>
      <c r="AA123" s="53"/>
      <c r="AG123" s="41">
        <v>0.8</v>
      </c>
    </row>
    <row r="124" s="41" customFormat="1" spans="3:33">
      <c r="C124" s="42" t="str">
        <f t="shared" si="89"/>
        <v>R_ES_HET-SC-SA_HET1</v>
      </c>
      <c r="D124" s="203" t="str">
        <f>D122</f>
        <v>RSDELC</v>
      </c>
      <c r="E124" s="203"/>
      <c r="F124" s="203" t="s">
        <v>123</v>
      </c>
      <c r="G124" s="41">
        <v>2021</v>
      </c>
      <c r="H124" s="172">
        <v>1</v>
      </c>
      <c r="I124" s="172"/>
      <c r="J124" s="81"/>
      <c r="K124" s="42">
        <f>K122</f>
        <v>1727.75295</v>
      </c>
      <c r="L124" s="42">
        <f t="shared" ref="L124:P124" si="93">150/10*1</f>
        <v>15</v>
      </c>
      <c r="M124" s="42">
        <f t="shared" si="91"/>
        <v>1727.75295</v>
      </c>
      <c r="N124" s="42">
        <f t="shared" si="93"/>
        <v>15</v>
      </c>
      <c r="O124" s="42">
        <f t="shared" si="92"/>
        <v>1727.75295</v>
      </c>
      <c r="P124" s="42">
        <f t="shared" si="93"/>
        <v>15</v>
      </c>
      <c r="Q124" s="181">
        <v>15</v>
      </c>
      <c r="R124" s="209">
        <v>31.54</v>
      </c>
      <c r="S124" s="210">
        <f>S122</f>
        <v>0.33</v>
      </c>
      <c r="W124" s="42" t="s">
        <v>175</v>
      </c>
      <c r="Y124" s="211" t="s">
        <v>39</v>
      </c>
      <c r="Z124" s="211" t="s">
        <v>40</v>
      </c>
      <c r="AA124" s="53"/>
      <c r="AB124" s="211"/>
      <c r="AC124" s="211"/>
      <c r="AG124" s="41">
        <v>0.8</v>
      </c>
    </row>
    <row r="125" s="41" customFormat="1" spans="4:33">
      <c r="D125" s="203" t="str">
        <f t="shared" ref="D125:D137" si="94">D123</f>
        <v>RSDAHT</v>
      </c>
      <c r="E125" s="90"/>
      <c r="H125" s="172"/>
      <c r="I125" s="172"/>
      <c r="J125" s="42"/>
      <c r="K125" s="42"/>
      <c r="L125" s="81"/>
      <c r="M125" s="42"/>
      <c r="N125" s="81"/>
      <c r="O125" s="42"/>
      <c r="P125" s="81"/>
      <c r="Q125" s="181"/>
      <c r="R125" s="209">
        <v>31.54</v>
      </c>
      <c r="S125" s="210">
        <f t="shared" ref="S125:S137" si="95">S123</f>
        <v>0.67</v>
      </c>
      <c r="W125" s="41" t="s">
        <v>18</v>
      </c>
      <c r="AA125" s="53"/>
      <c r="AG125" s="41">
        <v>0.8</v>
      </c>
    </row>
    <row r="126" s="41" customFormat="1" spans="3:33">
      <c r="C126" s="42" t="str">
        <f t="shared" si="89"/>
        <v>R_ES_HET-SC-AP_HET1</v>
      </c>
      <c r="D126" s="203" t="str">
        <f t="shared" si="94"/>
        <v>RSDELC</v>
      </c>
      <c r="E126" s="203"/>
      <c r="F126" s="203" t="s">
        <v>125</v>
      </c>
      <c r="G126" s="41">
        <v>2021</v>
      </c>
      <c r="H126" s="172">
        <v>1</v>
      </c>
      <c r="I126" s="172"/>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81">
        <v>15</v>
      </c>
      <c r="R126" s="209">
        <v>31.54</v>
      </c>
      <c r="S126" s="210">
        <f t="shared" si="95"/>
        <v>0.33</v>
      </c>
      <c r="W126" s="42" t="s">
        <v>176</v>
      </c>
      <c r="Y126" s="211" t="s">
        <v>39</v>
      </c>
      <c r="Z126" s="211" t="s">
        <v>40</v>
      </c>
      <c r="AA126" s="53"/>
      <c r="AB126" s="211"/>
      <c r="AC126" s="211"/>
      <c r="AG126" s="41">
        <v>0.8</v>
      </c>
    </row>
    <row r="127" s="41" customFormat="1" spans="4:33">
      <c r="D127" s="203" t="str">
        <f t="shared" si="94"/>
        <v>RSDAHT</v>
      </c>
      <c r="E127" s="90"/>
      <c r="H127" s="172"/>
      <c r="I127" s="172"/>
      <c r="J127" s="42"/>
      <c r="K127" s="42"/>
      <c r="L127" s="81"/>
      <c r="M127" s="42"/>
      <c r="N127" s="81"/>
      <c r="O127" s="42"/>
      <c r="P127" s="81"/>
      <c r="Q127" s="181"/>
      <c r="R127" s="209">
        <v>31.54</v>
      </c>
      <c r="S127" s="210">
        <f t="shared" si="95"/>
        <v>0.67</v>
      </c>
      <c r="W127" s="41" t="s">
        <v>18</v>
      </c>
      <c r="AA127" s="53"/>
      <c r="AG127" s="41">
        <v>0.8</v>
      </c>
    </row>
    <row r="128" s="41" customFormat="1" spans="3:33">
      <c r="C128" s="42" t="str">
        <f>W128</f>
        <v>R_ES_HET-SC-MOB_HET1</v>
      </c>
      <c r="D128" s="203" t="str">
        <f t="shared" si="94"/>
        <v>RSDELC</v>
      </c>
      <c r="E128" s="203"/>
      <c r="F128" s="203" t="s">
        <v>127</v>
      </c>
      <c r="G128" s="41">
        <v>2021</v>
      </c>
      <c r="H128" s="172">
        <v>1</v>
      </c>
      <c r="I128" s="172"/>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81">
        <v>15</v>
      </c>
      <c r="R128" s="209">
        <v>31.54</v>
      </c>
      <c r="S128" s="210">
        <f t="shared" si="95"/>
        <v>0.33</v>
      </c>
      <c r="W128" s="42" t="s">
        <v>177</v>
      </c>
      <c r="Y128" s="211" t="s">
        <v>39</v>
      </c>
      <c r="Z128" s="211" t="s">
        <v>40</v>
      </c>
      <c r="AA128" s="53"/>
      <c r="AB128" s="211"/>
      <c r="AC128" s="211"/>
      <c r="AG128" s="41">
        <v>0.8</v>
      </c>
    </row>
    <row r="129" s="41" customFormat="1" spans="4:33">
      <c r="D129" s="203" t="str">
        <f t="shared" si="94"/>
        <v>RSDAHT</v>
      </c>
      <c r="E129" s="90"/>
      <c r="H129" s="172"/>
      <c r="I129" s="172"/>
      <c r="J129" s="42"/>
      <c r="K129" s="42"/>
      <c r="L129" s="81"/>
      <c r="M129" s="81"/>
      <c r="N129" s="81"/>
      <c r="O129" s="81"/>
      <c r="P129" s="81"/>
      <c r="Q129" s="183"/>
      <c r="R129" s="209">
        <v>31.54</v>
      </c>
      <c r="S129" s="210">
        <f t="shared" si="95"/>
        <v>0.67</v>
      </c>
      <c r="W129" s="41" t="s">
        <v>18</v>
      </c>
      <c r="AA129" s="53"/>
      <c r="AG129" s="41">
        <v>0.8</v>
      </c>
    </row>
    <row r="130" s="41" customFormat="1" spans="3:33">
      <c r="C130" s="42" t="s">
        <v>178</v>
      </c>
      <c r="D130" s="203" t="str">
        <f t="shared" si="94"/>
        <v>RSDELC</v>
      </c>
      <c r="E130" s="203"/>
      <c r="F130" s="203" t="s">
        <v>130</v>
      </c>
      <c r="G130" s="41">
        <v>2021</v>
      </c>
      <c r="H130" s="172">
        <v>1</v>
      </c>
      <c r="I130" s="172"/>
      <c r="J130" s="81">
        <f>AVERAGE(J90:J95)</f>
        <v>0.352690223336802</v>
      </c>
      <c r="K130" s="212">
        <f>(1880+3000)/2*1/11</f>
        <v>221.818181818182</v>
      </c>
      <c r="L130" s="212">
        <f>20/11</f>
        <v>1.81818181818182</v>
      </c>
      <c r="M130" s="212">
        <f t="shared" si="99"/>
        <v>221.818181818182</v>
      </c>
      <c r="N130" s="212">
        <f>L130</f>
        <v>1.81818181818182</v>
      </c>
      <c r="O130" s="212">
        <f t="shared" si="100"/>
        <v>221.818181818182</v>
      </c>
      <c r="P130" s="212">
        <f>N130</f>
        <v>1.81818181818182</v>
      </c>
      <c r="Q130" s="181">
        <v>13</v>
      </c>
      <c r="R130" s="209">
        <v>31.54</v>
      </c>
      <c r="S130" s="210">
        <f t="shared" si="95"/>
        <v>0.33</v>
      </c>
      <c r="W130" s="42" t="s">
        <v>178</v>
      </c>
      <c r="Y130" s="211" t="s">
        <v>39</v>
      </c>
      <c r="Z130" s="211" t="s">
        <v>40</v>
      </c>
      <c r="AA130" s="53"/>
      <c r="AB130" s="211"/>
      <c r="AC130" s="211"/>
      <c r="AG130" s="41">
        <v>0.8</v>
      </c>
    </row>
    <row r="131" s="41" customFormat="1" spans="4:27">
      <c r="D131" s="203" t="str">
        <f t="shared" si="94"/>
        <v>RSDAHT</v>
      </c>
      <c r="E131" s="90"/>
      <c r="H131" s="172"/>
      <c r="I131" s="172"/>
      <c r="J131" s="42"/>
      <c r="K131" s="212"/>
      <c r="L131" s="212"/>
      <c r="M131" s="212"/>
      <c r="N131" s="212"/>
      <c r="O131" s="212"/>
      <c r="P131" s="212"/>
      <c r="Q131" s="183"/>
      <c r="R131" s="209">
        <v>31.54</v>
      </c>
      <c r="S131" s="210">
        <f t="shared" si="95"/>
        <v>0.67</v>
      </c>
      <c r="W131" s="41" t="s">
        <v>18</v>
      </c>
      <c r="AA131" s="53"/>
    </row>
    <row r="132" s="41" customFormat="1" spans="3:29">
      <c r="C132" s="42" t="s">
        <v>179</v>
      </c>
      <c r="D132" s="203" t="str">
        <f t="shared" si="94"/>
        <v>RSDELC</v>
      </c>
      <c r="E132" s="203"/>
      <c r="F132" s="203" t="s">
        <v>138</v>
      </c>
      <c r="G132" s="41">
        <v>2021</v>
      </c>
      <c r="H132" s="172">
        <v>1</v>
      </c>
      <c r="I132" s="172"/>
      <c r="J132" s="81">
        <f>AVERAGE(J96:J101)</f>
        <v>0.394402518451949</v>
      </c>
      <c r="K132" s="212">
        <f t="shared" ref="K132:K136" si="101">K130</f>
        <v>221.818181818182</v>
      </c>
      <c r="L132" s="212">
        <f>L130</f>
        <v>1.81818181818182</v>
      </c>
      <c r="M132" s="212">
        <f t="shared" si="99"/>
        <v>221.818181818182</v>
      </c>
      <c r="N132" s="212">
        <f>L132</f>
        <v>1.81818181818182</v>
      </c>
      <c r="O132" s="212">
        <f t="shared" si="100"/>
        <v>221.818181818182</v>
      </c>
      <c r="P132" s="212">
        <f>N132</f>
        <v>1.81818181818182</v>
      </c>
      <c r="Q132" s="181">
        <v>13</v>
      </c>
      <c r="R132" s="209">
        <v>31.54</v>
      </c>
      <c r="S132" s="210">
        <f t="shared" si="95"/>
        <v>0.33</v>
      </c>
      <c r="W132" s="42" t="s">
        <v>179</v>
      </c>
      <c r="Y132" s="211" t="s">
        <v>39</v>
      </c>
      <c r="Z132" s="211" t="s">
        <v>40</v>
      </c>
      <c r="AA132" s="53"/>
      <c r="AB132" s="211"/>
      <c r="AC132" s="211"/>
    </row>
    <row r="133" s="41" customFormat="1" spans="4:27">
      <c r="D133" s="203" t="str">
        <f t="shared" si="94"/>
        <v>RSDAHT</v>
      </c>
      <c r="E133" s="90"/>
      <c r="H133" s="172"/>
      <c r="I133" s="172"/>
      <c r="J133" s="42"/>
      <c r="K133" s="212"/>
      <c r="L133" s="212"/>
      <c r="M133" s="212"/>
      <c r="N133" s="212"/>
      <c r="O133" s="212"/>
      <c r="P133" s="212"/>
      <c r="Q133" s="183"/>
      <c r="R133" s="209">
        <v>31.54</v>
      </c>
      <c r="S133" s="210">
        <f t="shared" si="95"/>
        <v>0.67</v>
      </c>
      <c r="W133" s="41" t="s">
        <v>18</v>
      </c>
      <c r="AA133" s="53"/>
    </row>
    <row r="134" s="41" customFormat="1" spans="3:29">
      <c r="C134" s="42" t="s">
        <v>180</v>
      </c>
      <c r="D134" s="203" t="str">
        <f t="shared" si="94"/>
        <v>RSDELC</v>
      </c>
      <c r="E134" s="203"/>
      <c r="F134" s="203" t="s">
        <v>145</v>
      </c>
      <c r="G134" s="41">
        <v>2021</v>
      </c>
      <c r="H134" s="172">
        <v>1</v>
      </c>
      <c r="I134" s="172"/>
      <c r="J134" s="81">
        <f>AVERAGE(J102:J107)</f>
        <v>0.202753866351179</v>
      </c>
      <c r="K134" s="212">
        <f t="shared" si="101"/>
        <v>221.818181818182</v>
      </c>
      <c r="L134" s="212">
        <f t="shared" ref="L134:P134" si="102">L132</f>
        <v>1.81818181818182</v>
      </c>
      <c r="M134" s="212">
        <f>K134</f>
        <v>221.818181818182</v>
      </c>
      <c r="N134" s="212">
        <f t="shared" si="102"/>
        <v>1.81818181818182</v>
      </c>
      <c r="O134" s="212">
        <f>M134</f>
        <v>221.818181818182</v>
      </c>
      <c r="P134" s="212">
        <f t="shared" si="102"/>
        <v>1.81818181818182</v>
      </c>
      <c r="Q134" s="181">
        <v>13</v>
      </c>
      <c r="R134" s="209">
        <v>31.54</v>
      </c>
      <c r="S134" s="210">
        <f t="shared" si="95"/>
        <v>0.33</v>
      </c>
      <c r="W134" s="42" t="s">
        <v>180</v>
      </c>
      <c r="Y134" s="211" t="s">
        <v>39</v>
      </c>
      <c r="Z134" s="211" t="s">
        <v>40</v>
      </c>
      <c r="AA134" s="53"/>
      <c r="AB134" s="211"/>
      <c r="AC134" s="211"/>
    </row>
    <row r="135" s="41" customFormat="1" spans="4:27">
      <c r="D135" s="203" t="str">
        <f t="shared" si="94"/>
        <v>RSDAHT</v>
      </c>
      <c r="E135" s="90"/>
      <c r="H135" s="172"/>
      <c r="I135" s="172"/>
      <c r="J135" s="42"/>
      <c r="K135" s="212"/>
      <c r="L135" s="212"/>
      <c r="M135" s="212"/>
      <c r="N135" s="212"/>
      <c r="O135" s="212"/>
      <c r="P135" s="212"/>
      <c r="Q135" s="183"/>
      <c r="R135" s="209">
        <v>31.54</v>
      </c>
      <c r="S135" s="210">
        <f t="shared" si="95"/>
        <v>0.67</v>
      </c>
      <c r="W135" s="41" t="s">
        <v>18</v>
      </c>
      <c r="AA135" s="53"/>
    </row>
    <row r="136" s="41" customFormat="1" spans="3:29">
      <c r="C136" s="42" t="s">
        <v>181</v>
      </c>
      <c r="D136" s="203" t="str">
        <f t="shared" si="94"/>
        <v>RSDELC</v>
      </c>
      <c r="E136" s="203"/>
      <c r="F136" s="203" t="s">
        <v>152</v>
      </c>
      <c r="G136" s="41">
        <v>2021</v>
      </c>
      <c r="H136" s="172">
        <v>1</v>
      </c>
      <c r="I136" s="172"/>
      <c r="J136" s="81">
        <f>AVERAGE(J108:J113)</f>
        <v>0.603877819566863</v>
      </c>
      <c r="K136" s="212">
        <f t="shared" si="101"/>
        <v>221.818181818182</v>
      </c>
      <c r="L136" s="212">
        <f t="shared" ref="L136:P136" si="103">L134</f>
        <v>1.81818181818182</v>
      </c>
      <c r="M136" s="212">
        <f>K136</f>
        <v>221.818181818182</v>
      </c>
      <c r="N136" s="212">
        <f t="shared" si="103"/>
        <v>1.81818181818182</v>
      </c>
      <c r="O136" s="212">
        <f>M136</f>
        <v>221.818181818182</v>
      </c>
      <c r="P136" s="212">
        <f t="shared" si="103"/>
        <v>1.81818181818182</v>
      </c>
      <c r="Q136" s="181">
        <v>13</v>
      </c>
      <c r="R136" s="209">
        <v>31.54</v>
      </c>
      <c r="S136" s="210">
        <f t="shared" si="95"/>
        <v>0.33</v>
      </c>
      <c r="W136" s="42" t="s">
        <v>181</v>
      </c>
      <c r="Y136" s="211" t="s">
        <v>39</v>
      </c>
      <c r="Z136" s="211" t="s">
        <v>40</v>
      </c>
      <c r="AA136" s="53"/>
      <c r="AB136" s="211"/>
      <c r="AC136" s="211"/>
    </row>
    <row r="137" s="41" customFormat="1" spans="4:19">
      <c r="D137" s="203" t="str">
        <f t="shared" si="94"/>
        <v>RSDAHT</v>
      </c>
      <c r="E137" s="90"/>
      <c r="H137" s="172"/>
      <c r="I137" s="172"/>
      <c r="J137" s="42"/>
      <c r="K137" s="81"/>
      <c r="L137" s="81"/>
      <c r="M137" s="81"/>
      <c r="N137" s="81"/>
      <c r="O137" s="81"/>
      <c r="P137" s="81"/>
      <c r="Q137" s="183"/>
      <c r="R137" s="209">
        <v>31.54</v>
      </c>
      <c r="S137" s="210">
        <f t="shared" si="95"/>
        <v>0.67</v>
      </c>
    </row>
    <row r="138" spans="19:19">
      <c r="S138" s="210"/>
    </row>
    <row r="150" spans="6:6">
      <c r="F150" s="63" t="s">
        <v>10</v>
      </c>
    </row>
    <row r="151" ht="15.25" spans="3:11">
      <c r="C151" s="13" t="s">
        <v>12</v>
      </c>
      <c r="D151" s="13" t="s">
        <v>13</v>
      </c>
      <c r="E151" s="43" t="s">
        <v>14</v>
      </c>
      <c r="F151" s="13" t="s">
        <v>15</v>
      </c>
      <c r="G151" s="44" t="s">
        <v>16</v>
      </c>
      <c r="H151" s="45" t="s">
        <v>18</v>
      </c>
      <c r="I151" s="45" t="s">
        <v>18</v>
      </c>
      <c r="J151" s="45" t="s">
        <v>19</v>
      </c>
      <c r="K151" s="82" t="s">
        <v>18</v>
      </c>
    </row>
    <row r="152" ht="112.5" spans="3:11">
      <c r="C152" t="s">
        <v>35</v>
      </c>
      <c r="D152" t="s">
        <v>36</v>
      </c>
      <c r="F152" t="s">
        <v>37</v>
      </c>
      <c r="G152" s="41">
        <v>2021</v>
      </c>
      <c r="H152" s="172">
        <v>0.6</v>
      </c>
      <c r="I152" s="172"/>
      <c r="J152" s="42">
        <v>0.191122946141536</v>
      </c>
      <c r="K152" s="57" t="s">
        <v>182</v>
      </c>
    </row>
    <row r="153" ht="112.5" spans="3:11">
      <c r="C153" t="s">
        <v>41</v>
      </c>
      <c r="D153" t="s">
        <v>36</v>
      </c>
      <c r="F153" t="s">
        <v>37</v>
      </c>
      <c r="G153" s="41">
        <v>2021</v>
      </c>
      <c r="H153" s="172">
        <v>0.78</v>
      </c>
      <c r="I153" s="172"/>
      <c r="J153" s="42">
        <v>0.191122946141536</v>
      </c>
      <c r="K153" s="57" t="s">
        <v>182</v>
      </c>
    </row>
    <row r="154" ht="112.5" spans="3:11">
      <c r="C154" t="s">
        <v>42</v>
      </c>
      <c r="D154" t="s">
        <v>36</v>
      </c>
      <c r="F154" t="s">
        <v>37</v>
      </c>
      <c r="G154" s="41">
        <v>2021</v>
      </c>
      <c r="H154" s="172">
        <v>0.85</v>
      </c>
      <c r="I154" s="172"/>
      <c r="J154" s="42">
        <v>0.191122946141536</v>
      </c>
      <c r="K154" s="57" t="s">
        <v>182</v>
      </c>
    </row>
    <row r="155" ht="112.5" spans="3:11">
      <c r="C155" t="s">
        <v>43</v>
      </c>
      <c r="D155" t="s">
        <v>44</v>
      </c>
      <c r="F155" t="s">
        <v>37</v>
      </c>
      <c r="G155" s="41">
        <v>2021</v>
      </c>
      <c r="H155" s="172">
        <v>0.62</v>
      </c>
      <c r="I155" s="172"/>
      <c r="J155" s="42">
        <v>0.27644125731911</v>
      </c>
      <c r="K155" s="57" t="s">
        <v>182</v>
      </c>
    </row>
    <row r="156" ht="112.5" spans="3:11">
      <c r="C156" t="s">
        <v>45</v>
      </c>
      <c r="D156" t="s">
        <v>44</v>
      </c>
      <c r="F156" t="s">
        <v>37</v>
      </c>
      <c r="G156" s="41">
        <v>2021</v>
      </c>
      <c r="H156" s="172">
        <v>0.8</v>
      </c>
      <c r="I156" s="172"/>
      <c r="J156" s="42">
        <v>0.27644125731911</v>
      </c>
      <c r="K156" s="57" t="s">
        <v>182</v>
      </c>
    </row>
    <row r="157" ht="112.5" spans="3:11">
      <c r="C157" t="s">
        <v>46</v>
      </c>
      <c r="D157" t="s">
        <v>44</v>
      </c>
      <c r="F157" t="s">
        <v>37</v>
      </c>
      <c r="G157" s="41">
        <v>2021</v>
      </c>
      <c r="H157" s="172">
        <v>0.9</v>
      </c>
      <c r="I157" s="172"/>
      <c r="J157" s="42">
        <v>0.27644125731911</v>
      </c>
      <c r="K157" s="57" t="s">
        <v>182</v>
      </c>
    </row>
    <row r="158" ht="112.5" spans="3:11">
      <c r="C158" t="s">
        <v>47</v>
      </c>
      <c r="D158" t="s">
        <v>48</v>
      </c>
      <c r="F158" t="s">
        <v>37</v>
      </c>
      <c r="G158" s="41">
        <v>2021</v>
      </c>
      <c r="H158" s="172">
        <v>1</v>
      </c>
      <c r="I158" s="172"/>
      <c r="J158" s="42">
        <v>0.247313988564565</v>
      </c>
      <c r="K158" s="57" t="s">
        <v>182</v>
      </c>
    </row>
    <row r="159" ht="112.5" spans="3:11">
      <c r="C159" t="s">
        <v>49</v>
      </c>
      <c r="D159" s="1" t="s">
        <v>48</v>
      </c>
      <c r="E159" s="1"/>
      <c r="F159" t="s">
        <v>37</v>
      </c>
      <c r="G159" s="41">
        <v>2021</v>
      </c>
      <c r="H159" s="172">
        <v>1</v>
      </c>
      <c r="I159" s="172"/>
      <c r="J159" s="42">
        <v>0.655745640510185</v>
      </c>
      <c r="K159" s="57" t="s">
        <v>182</v>
      </c>
    </row>
    <row r="160" spans="4:9">
      <c r="D160" s="173" t="str">
        <f>[2]COMM!$E$19</f>
        <v>RSDAHT</v>
      </c>
      <c r="H160" s="172"/>
      <c r="I160" s="172"/>
    </row>
    <row r="161" ht="112.5" spans="3:11">
      <c r="C161" t="s">
        <v>52</v>
      </c>
      <c r="D161" t="s">
        <v>53</v>
      </c>
      <c r="F161" t="s">
        <v>37</v>
      </c>
      <c r="G161" s="41">
        <v>2021</v>
      </c>
      <c r="H161" s="172">
        <v>0.5</v>
      </c>
      <c r="I161" s="172"/>
      <c r="J161" s="42">
        <v>0.322091809257061</v>
      </c>
      <c r="K161" s="57" t="s">
        <v>182</v>
      </c>
    </row>
    <row r="162" ht="112.5" spans="3:11">
      <c r="C162" t="s">
        <v>63</v>
      </c>
      <c r="D162" t="s">
        <v>64</v>
      </c>
      <c r="F162" t="s">
        <v>37</v>
      </c>
      <c r="G162" s="41">
        <v>2021</v>
      </c>
      <c r="H162" s="172">
        <v>0.5</v>
      </c>
      <c r="I162" s="172"/>
      <c r="J162" s="42">
        <v>0.492984723712865</v>
      </c>
      <c r="K162" s="57" t="s">
        <v>182</v>
      </c>
    </row>
    <row r="163" ht="112.5" spans="3:11">
      <c r="C163" s="105" t="s">
        <v>66</v>
      </c>
      <c r="D163" s="105" t="s">
        <v>48</v>
      </c>
      <c r="E163" s="105"/>
      <c r="F163" t="s">
        <v>37</v>
      </c>
      <c r="G163" s="41">
        <v>2021</v>
      </c>
      <c r="H163" s="174">
        <v>0.75</v>
      </c>
      <c r="I163" s="179"/>
      <c r="J163" s="42">
        <v>0.655745640510185</v>
      </c>
      <c r="K163" s="57" t="s">
        <v>182</v>
      </c>
    </row>
    <row r="164" spans="4:9">
      <c r="D164" s="105" t="s">
        <v>64</v>
      </c>
      <c r="E164" s="105"/>
      <c r="H164" s="174"/>
      <c r="I164" s="179"/>
    </row>
    <row r="165" ht="112.5" spans="3:11">
      <c r="C165" s="105" t="s">
        <v>69</v>
      </c>
      <c r="D165" s="105" t="s">
        <v>36</v>
      </c>
      <c r="E165" s="105"/>
      <c r="F165" t="s">
        <v>37</v>
      </c>
      <c r="G165" s="41">
        <v>2021</v>
      </c>
      <c r="H165" s="174">
        <v>0.675</v>
      </c>
      <c r="I165" s="179"/>
      <c r="J165" s="42">
        <v>0.655745640510185</v>
      </c>
      <c r="K165" s="57" t="s">
        <v>182</v>
      </c>
    </row>
    <row r="166" spans="4:9">
      <c r="D166" s="105" t="s">
        <v>64</v>
      </c>
      <c r="E166" s="105"/>
      <c r="H166" s="174"/>
      <c r="I166" s="179"/>
    </row>
    <row r="167" ht="112.5" spans="3:11">
      <c r="C167" s="105" t="s">
        <v>72</v>
      </c>
      <c r="D167" s="105" t="s">
        <v>48</v>
      </c>
      <c r="E167" s="105"/>
      <c r="F167" t="s">
        <v>37</v>
      </c>
      <c r="G167" s="41">
        <v>2021</v>
      </c>
      <c r="H167" s="174">
        <v>0.9</v>
      </c>
      <c r="I167" s="179"/>
      <c r="J167" s="42">
        <v>0.655745640510185</v>
      </c>
      <c r="K167" s="57" t="s">
        <v>182</v>
      </c>
    </row>
    <row r="168" spans="4:9">
      <c r="D168" s="105" t="s">
        <v>44</v>
      </c>
      <c r="E168" s="105"/>
      <c r="H168" s="174"/>
      <c r="I168" s="179"/>
    </row>
    <row r="169" ht="112.5" spans="3:11">
      <c r="C169" s="105" t="s">
        <v>75</v>
      </c>
      <c r="D169" s="105" t="s">
        <v>48</v>
      </c>
      <c r="E169" s="105"/>
      <c r="F169" t="s">
        <v>37</v>
      </c>
      <c r="G169" s="41">
        <v>2021</v>
      </c>
      <c r="H169" s="174">
        <v>0.89</v>
      </c>
      <c r="I169" s="179"/>
      <c r="J169" s="42">
        <v>0.655745640510185</v>
      </c>
      <c r="K169" s="57" t="s">
        <v>182</v>
      </c>
    </row>
    <row r="170" spans="4:5">
      <c r="D170" s="105" t="s">
        <v>36</v>
      </c>
      <c r="E170" s="105"/>
    </row>
    <row r="171" ht="112.5" spans="3:11">
      <c r="C171" t="s">
        <v>76</v>
      </c>
      <c r="D171" t="s">
        <v>36</v>
      </c>
      <c r="F171" t="s">
        <v>77</v>
      </c>
      <c r="G171" s="41">
        <v>2021</v>
      </c>
      <c r="H171" s="172">
        <v>0.6</v>
      </c>
      <c r="I171" s="172"/>
      <c r="J171" s="42">
        <v>0.107589579145215</v>
      </c>
      <c r="K171" s="57" t="s">
        <v>182</v>
      </c>
    </row>
    <row r="172" ht="112.5" spans="3:11">
      <c r="C172" t="s">
        <v>78</v>
      </c>
      <c r="D172" t="s">
        <v>36</v>
      </c>
      <c r="F172" t="s">
        <v>77</v>
      </c>
      <c r="G172" s="41">
        <v>2021</v>
      </c>
      <c r="H172" s="172">
        <v>0.78</v>
      </c>
      <c r="I172" s="172"/>
      <c r="J172" s="42">
        <v>0.107589579145215</v>
      </c>
      <c r="K172" s="57" t="s">
        <v>182</v>
      </c>
    </row>
    <row r="173" ht="112.5" spans="3:11">
      <c r="C173" t="s">
        <v>79</v>
      </c>
      <c r="D173" t="s">
        <v>36</v>
      </c>
      <c r="F173" t="s">
        <v>77</v>
      </c>
      <c r="G173" s="41">
        <v>2021</v>
      </c>
      <c r="H173" s="172">
        <v>0.85</v>
      </c>
      <c r="I173" s="172"/>
      <c r="J173" s="42">
        <v>0.107589579145215</v>
      </c>
      <c r="K173" s="57" t="s">
        <v>182</v>
      </c>
    </row>
    <row r="174" ht="112.5" spans="3:11">
      <c r="C174" t="s">
        <v>80</v>
      </c>
      <c r="D174" t="s">
        <v>44</v>
      </c>
      <c r="F174" t="s">
        <v>77</v>
      </c>
      <c r="G174" s="41">
        <v>2021</v>
      </c>
      <c r="H174" s="172">
        <v>0.62</v>
      </c>
      <c r="I174" s="172"/>
      <c r="J174" s="42">
        <v>0.148009559556309</v>
      </c>
      <c r="K174" s="57" t="s">
        <v>182</v>
      </c>
    </row>
    <row r="175" ht="112.5" spans="3:11">
      <c r="C175" t="s">
        <v>81</v>
      </c>
      <c r="D175" t="s">
        <v>44</v>
      </c>
      <c r="F175" t="s">
        <v>77</v>
      </c>
      <c r="G175" s="41">
        <v>2021</v>
      </c>
      <c r="H175" s="172">
        <v>0.8</v>
      </c>
      <c r="I175" s="172"/>
      <c r="J175" s="42">
        <v>0.148009559556309</v>
      </c>
      <c r="K175" s="57" t="s">
        <v>182</v>
      </c>
    </row>
    <row r="176" ht="112.5" spans="3:11">
      <c r="C176" t="s">
        <v>82</v>
      </c>
      <c r="D176" t="s">
        <v>44</v>
      </c>
      <c r="F176" t="s">
        <v>77</v>
      </c>
      <c r="G176" s="41">
        <v>2021</v>
      </c>
      <c r="H176" s="172">
        <v>0.9</v>
      </c>
      <c r="I176" s="172"/>
      <c r="J176" s="42">
        <v>0.148009559556309</v>
      </c>
      <c r="K176" s="57" t="s">
        <v>182</v>
      </c>
    </row>
    <row r="177" ht="112.5" spans="3:11">
      <c r="C177" t="s">
        <v>83</v>
      </c>
      <c r="D177" t="s">
        <v>48</v>
      </c>
      <c r="F177" t="s">
        <v>77</v>
      </c>
      <c r="G177" s="41">
        <v>2021</v>
      </c>
      <c r="H177" s="172">
        <v>1</v>
      </c>
      <c r="I177" s="172"/>
      <c r="J177" s="42">
        <v>0.115846759587079</v>
      </c>
      <c r="K177" s="57" t="s">
        <v>182</v>
      </c>
    </row>
    <row r="178" ht="112.5" spans="3:11">
      <c r="C178" t="s">
        <v>84</v>
      </c>
      <c r="D178" s="1" t="s">
        <v>48</v>
      </c>
      <c r="E178" s="1"/>
      <c r="F178" s="128" t="s">
        <v>77</v>
      </c>
      <c r="G178" s="41">
        <v>2021</v>
      </c>
      <c r="H178" s="172">
        <v>1</v>
      </c>
      <c r="I178" s="172"/>
      <c r="J178" s="42">
        <v>0.211062502382414</v>
      </c>
      <c r="K178" s="57" t="s">
        <v>182</v>
      </c>
    </row>
    <row r="179" spans="4:9">
      <c r="D179" s="173" t="str">
        <f>[2]COMM!$E$19</f>
        <v>RSDAHT</v>
      </c>
      <c r="H179" s="172"/>
      <c r="I179" s="172"/>
    </row>
    <row r="180" ht="112.5" spans="3:11">
      <c r="C180" t="s">
        <v>85</v>
      </c>
      <c r="D180" t="s">
        <v>53</v>
      </c>
      <c r="F180" t="s">
        <v>77</v>
      </c>
      <c r="G180" s="41">
        <v>2021</v>
      </c>
      <c r="H180" s="172">
        <v>0.5</v>
      </c>
      <c r="I180" s="172"/>
      <c r="J180" s="42">
        <v>0.160815666952592</v>
      </c>
      <c r="K180" s="57" t="s">
        <v>182</v>
      </c>
    </row>
    <row r="181" ht="112.5" spans="3:11">
      <c r="C181" t="s">
        <v>86</v>
      </c>
      <c r="D181" t="s">
        <v>64</v>
      </c>
      <c r="F181" t="s">
        <v>77</v>
      </c>
      <c r="G181" s="41">
        <v>2021</v>
      </c>
      <c r="H181" s="172">
        <v>0.5</v>
      </c>
      <c r="I181" s="172"/>
      <c r="J181" s="42">
        <v>0.0628248288539579</v>
      </c>
      <c r="K181" s="57" t="s">
        <v>182</v>
      </c>
    </row>
    <row r="182" ht="112.5" spans="3:11">
      <c r="C182" s="105" t="s">
        <v>87</v>
      </c>
      <c r="D182" s="105" t="s">
        <v>48</v>
      </c>
      <c r="E182" s="105"/>
      <c r="F182" t="s">
        <v>77</v>
      </c>
      <c r="G182" s="41">
        <v>2021</v>
      </c>
      <c r="H182" s="172">
        <v>0.75</v>
      </c>
      <c r="I182" s="172"/>
      <c r="J182" s="42">
        <v>0.211062502382414</v>
      </c>
      <c r="K182" s="57" t="s">
        <v>182</v>
      </c>
    </row>
    <row r="183" spans="4:9">
      <c r="D183" s="105" t="s">
        <v>64</v>
      </c>
      <c r="E183" s="105"/>
      <c r="H183" s="172"/>
      <c r="I183" s="172"/>
    </row>
    <row r="184" ht="112.5" spans="3:11">
      <c r="C184" s="105" t="s">
        <v>88</v>
      </c>
      <c r="D184" s="105" t="s">
        <v>36</v>
      </c>
      <c r="E184" s="105"/>
      <c r="F184" t="s">
        <v>77</v>
      </c>
      <c r="G184" s="41">
        <v>2021</v>
      </c>
      <c r="H184" s="172">
        <v>0.675</v>
      </c>
      <c r="I184" s="172"/>
      <c r="J184" s="42">
        <v>0.211062502382414</v>
      </c>
      <c r="K184" s="57" t="s">
        <v>182</v>
      </c>
    </row>
    <row r="185" spans="4:9">
      <c r="D185" s="105" t="s">
        <v>64</v>
      </c>
      <c r="E185" s="105"/>
      <c r="H185" s="172"/>
      <c r="I185" s="172"/>
    </row>
    <row r="186" ht="112.5" spans="3:11">
      <c r="C186" s="105" t="s">
        <v>89</v>
      </c>
      <c r="D186" s="105" t="s">
        <v>48</v>
      </c>
      <c r="E186" s="105"/>
      <c r="F186" t="s">
        <v>77</v>
      </c>
      <c r="G186" s="41">
        <v>2021</v>
      </c>
      <c r="H186" s="172">
        <v>0.9</v>
      </c>
      <c r="I186" s="172"/>
      <c r="J186" s="42">
        <v>0.211062502382414</v>
      </c>
      <c r="K186" s="57" t="s">
        <v>182</v>
      </c>
    </row>
    <row r="187" spans="4:9">
      <c r="D187" s="105" t="s">
        <v>44</v>
      </c>
      <c r="E187" s="105"/>
      <c r="H187" s="172"/>
      <c r="I187" s="172"/>
    </row>
    <row r="188" ht="112.5" spans="3:11">
      <c r="C188" s="105" t="s">
        <v>90</v>
      </c>
      <c r="D188" s="105" t="s">
        <v>48</v>
      </c>
      <c r="E188" s="105"/>
      <c r="F188" t="s">
        <v>77</v>
      </c>
      <c r="G188" s="41">
        <v>2021</v>
      </c>
      <c r="H188" s="172">
        <v>0.89</v>
      </c>
      <c r="I188" s="172"/>
      <c r="J188" s="42">
        <v>0.211062502382414</v>
      </c>
      <c r="K188" s="57" t="s">
        <v>182</v>
      </c>
    </row>
    <row r="189" spans="4:5">
      <c r="D189" s="105" t="s">
        <v>36</v>
      </c>
      <c r="E189" s="105"/>
    </row>
    <row r="190" ht="112.5" spans="3:11">
      <c r="C190" t="s">
        <v>91</v>
      </c>
      <c r="D190" t="s">
        <v>36</v>
      </c>
      <c r="F190" t="s">
        <v>92</v>
      </c>
      <c r="G190" s="41">
        <v>2021</v>
      </c>
      <c r="H190" s="42">
        <v>0.6</v>
      </c>
      <c r="J190" s="42">
        <v>0.114692556417616</v>
      </c>
      <c r="K190" s="57" t="s">
        <v>182</v>
      </c>
    </row>
    <row r="191" ht="112.5" spans="3:11">
      <c r="C191" t="s">
        <v>93</v>
      </c>
      <c r="D191" t="s">
        <v>36</v>
      </c>
      <c r="F191" t="s">
        <v>92</v>
      </c>
      <c r="G191" s="41">
        <v>2021</v>
      </c>
      <c r="H191" s="42">
        <v>0.78</v>
      </c>
      <c r="J191" s="42">
        <v>0.114692556417616</v>
      </c>
      <c r="K191" s="57" t="s">
        <v>182</v>
      </c>
    </row>
    <row r="192" ht="112.5" spans="3:11">
      <c r="C192" t="s">
        <v>94</v>
      </c>
      <c r="D192" t="s">
        <v>36</v>
      </c>
      <c r="F192" t="s">
        <v>92</v>
      </c>
      <c r="G192" s="41">
        <v>2021</v>
      </c>
      <c r="H192" s="42">
        <v>0.85</v>
      </c>
      <c r="J192" s="42">
        <v>0.114692556417616</v>
      </c>
      <c r="K192" s="57" t="s">
        <v>182</v>
      </c>
    </row>
    <row r="193" ht="112.5" spans="3:11">
      <c r="C193" t="s">
        <v>95</v>
      </c>
      <c r="D193" t="s">
        <v>44</v>
      </c>
      <c r="F193" t="s">
        <v>92</v>
      </c>
      <c r="G193" s="41">
        <v>2021</v>
      </c>
      <c r="H193" s="42">
        <v>0.62</v>
      </c>
      <c r="J193" s="42">
        <v>0.18900772326985</v>
      </c>
      <c r="K193" s="57" t="s">
        <v>182</v>
      </c>
    </row>
    <row r="194" ht="112.5" spans="3:11">
      <c r="C194" t="s">
        <v>96</v>
      </c>
      <c r="D194" t="s">
        <v>44</v>
      </c>
      <c r="F194" t="s">
        <v>92</v>
      </c>
      <c r="G194" s="41">
        <v>2021</v>
      </c>
      <c r="H194" s="42">
        <v>0.8</v>
      </c>
      <c r="J194" s="42">
        <v>0.18900772326985</v>
      </c>
      <c r="K194" s="57" t="s">
        <v>182</v>
      </c>
    </row>
    <row r="195" ht="112.5" spans="3:11">
      <c r="C195" t="s">
        <v>97</v>
      </c>
      <c r="D195" t="s">
        <v>44</v>
      </c>
      <c r="F195" t="s">
        <v>92</v>
      </c>
      <c r="G195" s="41">
        <v>2021</v>
      </c>
      <c r="H195" s="42">
        <v>0.9</v>
      </c>
      <c r="J195" s="42">
        <v>0.18900772326985</v>
      </c>
      <c r="K195" s="57" t="s">
        <v>182</v>
      </c>
    </row>
    <row r="196" ht="112.5" spans="3:11">
      <c r="C196" t="s">
        <v>98</v>
      </c>
      <c r="D196" t="s">
        <v>48</v>
      </c>
      <c r="F196" t="s">
        <v>92</v>
      </c>
      <c r="G196" s="41">
        <v>2021</v>
      </c>
      <c r="H196" s="42">
        <v>1</v>
      </c>
      <c r="J196" s="42">
        <v>0.143034601670477</v>
      </c>
      <c r="K196" s="57" t="s">
        <v>182</v>
      </c>
    </row>
    <row r="197" ht="112.5" spans="3:11">
      <c r="C197" t="s">
        <v>99</v>
      </c>
      <c r="D197" s="175" t="s">
        <v>48</v>
      </c>
      <c r="E197" s="175"/>
      <c r="F197" s="128" t="s">
        <v>92</v>
      </c>
      <c r="G197" s="41">
        <v>2021</v>
      </c>
      <c r="H197" s="42">
        <v>1</v>
      </c>
      <c r="J197" s="42">
        <v>0.317251291639583</v>
      </c>
      <c r="K197" s="57" t="s">
        <v>182</v>
      </c>
    </row>
    <row r="198" spans="4:4">
      <c r="D198" s="173" t="str">
        <f>[2]COMM!$E$19</f>
        <v>RSDAHT</v>
      </c>
    </row>
    <row r="199" ht="112.5" spans="3:11">
      <c r="C199" t="s">
        <v>100</v>
      </c>
      <c r="D199" t="s">
        <v>53</v>
      </c>
      <c r="F199" t="s">
        <v>92</v>
      </c>
      <c r="G199" s="41">
        <v>2021</v>
      </c>
      <c r="H199" s="42">
        <v>0.5</v>
      </c>
      <c r="J199" s="42">
        <v>0.219836672502485</v>
      </c>
      <c r="K199" s="57" t="s">
        <v>182</v>
      </c>
    </row>
    <row r="200" ht="112.5" spans="3:11">
      <c r="C200" t="s">
        <v>101</v>
      </c>
      <c r="D200" t="s">
        <v>64</v>
      </c>
      <c r="F200" t="s">
        <v>92</v>
      </c>
      <c r="G200" s="41">
        <v>2021</v>
      </c>
      <c r="H200" s="42">
        <v>0.5</v>
      </c>
      <c r="J200" s="42">
        <v>0.141564047836952</v>
      </c>
      <c r="K200" s="57" t="s">
        <v>182</v>
      </c>
    </row>
    <row r="201" ht="112.5" spans="3:11">
      <c r="C201" s="105" t="s">
        <v>102</v>
      </c>
      <c r="D201" s="105" t="s">
        <v>48</v>
      </c>
      <c r="E201" s="105"/>
      <c r="F201" t="s">
        <v>92</v>
      </c>
      <c r="G201" s="41">
        <v>2021</v>
      </c>
      <c r="H201" s="42">
        <v>0.75</v>
      </c>
      <c r="J201" s="42">
        <v>0.317251291639583</v>
      </c>
      <c r="K201" s="57" t="s">
        <v>182</v>
      </c>
    </row>
    <row r="202" spans="4:5">
      <c r="D202" s="105" t="s">
        <v>64</v>
      </c>
      <c r="E202" s="105"/>
    </row>
    <row r="203" ht="112.5" spans="3:11">
      <c r="C203" s="105" t="s">
        <v>103</v>
      </c>
      <c r="D203" s="105" t="s">
        <v>36</v>
      </c>
      <c r="E203" s="105"/>
      <c r="F203" t="s">
        <v>92</v>
      </c>
      <c r="G203" s="41">
        <v>2021</v>
      </c>
      <c r="H203" s="42">
        <v>0.675</v>
      </c>
      <c r="J203" s="42">
        <v>0.317251291639583</v>
      </c>
      <c r="K203" s="57" t="s">
        <v>182</v>
      </c>
    </row>
    <row r="204" spans="4:5">
      <c r="D204" s="105" t="s">
        <v>64</v>
      </c>
      <c r="E204" s="105"/>
    </row>
    <row r="205" ht="112.5" spans="3:11">
      <c r="C205" s="105" t="s">
        <v>104</v>
      </c>
      <c r="D205" s="105" t="s">
        <v>48</v>
      </c>
      <c r="E205" s="105"/>
      <c r="F205" t="s">
        <v>92</v>
      </c>
      <c r="G205" s="41">
        <v>2021</v>
      </c>
      <c r="H205" s="42">
        <v>0.9</v>
      </c>
      <c r="J205" s="42">
        <v>0.317251291639583</v>
      </c>
      <c r="K205" s="57" t="s">
        <v>182</v>
      </c>
    </row>
    <row r="206" spans="4:5">
      <c r="D206" s="105" t="s">
        <v>44</v>
      </c>
      <c r="E206" s="105"/>
    </row>
    <row r="207" ht="112.5" spans="3:11">
      <c r="C207" s="105" t="s">
        <v>105</v>
      </c>
      <c r="D207" s="105" t="s">
        <v>48</v>
      </c>
      <c r="E207" s="105"/>
      <c r="F207" t="s">
        <v>92</v>
      </c>
      <c r="G207" s="41">
        <v>2021</v>
      </c>
      <c r="H207" s="42">
        <v>0.89</v>
      </c>
      <c r="J207" s="42">
        <v>0.317251291639583</v>
      </c>
      <c r="K207" s="57" t="s">
        <v>182</v>
      </c>
    </row>
    <row r="208" spans="4:5">
      <c r="D208" s="105" t="s">
        <v>36</v>
      </c>
      <c r="E208" s="105"/>
    </row>
    <row r="209" ht="112.5" spans="3:11">
      <c r="C209" t="s">
        <v>106</v>
      </c>
      <c r="D209" t="s">
        <v>36</v>
      </c>
      <c r="F209" t="s">
        <v>107</v>
      </c>
      <c r="G209" s="41">
        <v>2021</v>
      </c>
      <c r="H209" s="42">
        <v>0.6</v>
      </c>
      <c r="J209" s="42">
        <v>0.286893901186416</v>
      </c>
      <c r="K209" s="57" t="s">
        <v>182</v>
      </c>
    </row>
    <row r="210" ht="112.5" spans="3:11">
      <c r="C210" t="s">
        <v>108</v>
      </c>
      <c r="D210" t="s">
        <v>36</v>
      </c>
      <c r="F210" t="s">
        <v>107</v>
      </c>
      <c r="G210" s="41">
        <v>2021</v>
      </c>
      <c r="H210" s="42">
        <v>0.78</v>
      </c>
      <c r="J210" s="42">
        <v>0.286893901186416</v>
      </c>
      <c r="K210" s="57" t="s">
        <v>182</v>
      </c>
    </row>
    <row r="211" ht="112.5" spans="3:11">
      <c r="C211" t="s">
        <v>109</v>
      </c>
      <c r="D211" t="s">
        <v>36</v>
      </c>
      <c r="F211" t="s">
        <v>107</v>
      </c>
      <c r="G211" s="41">
        <v>2021</v>
      </c>
      <c r="H211" s="42">
        <v>0.85</v>
      </c>
      <c r="J211" s="42">
        <v>0.286893901186416</v>
      </c>
      <c r="K211" s="57" t="s">
        <v>182</v>
      </c>
    </row>
    <row r="212" ht="112.5" spans="3:11">
      <c r="C212" t="s">
        <v>110</v>
      </c>
      <c r="D212" t="s">
        <v>44</v>
      </c>
      <c r="F212" t="s">
        <v>107</v>
      </c>
      <c r="G212" s="41">
        <v>2021</v>
      </c>
      <c r="H212" s="42">
        <v>0.62</v>
      </c>
      <c r="J212" s="42">
        <v>0.542665635221575</v>
      </c>
      <c r="K212" s="57" t="s">
        <v>182</v>
      </c>
    </row>
    <row r="213" ht="112.5" spans="3:11">
      <c r="C213" t="s">
        <v>111</v>
      </c>
      <c r="D213" t="s">
        <v>44</v>
      </c>
      <c r="F213" t="s">
        <v>107</v>
      </c>
      <c r="G213" s="41">
        <v>2021</v>
      </c>
      <c r="H213" s="42">
        <v>0.8</v>
      </c>
      <c r="J213" s="42">
        <v>0.542665635221575</v>
      </c>
      <c r="K213" s="57" t="s">
        <v>182</v>
      </c>
    </row>
    <row r="214" ht="112.5" spans="3:11">
      <c r="C214" t="s">
        <v>112</v>
      </c>
      <c r="D214" t="s">
        <v>44</v>
      </c>
      <c r="F214" t="s">
        <v>107</v>
      </c>
      <c r="G214" s="41">
        <v>2021</v>
      </c>
      <c r="H214" s="42">
        <v>0.9</v>
      </c>
      <c r="J214" s="42">
        <v>0.542665635221575</v>
      </c>
      <c r="K214" s="57" t="s">
        <v>182</v>
      </c>
    </row>
    <row r="215" ht="112.5" spans="3:11">
      <c r="C215" t="s">
        <v>113</v>
      </c>
      <c r="D215" t="s">
        <v>48</v>
      </c>
      <c r="F215" t="s">
        <v>107</v>
      </c>
      <c r="G215" s="41">
        <v>2021</v>
      </c>
      <c r="H215" s="42">
        <v>1</v>
      </c>
      <c r="J215" s="42">
        <v>0.437599097173953</v>
      </c>
      <c r="K215" s="57" t="s">
        <v>182</v>
      </c>
    </row>
    <row r="216" ht="112.5" spans="3:11">
      <c r="C216" s="128" t="s">
        <v>114</v>
      </c>
      <c r="D216" s="175" t="s">
        <v>48</v>
      </c>
      <c r="E216" s="175"/>
      <c r="F216" s="128" t="s">
        <v>107</v>
      </c>
      <c r="G216" s="41">
        <v>2021</v>
      </c>
      <c r="H216" s="42">
        <f>H215</f>
        <v>1</v>
      </c>
      <c r="J216" s="42">
        <v>0.659119941244054</v>
      </c>
      <c r="K216" s="57" t="s">
        <v>182</v>
      </c>
    </row>
    <row r="217" spans="4:4">
      <c r="D217" s="173" t="str">
        <f>[2]COMM!$E$19</f>
        <v>RSDAHT</v>
      </c>
    </row>
    <row r="218" ht="112.5" spans="3:11">
      <c r="C218" t="s">
        <v>115</v>
      </c>
      <c r="D218" t="s">
        <v>53</v>
      </c>
      <c r="F218" t="s">
        <v>107</v>
      </c>
      <c r="G218" s="41">
        <v>2021</v>
      </c>
      <c r="H218" s="42">
        <v>0.5</v>
      </c>
      <c r="J218" s="42">
        <v>0.465396592185367</v>
      </c>
      <c r="K218" s="57" t="s">
        <v>182</v>
      </c>
    </row>
    <row r="219" ht="112.5" spans="3:11">
      <c r="C219" t="s">
        <v>116</v>
      </c>
      <c r="D219" t="s">
        <v>64</v>
      </c>
      <c r="F219" t="s">
        <v>107</v>
      </c>
      <c r="G219" s="41">
        <v>2021</v>
      </c>
      <c r="H219" s="42">
        <v>0.5</v>
      </c>
      <c r="J219" s="42">
        <v>0.0146099085878196</v>
      </c>
      <c r="K219" s="57" t="s">
        <v>182</v>
      </c>
    </row>
    <row r="220" ht="112.5" spans="3:11">
      <c r="C220" s="105" t="s">
        <v>117</v>
      </c>
      <c r="D220" s="105" t="s">
        <v>48</v>
      </c>
      <c r="E220" s="105"/>
      <c r="F220" t="s">
        <v>107</v>
      </c>
      <c r="G220" s="41">
        <v>2021</v>
      </c>
      <c r="H220" s="42">
        <v>0.75</v>
      </c>
      <c r="J220" s="42">
        <v>0.659119941244054</v>
      </c>
      <c r="K220" s="57" t="s">
        <v>182</v>
      </c>
    </row>
    <row r="221" spans="4:5">
      <c r="D221" s="105" t="s">
        <v>64</v>
      </c>
      <c r="E221" s="105"/>
    </row>
    <row r="222" ht="112.5" spans="3:11">
      <c r="C222" s="105" t="s">
        <v>118</v>
      </c>
      <c r="D222" s="105" t="s">
        <v>36</v>
      </c>
      <c r="E222" s="105"/>
      <c r="F222" t="s">
        <v>107</v>
      </c>
      <c r="G222" s="41">
        <v>2021</v>
      </c>
      <c r="H222" s="42">
        <v>0.675</v>
      </c>
      <c r="J222" s="42">
        <v>0.659119941244054</v>
      </c>
      <c r="K222" s="57" t="s">
        <v>182</v>
      </c>
    </row>
    <row r="223" spans="4:5">
      <c r="D223" s="105" t="s">
        <v>64</v>
      </c>
      <c r="E223" s="105"/>
    </row>
    <row r="224" ht="112.5" spans="3:11">
      <c r="C224" s="105" t="s">
        <v>119</v>
      </c>
      <c r="D224" s="105" t="s">
        <v>48</v>
      </c>
      <c r="E224" s="105"/>
      <c r="F224" t="s">
        <v>107</v>
      </c>
      <c r="G224" s="41">
        <v>2021</v>
      </c>
      <c r="H224" s="42">
        <v>0.9</v>
      </c>
      <c r="J224" s="42">
        <v>0.659119941244054</v>
      </c>
      <c r="K224" s="57" t="s">
        <v>182</v>
      </c>
    </row>
    <row r="225" spans="4:5">
      <c r="D225" s="105" t="s">
        <v>44</v>
      </c>
      <c r="E225" s="105"/>
    </row>
    <row r="226" ht="112.5" spans="3:11">
      <c r="C226" s="105" t="s">
        <v>120</v>
      </c>
      <c r="D226" s="105" t="s">
        <v>48</v>
      </c>
      <c r="E226" s="105"/>
      <c r="F226" t="s">
        <v>107</v>
      </c>
      <c r="G226" s="41">
        <v>2021</v>
      </c>
      <c r="H226" s="42">
        <v>0.89</v>
      </c>
      <c r="J226" s="42">
        <v>0.659119941244054</v>
      </c>
      <c r="K226" s="57" t="s">
        <v>182</v>
      </c>
    </row>
    <row r="227" spans="4:5">
      <c r="D227" s="105" t="s">
        <v>36</v>
      </c>
      <c r="E227" s="105"/>
    </row>
    <row r="228" ht="112.5" spans="3:11">
      <c r="C228" s="105" t="s">
        <v>122</v>
      </c>
      <c r="D228" s="105" t="s">
        <v>48</v>
      </c>
      <c r="E228" s="105"/>
      <c r="F228" s="105" t="s">
        <v>121</v>
      </c>
      <c r="G228" s="41">
        <v>2021</v>
      </c>
      <c r="H228" s="199">
        <f>11.5/3.412</f>
        <v>3.3704572098476</v>
      </c>
      <c r="I228" s="172"/>
      <c r="K228" s="57" t="s">
        <v>183</v>
      </c>
    </row>
    <row r="229" spans="3:9">
      <c r="C229" s="105" t="s">
        <v>18</v>
      </c>
      <c r="D229" s="105"/>
      <c r="E229" s="105"/>
      <c r="F229" s="105"/>
      <c r="H229" s="199"/>
      <c r="I229" s="172"/>
    </row>
    <row r="230" ht="112.5" spans="3:11">
      <c r="C230" s="105" t="s">
        <v>124</v>
      </c>
      <c r="D230" s="105" t="s">
        <v>48</v>
      </c>
      <c r="E230" s="105"/>
      <c r="F230" s="105" t="s">
        <v>123</v>
      </c>
      <c r="G230" s="41">
        <v>2021</v>
      </c>
      <c r="H230" s="199">
        <f>H228</f>
        <v>3.3704572098476</v>
      </c>
      <c r="I230" s="172"/>
      <c r="K230" s="57" t="s">
        <v>183</v>
      </c>
    </row>
    <row r="231" spans="3:9">
      <c r="C231" s="105" t="s">
        <v>18</v>
      </c>
      <c r="D231" s="105"/>
      <c r="E231" s="105"/>
      <c r="F231" s="105"/>
      <c r="H231" s="199"/>
      <c r="I231" s="172"/>
    </row>
    <row r="232" ht="112.5" spans="3:11">
      <c r="C232" s="105" t="s">
        <v>126</v>
      </c>
      <c r="D232" s="105" t="s">
        <v>48</v>
      </c>
      <c r="E232" s="105"/>
      <c r="F232" s="105" t="s">
        <v>125</v>
      </c>
      <c r="G232" s="41">
        <v>2021</v>
      </c>
      <c r="H232" s="199">
        <f>13.7/3.412</f>
        <v>4.01524032825322</v>
      </c>
      <c r="I232" s="172"/>
      <c r="K232" s="57" t="s">
        <v>183</v>
      </c>
    </row>
    <row r="233" spans="3:9">
      <c r="C233" s="105" t="s">
        <v>18</v>
      </c>
      <c r="D233" s="105"/>
      <c r="E233" s="105"/>
      <c r="F233" s="105"/>
      <c r="H233" s="199"/>
      <c r="I233" s="172"/>
    </row>
    <row r="234" ht="112.5" spans="3:11">
      <c r="C234" s="105" t="s">
        <v>128</v>
      </c>
      <c r="D234" s="105" t="s">
        <v>48</v>
      </c>
      <c r="E234" s="105"/>
      <c r="F234" s="105" t="s">
        <v>127</v>
      </c>
      <c r="G234" s="41">
        <v>2021</v>
      </c>
      <c r="H234" s="199">
        <f>H232</f>
        <v>4.01524032825322</v>
      </c>
      <c r="I234" s="172"/>
      <c r="K234" s="57" t="s">
        <v>183</v>
      </c>
    </row>
    <row r="235" spans="3:9">
      <c r="C235" s="105" t="s">
        <v>18</v>
      </c>
      <c r="D235" s="105"/>
      <c r="E235" s="105"/>
      <c r="F235" s="105"/>
      <c r="H235" s="172"/>
      <c r="I235" s="172"/>
    </row>
    <row r="236" ht="112.5" spans="3:11">
      <c r="C236" s="42" t="s">
        <v>174</v>
      </c>
      <c r="D236" s="203" t="s">
        <v>48</v>
      </c>
      <c r="E236" s="203"/>
      <c r="F236" s="203" t="s">
        <v>121</v>
      </c>
      <c r="G236" s="41">
        <v>2021</v>
      </c>
      <c r="H236" s="172">
        <v>1</v>
      </c>
      <c r="I236" s="172"/>
      <c r="J236" s="81"/>
      <c r="K236" s="57" t="s">
        <v>183</v>
      </c>
    </row>
    <row r="237" spans="3:9">
      <c r="C237" s="41"/>
      <c r="D237" s="90" t="s">
        <v>184</v>
      </c>
      <c r="F237" s="41"/>
      <c r="H237" s="172"/>
      <c r="I237" s="172"/>
    </row>
    <row r="238" ht="112.5" spans="3:11">
      <c r="C238" s="42" t="s">
        <v>175</v>
      </c>
      <c r="D238" s="203" t="s">
        <v>48</v>
      </c>
      <c r="E238" s="203"/>
      <c r="F238" s="203" t="s">
        <v>123</v>
      </c>
      <c r="G238" s="41">
        <v>2021</v>
      </c>
      <c r="H238" s="172">
        <v>1</v>
      </c>
      <c r="I238" s="172"/>
      <c r="J238" s="81"/>
      <c r="K238" s="57" t="s">
        <v>183</v>
      </c>
    </row>
    <row r="239" spans="3:9">
      <c r="C239" s="41"/>
      <c r="D239" s="90" t="s">
        <v>184</v>
      </c>
      <c r="F239" s="41"/>
      <c r="H239" s="172"/>
      <c r="I239" s="172"/>
    </row>
    <row r="240" ht="112.5" spans="3:11">
      <c r="C240" s="42" t="s">
        <v>176</v>
      </c>
      <c r="D240" s="203" t="s">
        <v>48</v>
      </c>
      <c r="E240" s="203"/>
      <c r="F240" s="203" t="s">
        <v>125</v>
      </c>
      <c r="G240" s="41">
        <v>2021</v>
      </c>
      <c r="H240" s="172">
        <v>1</v>
      </c>
      <c r="I240" s="172"/>
      <c r="J240" s="81"/>
      <c r="K240" s="57" t="s">
        <v>183</v>
      </c>
    </row>
    <row r="241" spans="3:9">
      <c r="C241" s="41"/>
      <c r="D241" s="90" t="s">
        <v>184</v>
      </c>
      <c r="F241" s="41"/>
      <c r="H241" s="172"/>
      <c r="I241" s="172"/>
    </row>
    <row r="242" ht="112.5" spans="3:11">
      <c r="C242" s="42" t="s">
        <v>177</v>
      </c>
      <c r="D242" s="203" t="s">
        <v>48</v>
      </c>
      <c r="E242" s="203"/>
      <c r="F242" s="203" t="s">
        <v>127</v>
      </c>
      <c r="G242" s="41">
        <v>2021</v>
      </c>
      <c r="H242" s="172">
        <v>1</v>
      </c>
      <c r="I242" s="172"/>
      <c r="J242" s="81"/>
      <c r="K242" s="57" t="s">
        <v>183</v>
      </c>
    </row>
    <row r="243" spans="3:9">
      <c r="C243" s="41"/>
      <c r="D243" s="90" t="s">
        <v>184</v>
      </c>
      <c r="F243" s="41"/>
      <c r="H243" s="172"/>
      <c r="I243" s="172"/>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56"/>
  <sheetViews>
    <sheetView tabSelected="1" zoomScale="56" zoomScaleNormal="56" workbookViewId="0">
      <selection activeCell="J47" sqref="J47"/>
    </sheetView>
  </sheetViews>
  <sheetFormatPr defaultColWidth="9" defaultRowHeight="14.5"/>
  <cols>
    <col min="1" max="1" width="121.127272727273" customWidth="1"/>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 min="44" max="44" width="15.4545454545455" customWidth="1"/>
    <col min="45" max="46" width="16.8181818181818" customWidth="1"/>
    <col min="47" max="47" width="15.5454545454545" customWidth="1"/>
    <col min="48" max="48" width="16" customWidth="1"/>
    <col min="52" max="52" width="15.8181818181818" customWidth="1"/>
    <col min="60" max="60" width="20.6363636363636" customWidth="1"/>
  </cols>
  <sheetData>
    <row r="1" spans="1:16">
      <c r="A1" t="s">
        <v>185</v>
      </c>
      <c r="E1" s="103" t="s">
        <v>186</v>
      </c>
      <c r="G1" s="24"/>
      <c r="O1" s="128"/>
      <c r="P1" s="128"/>
    </row>
    <row r="2" ht="15.5" spans="1:17">
      <c r="A2" t="s">
        <v>187</v>
      </c>
      <c r="B2" s="104" t="s">
        <v>188</v>
      </c>
      <c r="C2" s="1"/>
      <c r="M2" s="81"/>
      <c r="N2" s="81"/>
      <c r="O2" s="128"/>
      <c r="P2" s="129"/>
      <c r="Q2" s="142"/>
    </row>
    <row r="3" ht="15.5" spans="1:17">
      <c r="A3" t="s">
        <v>189</v>
      </c>
      <c r="B3" s="105" t="s">
        <v>190</v>
      </c>
      <c r="C3" s="1"/>
      <c r="M3" s="81"/>
      <c r="N3" s="81"/>
      <c r="O3" s="128"/>
      <c r="P3" s="129"/>
      <c r="Q3" s="142"/>
    </row>
    <row r="4" ht="15.5" spans="1:17">
      <c r="A4" t="s">
        <v>191</v>
      </c>
      <c r="B4" s="104"/>
      <c r="C4" s="1"/>
      <c r="M4" s="81"/>
      <c r="N4" s="81"/>
      <c r="O4" s="128"/>
      <c r="P4" s="129"/>
      <c r="Q4" s="142"/>
    </row>
    <row r="5" spans="5:36">
      <c r="E5" s="12" t="s">
        <v>10</v>
      </c>
      <c r="AB5" s="146" t="s">
        <v>11</v>
      </c>
      <c r="AC5" s="146"/>
      <c r="AD5" s="40"/>
      <c r="AE5" s="40"/>
      <c r="AF5" s="40"/>
      <c r="AG5" s="40"/>
      <c r="AH5" s="40"/>
      <c r="AI5" s="40"/>
      <c r="AJ5" s="40"/>
    </row>
    <row r="6" ht="15.25" spans="3:67">
      <c r="C6" s="13" t="s">
        <v>12</v>
      </c>
      <c r="D6" s="13" t="s">
        <v>13</v>
      </c>
      <c r="E6" s="13" t="s">
        <v>15</v>
      </c>
      <c r="F6" s="106" t="s">
        <v>16</v>
      </c>
      <c r="G6" s="15" t="s">
        <v>17</v>
      </c>
      <c r="H6" s="15" t="s">
        <v>19</v>
      </c>
      <c r="I6" s="15" t="s">
        <v>192</v>
      </c>
      <c r="J6" s="15" t="s">
        <v>20</v>
      </c>
      <c r="K6" s="15" t="s">
        <v>193</v>
      </c>
      <c r="L6" s="15" t="s">
        <v>21</v>
      </c>
      <c r="M6" s="15" t="s">
        <v>22</v>
      </c>
      <c r="N6" s="15" t="s">
        <v>194</v>
      </c>
      <c r="O6" s="15" t="s">
        <v>23</v>
      </c>
      <c r="P6" s="15" t="s">
        <v>24</v>
      </c>
      <c r="Q6" s="15" t="s">
        <v>195</v>
      </c>
      <c r="R6" s="15" t="s">
        <v>25</v>
      </c>
      <c r="S6" s="50" t="s">
        <v>27</v>
      </c>
      <c r="T6" s="50" t="s">
        <v>26</v>
      </c>
      <c r="U6" s="50" t="s">
        <v>196</v>
      </c>
      <c r="AB6" s="147" t="s">
        <v>29</v>
      </c>
      <c r="AC6" s="148" t="s">
        <v>197</v>
      </c>
      <c r="AD6" s="147" t="s">
        <v>12</v>
      </c>
      <c r="AE6" s="147" t="s">
        <v>30</v>
      </c>
      <c r="AF6" s="147" t="s">
        <v>31</v>
      </c>
      <c r="AG6" s="147" t="s">
        <v>32</v>
      </c>
      <c r="AH6" s="147" t="s">
        <v>33</v>
      </c>
      <c r="AI6" s="147" t="s">
        <v>34</v>
      </c>
      <c r="AJ6" s="147" t="s">
        <v>198</v>
      </c>
      <c r="BC6" s="159"/>
      <c r="BD6" s="159"/>
      <c r="BE6" s="160"/>
      <c r="BF6" s="162"/>
      <c r="BG6" s="163"/>
      <c r="BH6" s="164"/>
      <c r="BI6" s="163"/>
      <c r="BJ6" s="163"/>
      <c r="BK6" s="163"/>
      <c r="BL6" s="163"/>
      <c r="BM6" s="163"/>
      <c r="BN6" s="163"/>
      <c r="BO6" s="163"/>
    </row>
    <row r="7" ht="40.75" spans="3:67">
      <c r="C7" s="107" t="s">
        <v>199</v>
      </c>
      <c r="D7" s="10" t="s">
        <v>200</v>
      </c>
      <c r="E7" s="10" t="s">
        <v>201</v>
      </c>
      <c r="F7" s="102">
        <v>2021</v>
      </c>
      <c r="G7">
        <v>0.26</v>
      </c>
      <c r="H7" s="108">
        <f>AVERAGE([5]AFA_000kmPerVeh_AFA!$E$11:$K$11)</f>
        <v>14</v>
      </c>
      <c r="I7" s="130">
        <f>AVERAGE([5]Occupancy_ACTFLO_CAP2ACT!$D$11:$J$11)</f>
        <v>1.71369752068902</v>
      </c>
      <c r="J7" s="131">
        <f>25.2*1.35</f>
        <v>34.02</v>
      </c>
      <c r="K7" s="132">
        <f>(0.2/1.6)*(10^9)*1.35/10^6</f>
        <v>168.75</v>
      </c>
      <c r="L7" s="133">
        <f>1.733*1.35</f>
        <v>2.33955</v>
      </c>
      <c r="M7" s="133">
        <f>J7*95%</f>
        <v>32.319</v>
      </c>
      <c r="N7" s="134">
        <f>K7*0.95</f>
        <v>160.3125</v>
      </c>
      <c r="O7" s="133">
        <f>L7*0.95</f>
        <v>2.2225725</v>
      </c>
      <c r="P7" s="133">
        <f>J7*90%</f>
        <v>30.618</v>
      </c>
      <c r="Q7" s="134">
        <f>K7*0.9</f>
        <v>151.875</v>
      </c>
      <c r="R7" s="133">
        <f t="shared" ref="R7:R22" si="0">L7*0.9</f>
        <v>2.105595</v>
      </c>
      <c r="S7">
        <v>0.001</v>
      </c>
      <c r="T7" s="135">
        <f t="shared" ref="T7:T20" si="1">15</f>
        <v>15</v>
      </c>
      <c r="AB7" s="149" t="s">
        <v>202</v>
      </c>
      <c r="AC7" s="149" t="s">
        <v>203</v>
      </c>
      <c r="AD7" s="149" t="s">
        <v>204</v>
      </c>
      <c r="AE7" s="149" t="s">
        <v>205</v>
      </c>
      <c r="AF7" s="149" t="s">
        <v>206</v>
      </c>
      <c r="AG7" s="149" t="s">
        <v>207</v>
      </c>
      <c r="AH7" s="149" t="s">
        <v>208</v>
      </c>
      <c r="AI7" s="149" t="s">
        <v>209</v>
      </c>
      <c r="AJ7" s="149" t="s">
        <v>210</v>
      </c>
      <c r="AR7" s="158" t="s">
        <v>211</v>
      </c>
      <c r="AS7" s="158"/>
      <c r="AT7" s="158"/>
      <c r="AU7" s="158"/>
      <c r="AV7" s="158"/>
      <c r="AW7" s="158"/>
      <c r="AX7" s="158"/>
      <c r="AY7" s="158"/>
      <c r="AZ7" s="158"/>
      <c r="BA7" s="158"/>
      <c r="BB7" s="158"/>
      <c r="BC7" s="159"/>
      <c r="BD7" s="159"/>
      <c r="BE7" s="160"/>
      <c r="BF7" s="165"/>
      <c r="BG7" s="165"/>
      <c r="BH7" s="165"/>
      <c r="BI7" s="166"/>
      <c r="BJ7" s="166"/>
      <c r="BK7" s="166"/>
      <c r="BL7" s="166"/>
      <c r="BM7" s="166"/>
      <c r="BN7" s="166"/>
      <c r="BO7" s="166"/>
    </row>
    <row r="8" spans="3:67">
      <c r="C8" s="107" t="s">
        <v>212</v>
      </c>
      <c r="D8" s="10" t="s">
        <v>213</v>
      </c>
      <c r="E8" s="10" t="s">
        <v>201</v>
      </c>
      <c r="F8" s="102">
        <v>2021</v>
      </c>
      <c r="G8">
        <v>0.26</v>
      </c>
      <c r="H8" s="108">
        <f>AVERAGE([5]AFA_000kmPerVeh_AFA!$E$12:$K$12)</f>
        <v>14</v>
      </c>
      <c r="I8" s="130">
        <f>AVERAGE([5]Occupancy_ACTFLO_CAP2ACT!$D$12:$J$12)</f>
        <v>1.71369752068902</v>
      </c>
      <c r="J8" s="131">
        <f>25.2*1.35</f>
        <v>34.02</v>
      </c>
      <c r="K8" s="132">
        <f t="shared" ref="K8:K20" si="2">(0.2/1.6)*(10^9)*1.35/10^6</f>
        <v>168.75</v>
      </c>
      <c r="L8" s="133">
        <f>1.733*1.35</f>
        <v>2.33955</v>
      </c>
      <c r="M8" s="133">
        <f t="shared" ref="M8:M29" si="3">J8*95%</f>
        <v>32.319</v>
      </c>
      <c r="N8" s="134">
        <f t="shared" ref="N8:N22" si="4">K8*0.95</f>
        <v>160.3125</v>
      </c>
      <c r="O8" s="133">
        <f t="shared" ref="O8:O34" si="5">L8*0.95</f>
        <v>2.2225725</v>
      </c>
      <c r="P8" s="133">
        <f t="shared" ref="P8:P29" si="6">J8*90%</f>
        <v>30.618</v>
      </c>
      <c r="Q8" s="134">
        <f t="shared" ref="Q8:Q22" si="7">K8*0.9</f>
        <v>151.875</v>
      </c>
      <c r="R8" s="133">
        <f t="shared" si="0"/>
        <v>2.105595</v>
      </c>
      <c r="S8">
        <v>0.001</v>
      </c>
      <c r="T8" s="135">
        <f t="shared" si="1"/>
        <v>15</v>
      </c>
      <c r="AB8" s="150" t="s">
        <v>18</v>
      </c>
      <c r="AC8" s="151"/>
      <c r="AD8" s="151"/>
      <c r="AE8" s="151"/>
      <c r="AF8" s="151"/>
      <c r="AG8" s="151"/>
      <c r="AH8" s="151"/>
      <c r="AI8" s="151"/>
      <c r="AJ8" s="151"/>
      <c r="BC8" s="160"/>
      <c r="BD8" s="160"/>
      <c r="BE8" s="160"/>
      <c r="BF8" s="163"/>
      <c r="BG8" s="163"/>
      <c r="BH8" s="163"/>
      <c r="BI8" s="167"/>
      <c r="BJ8" s="167"/>
      <c r="BK8" s="167"/>
      <c r="BL8" s="167"/>
      <c r="BM8" s="167"/>
      <c r="BN8" s="167"/>
      <c r="BO8" s="167"/>
    </row>
    <row r="9" spans="3:67">
      <c r="C9" s="10" t="s">
        <v>214</v>
      </c>
      <c r="D9" s="10" t="s">
        <v>200</v>
      </c>
      <c r="E9" s="10" t="s">
        <v>201</v>
      </c>
      <c r="F9" s="102">
        <v>2021</v>
      </c>
      <c r="G9">
        <v>0.26</v>
      </c>
      <c r="H9" s="108">
        <f>AVERAGE([5]AFA_000kmPerVeh_AFA!$E$13:$K$13)</f>
        <v>16.1428571428571</v>
      </c>
      <c r="I9" s="130">
        <f>AVERAGE([5]Occupancy_ACTFLO_CAP2ACT!$D$13:$J$13)</f>
        <v>0.55986165464206</v>
      </c>
      <c r="J9" s="131">
        <f>25.2*1.35</f>
        <v>34.02</v>
      </c>
      <c r="K9" s="132">
        <f t="shared" si="2"/>
        <v>168.75</v>
      </c>
      <c r="L9" s="133">
        <f>1.733*1.35</f>
        <v>2.33955</v>
      </c>
      <c r="M9" s="133">
        <f t="shared" si="3"/>
        <v>32.319</v>
      </c>
      <c r="N9" s="134">
        <f t="shared" si="4"/>
        <v>160.3125</v>
      </c>
      <c r="O9" s="133">
        <f t="shared" si="5"/>
        <v>2.2225725</v>
      </c>
      <c r="P9" s="133">
        <f t="shared" si="6"/>
        <v>30.618</v>
      </c>
      <c r="Q9" s="134">
        <f t="shared" si="7"/>
        <v>151.875</v>
      </c>
      <c r="R9" s="133">
        <f t="shared" si="0"/>
        <v>2.105595</v>
      </c>
      <c r="S9">
        <v>0.001</v>
      </c>
      <c r="T9" s="135">
        <f t="shared" si="1"/>
        <v>15</v>
      </c>
      <c r="AB9" s="39" t="s">
        <v>38</v>
      </c>
      <c r="AC9" s="40"/>
      <c r="AD9" s="10" t="s">
        <v>199</v>
      </c>
      <c r="AE9" s="39"/>
      <c r="AF9" s="152" t="s">
        <v>215</v>
      </c>
      <c r="AG9" s="153" t="s">
        <v>216</v>
      </c>
      <c r="AH9" s="40"/>
      <c r="AI9" s="40" t="s">
        <v>217</v>
      </c>
      <c r="AJ9" s="40"/>
      <c r="AR9" s="58" t="s">
        <v>12</v>
      </c>
      <c r="AS9" s="58" t="s">
        <v>218</v>
      </c>
      <c r="AT9" s="58"/>
      <c r="AU9" s="58"/>
      <c r="AV9" s="58" t="s">
        <v>12</v>
      </c>
      <c r="AW9" s="58" t="s">
        <v>219</v>
      </c>
      <c r="AX9" s="58"/>
      <c r="AY9" s="58"/>
      <c r="AZ9" s="58"/>
      <c r="BA9" s="58"/>
      <c r="BB9" s="58"/>
      <c r="BC9" s="161"/>
      <c r="BD9" s="161"/>
      <c r="BE9" s="161"/>
      <c r="BF9" s="163"/>
      <c r="BG9" s="168"/>
      <c r="BH9" s="163"/>
      <c r="BI9" s="168"/>
      <c r="BJ9" s="168"/>
      <c r="BK9" s="168"/>
      <c r="BL9" s="168"/>
      <c r="BM9" s="168"/>
      <c r="BN9" s="168"/>
      <c r="BO9" s="168"/>
    </row>
    <row r="10" spans="3:67">
      <c r="C10" s="10" t="s">
        <v>220</v>
      </c>
      <c r="D10" s="10" t="s">
        <v>200</v>
      </c>
      <c r="E10" s="10" t="s">
        <v>201</v>
      </c>
      <c r="F10" s="102">
        <v>2021</v>
      </c>
      <c r="G10">
        <v>0.18</v>
      </c>
      <c r="H10" s="108">
        <f>AVERAGE([5]AFA_000kmPerVeh_AFA!$E$14:$K$14)</f>
        <v>19.1428571428571</v>
      </c>
      <c r="I10" s="130">
        <f>AVERAGE([5]Occupancy_ACTFLO_CAP2ACT!$D$14:$J$14)</f>
        <v>1.01179998747686</v>
      </c>
      <c r="J10" s="131">
        <f>58.6*1.35</f>
        <v>79.11</v>
      </c>
      <c r="K10" s="132">
        <f t="shared" si="2"/>
        <v>168.75</v>
      </c>
      <c r="L10" s="133">
        <f>1.733*1.35</f>
        <v>2.33955</v>
      </c>
      <c r="M10" s="133">
        <f t="shared" si="3"/>
        <v>75.1545</v>
      </c>
      <c r="N10" s="134">
        <f t="shared" si="4"/>
        <v>160.3125</v>
      </c>
      <c r="O10" s="133">
        <f t="shared" si="5"/>
        <v>2.2225725</v>
      </c>
      <c r="P10" s="133">
        <f t="shared" si="6"/>
        <v>71.199</v>
      </c>
      <c r="Q10" s="134">
        <f t="shared" si="7"/>
        <v>151.875</v>
      </c>
      <c r="R10" s="133">
        <f t="shared" si="0"/>
        <v>2.105595</v>
      </c>
      <c r="S10">
        <v>0.001</v>
      </c>
      <c r="T10" s="135">
        <f t="shared" si="1"/>
        <v>15</v>
      </c>
      <c r="AB10" s="40"/>
      <c r="AC10" s="40"/>
      <c r="AD10" s="10" t="s">
        <v>212</v>
      </c>
      <c r="AE10" s="39"/>
      <c r="AF10" s="153" t="s">
        <v>215</v>
      </c>
      <c r="AG10" s="153" t="s">
        <v>216</v>
      </c>
      <c r="AH10" s="40"/>
      <c r="AI10" s="40" t="s">
        <v>217</v>
      </c>
      <c r="AJ10" s="40"/>
      <c r="AR10" s="58" t="s">
        <v>221</v>
      </c>
      <c r="AS10" s="58">
        <v>1.08</v>
      </c>
      <c r="AT10" s="58"/>
      <c r="AU10" s="58"/>
      <c r="AV10" s="58" t="s">
        <v>222</v>
      </c>
      <c r="AW10" s="58">
        <v>0.26</v>
      </c>
      <c r="AX10" s="58"/>
      <c r="AY10" s="58"/>
      <c r="AZ10" s="58" t="s">
        <v>222</v>
      </c>
      <c r="BA10" s="58">
        <v>0.26</v>
      </c>
      <c r="BB10" s="58"/>
      <c r="BC10" s="161"/>
      <c r="BD10" s="161"/>
      <c r="BE10" s="161"/>
      <c r="BF10" s="168"/>
      <c r="BG10" s="168"/>
      <c r="BH10" s="168"/>
      <c r="BI10" s="167"/>
      <c r="BJ10" s="167"/>
      <c r="BK10" s="167"/>
      <c r="BL10" s="167"/>
      <c r="BM10" s="167"/>
      <c r="BN10" s="167"/>
      <c r="BO10" s="167"/>
    </row>
    <row r="11" spans="3:67">
      <c r="C11" s="10" t="s">
        <v>223</v>
      </c>
      <c r="D11" s="10" t="s">
        <v>213</v>
      </c>
      <c r="E11" s="10" t="s">
        <v>201</v>
      </c>
      <c r="F11" s="102">
        <v>2021</v>
      </c>
      <c r="G11">
        <v>2.15</v>
      </c>
      <c r="H11" s="108">
        <f>AVERAGE([5]AFA_000kmPerVeh_AFA!$E$15:$K$15)</f>
        <v>65.4285714285714</v>
      </c>
      <c r="I11" s="130">
        <f>AVERAGE([5]Occupancy_ACTFLO_CAP2ACT!$D$15:$J$15)</f>
        <v>0.318970292616525</v>
      </c>
      <c r="J11" s="131">
        <f>164*1.35</f>
        <v>221.4</v>
      </c>
      <c r="K11" s="132">
        <f t="shared" si="2"/>
        <v>168.75</v>
      </c>
      <c r="L11" s="133">
        <f>1.733*1.35</f>
        <v>2.33955</v>
      </c>
      <c r="M11" s="133">
        <f t="shared" si="3"/>
        <v>210.33</v>
      </c>
      <c r="N11" s="134">
        <f t="shared" si="4"/>
        <v>160.3125</v>
      </c>
      <c r="O11" s="133">
        <f t="shared" si="5"/>
        <v>2.2225725</v>
      </c>
      <c r="P11" s="133">
        <f t="shared" si="6"/>
        <v>199.26</v>
      </c>
      <c r="Q11" s="134">
        <f t="shared" si="7"/>
        <v>151.875</v>
      </c>
      <c r="R11" s="133">
        <f t="shared" si="0"/>
        <v>2.105595</v>
      </c>
      <c r="S11">
        <v>0.001</v>
      </c>
      <c r="T11" s="135">
        <f t="shared" si="1"/>
        <v>15</v>
      </c>
      <c r="AB11" s="40"/>
      <c r="AC11" s="40"/>
      <c r="AD11" s="10" t="s">
        <v>214</v>
      </c>
      <c r="AE11" s="39"/>
      <c r="AF11" s="153" t="s">
        <v>215</v>
      </c>
      <c r="AG11" s="153" t="s">
        <v>216</v>
      </c>
      <c r="AH11" s="40"/>
      <c r="AI11" s="40" t="s">
        <v>217</v>
      </c>
      <c r="AJ11" s="40"/>
      <c r="AR11" s="58" t="s">
        <v>224</v>
      </c>
      <c r="AS11" s="58">
        <v>0.756</v>
      </c>
      <c r="AT11" s="58"/>
      <c r="AU11" s="58"/>
      <c r="AV11" s="58" t="s">
        <v>225</v>
      </c>
      <c r="AW11" s="58">
        <v>0.26</v>
      </c>
      <c r="AX11" s="58"/>
      <c r="AY11" s="58"/>
      <c r="AZ11" s="58" t="s">
        <v>226</v>
      </c>
      <c r="BA11" s="58">
        <v>0.26</v>
      </c>
      <c r="BB11" s="58"/>
      <c r="BC11" s="161"/>
      <c r="BD11" s="161"/>
      <c r="BE11" s="161"/>
      <c r="BF11" s="168"/>
      <c r="BG11" s="168"/>
      <c r="BH11" s="168"/>
      <c r="BI11" s="169"/>
      <c r="BJ11" s="167"/>
      <c r="BK11" s="167"/>
      <c r="BL11" s="167"/>
      <c r="BM11" s="167"/>
      <c r="BN11" s="167"/>
      <c r="BO11" s="167"/>
    </row>
    <row r="12" spans="3:67">
      <c r="C12" s="10" t="s">
        <v>227</v>
      </c>
      <c r="D12" s="10" t="s">
        <v>200</v>
      </c>
      <c r="E12" s="105" t="s">
        <v>228</v>
      </c>
      <c r="F12" s="102">
        <v>2021</v>
      </c>
      <c r="G12">
        <v>0.55</v>
      </c>
      <c r="H12" s="108">
        <f>AVERAGE([5]AFA_000kmPerVeh_AFA!$E$16:$K$16)</f>
        <v>4.02857142857143</v>
      </c>
      <c r="I12" s="130">
        <f>AVERAGE([5]Occupancy_ACTFLO_CAP2ACT!$D$16:$J$16)</f>
        <v>1.19133027778195</v>
      </c>
      <c r="J12" s="135">
        <f>5*1.35</f>
        <v>6.75</v>
      </c>
      <c r="K12" s="132">
        <f t="shared" si="2"/>
        <v>168.75</v>
      </c>
      <c r="L12" s="135">
        <f>J12/100</f>
        <v>0.0675</v>
      </c>
      <c r="M12" s="17">
        <f t="shared" si="3"/>
        <v>6.4125</v>
      </c>
      <c r="N12" s="134">
        <f t="shared" si="4"/>
        <v>160.3125</v>
      </c>
      <c r="O12" s="17">
        <f t="shared" si="5"/>
        <v>0.064125</v>
      </c>
      <c r="P12" s="17">
        <f t="shared" si="6"/>
        <v>6.075</v>
      </c>
      <c r="Q12" s="134">
        <f t="shared" si="7"/>
        <v>151.875</v>
      </c>
      <c r="R12" s="17">
        <f t="shared" si="0"/>
        <v>0.06075</v>
      </c>
      <c r="S12">
        <v>0.001</v>
      </c>
      <c r="T12" s="135">
        <f t="shared" si="1"/>
        <v>15</v>
      </c>
      <c r="X12" t="s">
        <v>229</v>
      </c>
      <c r="AB12" s="40"/>
      <c r="AC12" s="40"/>
      <c r="AD12" s="10" t="s">
        <v>220</v>
      </c>
      <c r="AE12" s="39"/>
      <c r="AF12" s="153" t="s">
        <v>215</v>
      </c>
      <c r="AG12" s="153" t="s">
        <v>216</v>
      </c>
      <c r="AH12" s="40"/>
      <c r="AI12" s="40" t="s">
        <v>217</v>
      </c>
      <c r="AJ12" s="40"/>
      <c r="AR12" s="58" t="s">
        <v>18</v>
      </c>
      <c r="AS12" s="58"/>
      <c r="AT12" s="58"/>
      <c r="AU12" s="58"/>
      <c r="AV12" s="58" t="s">
        <v>226</v>
      </c>
      <c r="AW12" s="58">
        <v>0.26</v>
      </c>
      <c r="AX12" s="58"/>
      <c r="AY12" s="58"/>
      <c r="AZ12" s="58" t="s">
        <v>230</v>
      </c>
      <c r="BA12" s="58">
        <v>0.18</v>
      </c>
      <c r="BB12" s="58"/>
      <c r="BC12" s="161"/>
      <c r="BD12" s="161"/>
      <c r="BE12" s="161"/>
      <c r="BF12" s="168"/>
      <c r="BG12" s="163"/>
      <c r="BH12" s="168"/>
      <c r="BI12" s="167"/>
      <c r="BJ12" s="167"/>
      <c r="BK12" s="167"/>
      <c r="BL12" s="167"/>
      <c r="BM12" s="167"/>
      <c r="BN12" s="167"/>
      <c r="BO12" s="167"/>
    </row>
    <row r="13" spans="3:67">
      <c r="C13" s="10" t="s">
        <v>231</v>
      </c>
      <c r="D13" s="10" t="s">
        <v>213</v>
      </c>
      <c r="E13" t="s">
        <v>232</v>
      </c>
      <c r="F13" s="102">
        <v>2021</v>
      </c>
      <c r="G13">
        <v>0.13</v>
      </c>
      <c r="H13" s="109">
        <f>AVERAGE([5]AFA_000kmPerVeh_AFA!$E$6:$K$6)</f>
        <v>20.2857142857143</v>
      </c>
      <c r="I13" s="118">
        <f>AVERAGE([5]Occupancy_ACTFLO_CAP2ACT!$D$6:$J$6)</f>
        <v>21.9737611487708</v>
      </c>
      <c r="J13" s="133">
        <f>100*1.35</f>
        <v>135</v>
      </c>
      <c r="K13" s="132">
        <f t="shared" si="2"/>
        <v>168.75</v>
      </c>
      <c r="L13" s="85">
        <f>2.2*1.35</f>
        <v>2.97</v>
      </c>
      <c r="M13" s="85">
        <f t="shared" si="3"/>
        <v>128.25</v>
      </c>
      <c r="N13" s="134">
        <f t="shared" si="4"/>
        <v>160.3125</v>
      </c>
      <c r="O13" s="85">
        <f t="shared" si="5"/>
        <v>2.8215</v>
      </c>
      <c r="P13" s="85">
        <f t="shared" si="6"/>
        <v>121.5</v>
      </c>
      <c r="Q13" s="134">
        <f t="shared" si="7"/>
        <v>151.875</v>
      </c>
      <c r="R13" s="85">
        <f t="shared" si="0"/>
        <v>2.673</v>
      </c>
      <c r="S13">
        <v>0.001</v>
      </c>
      <c r="T13" s="135">
        <f t="shared" si="1"/>
        <v>15</v>
      </c>
      <c r="AB13" s="40"/>
      <c r="AC13" s="40"/>
      <c r="AD13" s="10" t="s">
        <v>223</v>
      </c>
      <c r="AE13" s="39"/>
      <c r="AF13" s="153" t="s">
        <v>215</v>
      </c>
      <c r="AG13" s="153" t="s">
        <v>216</v>
      </c>
      <c r="AH13" s="40"/>
      <c r="AI13" s="40" t="s">
        <v>217</v>
      </c>
      <c r="AJ13" s="40"/>
      <c r="AR13" s="58" t="s">
        <v>233</v>
      </c>
      <c r="AS13" s="58">
        <v>0.702</v>
      </c>
      <c r="AT13" s="58"/>
      <c r="AU13" s="58"/>
      <c r="AV13" s="58" t="s">
        <v>230</v>
      </c>
      <c r="AW13" s="58">
        <v>0.18</v>
      </c>
      <c r="AX13" s="58"/>
      <c r="AY13" s="58"/>
      <c r="AZ13" s="58" t="s">
        <v>234</v>
      </c>
      <c r="BA13" s="58">
        <v>2.15</v>
      </c>
      <c r="BB13" s="58"/>
      <c r="BF13" s="170"/>
      <c r="BG13" s="170"/>
      <c r="BH13" s="170"/>
      <c r="BI13" s="170"/>
      <c r="BJ13" s="170"/>
      <c r="BK13" s="170"/>
      <c r="BL13" s="170"/>
      <c r="BM13" s="170"/>
      <c r="BN13" s="170"/>
      <c r="BO13" s="170"/>
    </row>
    <row r="14" spans="3:67">
      <c r="C14" s="10" t="s">
        <v>235</v>
      </c>
      <c r="D14" s="10" t="s">
        <v>200</v>
      </c>
      <c r="E14" t="s">
        <v>232</v>
      </c>
      <c r="F14" s="102">
        <v>2021</v>
      </c>
      <c r="G14">
        <v>0.13</v>
      </c>
      <c r="H14" s="109">
        <f>AVERAGE([5]AFA_000kmPerVeh_AFA!$E$5:$K$5)</f>
        <v>20.2857142857143</v>
      </c>
      <c r="I14" s="118">
        <f>AVERAGE([5]Occupancy_ACTFLO_CAP2ACT!$D$5:$J$5)</f>
        <v>21.9737611487708</v>
      </c>
      <c r="J14" s="133">
        <f>J13</f>
        <v>135</v>
      </c>
      <c r="K14" s="132">
        <f t="shared" si="2"/>
        <v>168.75</v>
      </c>
      <c r="L14" s="85">
        <f>2.2*1.35</f>
        <v>2.97</v>
      </c>
      <c r="M14" s="85">
        <f t="shared" si="3"/>
        <v>128.25</v>
      </c>
      <c r="N14" s="134">
        <f t="shared" si="4"/>
        <v>160.3125</v>
      </c>
      <c r="O14" s="85">
        <f t="shared" si="5"/>
        <v>2.8215</v>
      </c>
      <c r="P14" s="85">
        <f t="shared" si="6"/>
        <v>121.5</v>
      </c>
      <c r="Q14" s="134">
        <f t="shared" si="7"/>
        <v>151.875</v>
      </c>
      <c r="R14" s="85">
        <f t="shared" si="0"/>
        <v>2.673</v>
      </c>
      <c r="S14">
        <v>0.001</v>
      </c>
      <c r="T14" s="135">
        <f t="shared" si="1"/>
        <v>15</v>
      </c>
      <c r="AB14" s="154"/>
      <c r="AC14" s="154"/>
      <c r="AD14" s="10" t="s">
        <v>227</v>
      </c>
      <c r="AE14" s="155"/>
      <c r="AF14" s="153" t="s">
        <v>215</v>
      </c>
      <c r="AG14" s="153" t="s">
        <v>216</v>
      </c>
      <c r="AH14" s="40"/>
      <c r="AI14" s="154" t="s">
        <v>217</v>
      </c>
      <c r="AJ14" s="154"/>
      <c r="AR14" s="58" t="s">
        <v>18</v>
      </c>
      <c r="AS14" s="58"/>
      <c r="AT14" s="58"/>
      <c r="AU14" s="58"/>
      <c r="AV14" s="58" t="s">
        <v>234</v>
      </c>
      <c r="AW14" s="58">
        <v>2.15</v>
      </c>
      <c r="AX14" s="58"/>
      <c r="AY14" s="58"/>
      <c r="AZ14" s="58" t="s">
        <v>236</v>
      </c>
      <c r="BA14" s="58">
        <v>0.13</v>
      </c>
      <c r="BB14" s="58"/>
      <c r="BF14" s="170"/>
      <c r="BG14" s="170"/>
      <c r="BH14" s="170"/>
      <c r="BI14" s="170"/>
      <c r="BJ14" s="170"/>
      <c r="BK14" s="170"/>
      <c r="BL14" s="170"/>
      <c r="BM14" s="170"/>
      <c r="BN14" s="170"/>
      <c r="BO14" s="170"/>
    </row>
    <row r="15" spans="3:67">
      <c r="C15" s="10" t="s">
        <v>237</v>
      </c>
      <c r="D15" s="10" t="s">
        <v>213</v>
      </c>
      <c r="E15" t="s">
        <v>232</v>
      </c>
      <c r="F15" s="102">
        <v>2021</v>
      </c>
      <c r="G15">
        <v>0.06</v>
      </c>
      <c r="H15" s="109">
        <f>AVERAGE([5]AFA_000kmPerVeh_AFA!$E$8:$K$8)</f>
        <v>39.8571428571429</v>
      </c>
      <c r="I15" s="118">
        <f>AVERAGE([5]Occupancy_ACTFLO_CAP2ACT!$D$8:$J$8)</f>
        <v>11.9384348573679</v>
      </c>
      <c r="J15" s="133">
        <f>500*1.35</f>
        <v>675</v>
      </c>
      <c r="K15" s="132">
        <f t="shared" si="2"/>
        <v>168.75</v>
      </c>
      <c r="L15" s="85">
        <f>L13</f>
        <v>2.97</v>
      </c>
      <c r="M15" s="85">
        <f t="shared" si="3"/>
        <v>641.25</v>
      </c>
      <c r="N15" s="134">
        <f t="shared" si="4"/>
        <v>160.3125</v>
      </c>
      <c r="O15" s="85">
        <f t="shared" si="5"/>
        <v>2.8215</v>
      </c>
      <c r="P15" s="85">
        <f t="shared" si="6"/>
        <v>607.5</v>
      </c>
      <c r="Q15" s="134">
        <f t="shared" si="7"/>
        <v>151.875</v>
      </c>
      <c r="R15" s="85">
        <f t="shared" si="0"/>
        <v>2.673</v>
      </c>
      <c r="S15">
        <v>0.001</v>
      </c>
      <c r="T15" s="135">
        <f t="shared" si="1"/>
        <v>15</v>
      </c>
      <c r="AB15" s="40"/>
      <c r="AC15" s="40"/>
      <c r="AD15" s="10" t="s">
        <v>231</v>
      </c>
      <c r="AE15" s="39"/>
      <c r="AF15" s="153" t="s">
        <v>215</v>
      </c>
      <c r="AG15" s="153" t="s">
        <v>216</v>
      </c>
      <c r="AH15" s="40"/>
      <c r="AI15" s="40" t="s">
        <v>217</v>
      </c>
      <c r="AJ15" s="40"/>
      <c r="AR15" s="58" t="s">
        <v>238</v>
      </c>
      <c r="AS15" s="58">
        <v>0.771954515469324</v>
      </c>
      <c r="AT15" s="58"/>
      <c r="AU15" s="58"/>
      <c r="AV15" s="58" t="s">
        <v>239</v>
      </c>
      <c r="AW15" s="58">
        <v>0.55</v>
      </c>
      <c r="AX15" s="58"/>
      <c r="AY15" s="58"/>
      <c r="AZ15" s="58" t="s">
        <v>240</v>
      </c>
      <c r="BA15" s="58">
        <v>0.06</v>
      </c>
      <c r="BB15" s="58"/>
      <c r="BF15" s="170"/>
      <c r="BG15" s="170"/>
      <c r="BH15" s="170"/>
      <c r="BI15" s="170"/>
      <c r="BJ15" s="170"/>
      <c r="BK15" s="170"/>
      <c r="BL15" s="170"/>
      <c r="BM15" s="170"/>
      <c r="BN15" s="170"/>
      <c r="BO15" s="170"/>
    </row>
    <row r="16" spans="3:67">
      <c r="C16" s="10" t="s">
        <v>241</v>
      </c>
      <c r="D16" s="10" t="s">
        <v>200</v>
      </c>
      <c r="E16" t="s">
        <v>232</v>
      </c>
      <c r="F16" s="102">
        <v>2021</v>
      </c>
      <c r="G16">
        <v>0.06</v>
      </c>
      <c r="H16" s="109">
        <f>AVERAGE([5]AFA_000kmPerVeh_AFA!$E$7:$K$7)</f>
        <v>39.8571428571429</v>
      </c>
      <c r="I16" s="118">
        <f>AVERAGE([5]Occupancy_ACTFLO_CAP2ACT!$D$7:$J$7)</f>
        <v>11.9384348573679</v>
      </c>
      <c r="J16" s="133">
        <f>500*1.35</f>
        <v>675</v>
      </c>
      <c r="K16" s="132">
        <f t="shared" si="2"/>
        <v>168.75</v>
      </c>
      <c r="L16" s="85">
        <f>L14</f>
        <v>2.97</v>
      </c>
      <c r="M16" s="85">
        <f t="shared" si="3"/>
        <v>641.25</v>
      </c>
      <c r="N16" s="134">
        <f t="shared" si="4"/>
        <v>160.3125</v>
      </c>
      <c r="O16" s="85">
        <f t="shared" si="5"/>
        <v>2.8215</v>
      </c>
      <c r="P16" s="85">
        <f t="shared" si="6"/>
        <v>607.5</v>
      </c>
      <c r="Q16" s="134">
        <f t="shared" si="7"/>
        <v>151.875</v>
      </c>
      <c r="R16" s="85">
        <f t="shared" si="0"/>
        <v>2.673</v>
      </c>
      <c r="S16">
        <v>0.001</v>
      </c>
      <c r="T16" s="135">
        <f t="shared" si="1"/>
        <v>15</v>
      </c>
      <c r="AB16" s="40"/>
      <c r="AC16" s="40"/>
      <c r="AD16" s="10" t="s">
        <v>235</v>
      </c>
      <c r="AE16" s="39"/>
      <c r="AF16" s="153" t="s">
        <v>215</v>
      </c>
      <c r="AG16" s="153" t="s">
        <v>216</v>
      </c>
      <c r="AH16" s="40"/>
      <c r="AI16" s="40" t="s">
        <v>217</v>
      </c>
      <c r="AJ16" s="40"/>
      <c r="AR16" s="58" t="s">
        <v>242</v>
      </c>
      <c r="AS16" s="58">
        <v>0.540368160828527</v>
      </c>
      <c r="AT16" s="58"/>
      <c r="AU16" s="58"/>
      <c r="AV16" s="58" t="s">
        <v>243</v>
      </c>
      <c r="AW16" s="58">
        <v>0.13</v>
      </c>
      <c r="AX16" s="58"/>
      <c r="AY16" s="58"/>
      <c r="AZ16" s="58" t="s">
        <v>244</v>
      </c>
      <c r="BA16" s="58">
        <v>0.15</v>
      </c>
      <c r="BB16" s="58"/>
      <c r="BF16" s="170"/>
      <c r="BG16" s="170"/>
      <c r="BH16" s="170"/>
      <c r="BI16" s="170"/>
      <c r="BJ16" s="170"/>
      <c r="BK16" s="170"/>
      <c r="BL16" s="170"/>
      <c r="BM16" s="170"/>
      <c r="BN16" s="170"/>
      <c r="BO16" s="170"/>
    </row>
    <row r="17" spans="3:67">
      <c r="C17" s="10" t="s">
        <v>245</v>
      </c>
      <c r="D17" s="10" t="s">
        <v>213</v>
      </c>
      <c r="E17" t="s">
        <v>232</v>
      </c>
      <c r="F17" s="102">
        <v>2021</v>
      </c>
      <c r="G17">
        <v>0.15</v>
      </c>
      <c r="H17" s="109">
        <f>AVERAGE([5]AFA_000kmPerVeh_AFA!$E$10:$K$10)</f>
        <v>33.7142857142857</v>
      </c>
      <c r="I17" s="118">
        <f>AVERAGE([5]Occupancy_ACTFLO_CAP2ACT!$D$10:$J$10)</f>
        <v>16.1127667258741</v>
      </c>
      <c r="J17" s="133">
        <f>500*1.35</f>
        <v>675</v>
      </c>
      <c r="K17" s="132">
        <f t="shared" si="2"/>
        <v>168.75</v>
      </c>
      <c r="L17" s="85">
        <f>1.4*1.35</f>
        <v>1.89</v>
      </c>
      <c r="M17" s="85">
        <f t="shared" si="3"/>
        <v>641.25</v>
      </c>
      <c r="N17" s="134">
        <f t="shared" si="4"/>
        <v>160.3125</v>
      </c>
      <c r="O17" s="85">
        <f t="shared" si="5"/>
        <v>1.7955</v>
      </c>
      <c r="P17" s="85">
        <f t="shared" si="6"/>
        <v>607.5</v>
      </c>
      <c r="Q17" s="134">
        <f t="shared" si="7"/>
        <v>151.875</v>
      </c>
      <c r="R17" s="85">
        <f t="shared" si="0"/>
        <v>1.701</v>
      </c>
      <c r="S17">
        <v>0.001</v>
      </c>
      <c r="T17" s="135">
        <f t="shared" si="1"/>
        <v>15</v>
      </c>
      <c r="AB17" s="40"/>
      <c r="AC17" s="40"/>
      <c r="AD17" s="10" t="s">
        <v>237</v>
      </c>
      <c r="AE17" s="39"/>
      <c r="AF17" s="153" t="s">
        <v>215</v>
      </c>
      <c r="AG17" s="153" t="s">
        <v>216</v>
      </c>
      <c r="AH17" s="40"/>
      <c r="AI17" s="40" t="s">
        <v>217</v>
      </c>
      <c r="AJ17" s="40"/>
      <c r="AR17" s="58" t="s">
        <v>18</v>
      </c>
      <c r="AS17" s="58"/>
      <c r="AT17" s="58"/>
      <c r="AU17" s="58"/>
      <c r="AV17" s="58" t="s">
        <v>236</v>
      </c>
      <c r="AW17" s="58">
        <v>0.13</v>
      </c>
      <c r="AX17" s="58"/>
      <c r="AY17" s="58"/>
      <c r="AZ17" s="58" t="s">
        <v>246</v>
      </c>
      <c r="BA17" s="58">
        <v>0.36</v>
      </c>
      <c r="BB17" s="58"/>
      <c r="BF17" s="170"/>
      <c r="BG17" s="170"/>
      <c r="BH17" s="170"/>
      <c r="BI17" s="170"/>
      <c r="BJ17" s="170"/>
      <c r="BK17" s="170"/>
      <c r="BL17" s="170"/>
      <c r="BM17" s="170"/>
      <c r="BN17" s="170"/>
      <c r="BO17" s="170"/>
    </row>
    <row r="18" spans="3:67">
      <c r="C18" s="10" t="s">
        <v>247</v>
      </c>
      <c r="D18" s="10" t="s">
        <v>200</v>
      </c>
      <c r="E18" t="s">
        <v>232</v>
      </c>
      <c r="F18" s="102">
        <v>2021</v>
      </c>
      <c r="G18">
        <v>0.15</v>
      </c>
      <c r="H18" s="109">
        <f>AVERAGE([5]AFA_000kmPerVeh_AFA!$E$9:$K$9)</f>
        <v>33.7142857142857</v>
      </c>
      <c r="I18" s="118">
        <f>AVERAGE([5]Occupancy_ACTFLO_CAP2ACT!$D$9:$J$9)</f>
        <v>16.1127667258741</v>
      </c>
      <c r="J18" s="133">
        <f>500*1.35</f>
        <v>675</v>
      </c>
      <c r="K18" s="132">
        <f t="shared" si="2"/>
        <v>168.75</v>
      </c>
      <c r="L18" s="85">
        <f>1.4*1.35</f>
        <v>1.89</v>
      </c>
      <c r="M18" s="85">
        <f t="shared" si="3"/>
        <v>641.25</v>
      </c>
      <c r="N18" s="134">
        <f t="shared" si="4"/>
        <v>160.3125</v>
      </c>
      <c r="O18" s="85">
        <f t="shared" si="5"/>
        <v>1.7955</v>
      </c>
      <c r="P18" s="85">
        <f t="shared" si="6"/>
        <v>607.5</v>
      </c>
      <c r="Q18" s="134">
        <f t="shared" si="7"/>
        <v>151.875</v>
      </c>
      <c r="R18" s="85">
        <f t="shared" si="0"/>
        <v>1.701</v>
      </c>
      <c r="S18">
        <v>0.001</v>
      </c>
      <c r="T18" s="135">
        <f t="shared" si="1"/>
        <v>15</v>
      </c>
      <c r="AB18" s="40"/>
      <c r="AC18" s="40"/>
      <c r="AD18" s="10" t="s">
        <v>241</v>
      </c>
      <c r="AE18" s="39"/>
      <c r="AF18" s="153" t="s">
        <v>215</v>
      </c>
      <c r="AG18" s="153" t="s">
        <v>216</v>
      </c>
      <c r="AH18" s="40"/>
      <c r="AI18" s="40" t="s">
        <v>217</v>
      </c>
      <c r="AJ18" s="40"/>
      <c r="AR18" s="58" t="s">
        <v>248</v>
      </c>
      <c r="AS18" s="58">
        <v>0.501770435055061</v>
      </c>
      <c r="AT18" s="58"/>
      <c r="AU18" s="58"/>
      <c r="AV18" s="58" t="s">
        <v>249</v>
      </c>
      <c r="AW18" s="58">
        <v>0.06</v>
      </c>
      <c r="AX18" s="58"/>
      <c r="AY18" s="58"/>
      <c r="AZ18" s="58"/>
      <c r="BA18" s="58"/>
      <c r="BB18" s="58"/>
      <c r="BF18" s="170"/>
      <c r="BG18" s="170"/>
      <c r="BH18" s="170"/>
      <c r="BI18" s="170"/>
      <c r="BJ18" s="170"/>
      <c r="BK18" s="170"/>
      <c r="BL18" s="170"/>
      <c r="BM18" s="170"/>
      <c r="BN18" s="170"/>
      <c r="BO18" s="170"/>
    </row>
    <row r="19" spans="3:67">
      <c r="C19" s="110" t="s">
        <v>250</v>
      </c>
      <c r="D19" s="110" t="s">
        <v>200</v>
      </c>
      <c r="E19" s="110" t="s">
        <v>251</v>
      </c>
      <c r="F19" s="62">
        <v>2021</v>
      </c>
      <c r="G19">
        <v>0.36</v>
      </c>
      <c r="H19" s="111">
        <f>AVERAGE([5]AFA_000kmPerVeh_AFA!$E$17:$K$17)</f>
        <v>13.0058571428571</v>
      </c>
      <c r="I19" s="114">
        <f>AVERAGE([5]Occupancy_ACTFLO_CAP2ACT!$D$17:$J$17)</f>
        <v>1.58589639888736</v>
      </c>
      <c r="J19" s="133">
        <f>22.8*1.35</f>
        <v>30.78</v>
      </c>
      <c r="K19" s="132">
        <f t="shared" si="2"/>
        <v>168.75</v>
      </c>
      <c r="L19" s="136">
        <f>1.533*1.35</f>
        <v>2.06955</v>
      </c>
      <c r="M19" s="136">
        <f t="shared" si="3"/>
        <v>29.241</v>
      </c>
      <c r="N19" s="134">
        <f t="shared" si="4"/>
        <v>160.3125</v>
      </c>
      <c r="O19" s="85">
        <f t="shared" si="5"/>
        <v>1.9660725</v>
      </c>
      <c r="P19" s="85">
        <f t="shared" si="6"/>
        <v>27.702</v>
      </c>
      <c r="Q19" s="134">
        <f t="shared" si="7"/>
        <v>151.875</v>
      </c>
      <c r="R19" s="85">
        <f t="shared" si="0"/>
        <v>1.862595</v>
      </c>
      <c r="S19" s="143">
        <v>0.001</v>
      </c>
      <c r="T19" s="85">
        <f t="shared" si="1"/>
        <v>15</v>
      </c>
      <c r="AB19" s="40"/>
      <c r="AC19" s="40"/>
      <c r="AD19" s="10" t="s">
        <v>245</v>
      </c>
      <c r="AE19" s="39"/>
      <c r="AF19" s="153" t="s">
        <v>215</v>
      </c>
      <c r="AG19" s="153" t="s">
        <v>216</v>
      </c>
      <c r="AH19" s="40"/>
      <c r="AI19" s="40" t="s">
        <v>217</v>
      </c>
      <c r="AJ19" s="40"/>
      <c r="AR19" s="58"/>
      <c r="AS19" s="58"/>
      <c r="AT19" s="58"/>
      <c r="AU19" s="58"/>
      <c r="AV19" s="58" t="s">
        <v>240</v>
      </c>
      <c r="AW19" s="58">
        <v>0.06</v>
      </c>
      <c r="AX19" s="58"/>
      <c r="AY19" s="58"/>
      <c r="AZ19" s="58"/>
      <c r="BA19" s="58"/>
      <c r="BB19" s="58"/>
      <c r="BF19" s="170"/>
      <c r="BG19" s="170"/>
      <c r="BH19" s="170"/>
      <c r="BI19" s="170"/>
      <c r="BJ19" s="170"/>
      <c r="BK19" s="170"/>
      <c r="BL19" s="170"/>
      <c r="BM19" s="170"/>
      <c r="BN19" s="170"/>
      <c r="BO19" s="170"/>
    </row>
    <row r="20" spans="3:67">
      <c r="C20" s="110" t="s">
        <v>252</v>
      </c>
      <c r="D20" s="110" t="s">
        <v>213</v>
      </c>
      <c r="E20" s="110" t="s">
        <v>251</v>
      </c>
      <c r="F20" s="62">
        <v>2021</v>
      </c>
      <c r="G20">
        <v>0.36</v>
      </c>
      <c r="H20" s="111">
        <f>AVERAGE([5]AFA_000kmPerVeh_AFA!$E$18:$K$18)</f>
        <v>13.0058571428571</v>
      </c>
      <c r="I20" s="114">
        <f>AVERAGE([5]Occupancy_ACTFLO_CAP2ACT!$D$18:$J$18)</f>
        <v>1.58589639888736</v>
      </c>
      <c r="J20" s="133">
        <f>22.8*1.35</f>
        <v>30.78</v>
      </c>
      <c r="K20" s="132">
        <f t="shared" si="2"/>
        <v>168.75</v>
      </c>
      <c r="L20" s="133">
        <f>1.533*1.35</f>
        <v>2.06955</v>
      </c>
      <c r="M20" s="133">
        <f t="shared" si="3"/>
        <v>29.241</v>
      </c>
      <c r="N20" s="134">
        <f t="shared" si="4"/>
        <v>160.3125</v>
      </c>
      <c r="O20" s="85">
        <f t="shared" si="5"/>
        <v>1.9660725</v>
      </c>
      <c r="P20" s="85">
        <f t="shared" si="6"/>
        <v>27.702</v>
      </c>
      <c r="Q20" s="134">
        <f t="shared" si="7"/>
        <v>151.875</v>
      </c>
      <c r="R20" s="85">
        <f t="shared" si="0"/>
        <v>1.862595</v>
      </c>
      <c r="S20" s="143">
        <v>0.001</v>
      </c>
      <c r="T20" s="85">
        <f t="shared" si="1"/>
        <v>15</v>
      </c>
      <c r="AB20" s="40"/>
      <c r="AC20" s="40"/>
      <c r="AD20" s="10" t="s">
        <v>247</v>
      </c>
      <c r="AE20" s="39"/>
      <c r="AF20" s="153" t="s">
        <v>215</v>
      </c>
      <c r="AG20" s="153" t="s">
        <v>216</v>
      </c>
      <c r="AH20" s="40"/>
      <c r="AI20" s="40" t="s">
        <v>217</v>
      </c>
      <c r="AJ20" s="40"/>
      <c r="AR20" s="58"/>
      <c r="AS20" s="58"/>
      <c r="AT20" s="58"/>
      <c r="AU20" s="58"/>
      <c r="AV20" s="58" t="s">
        <v>253</v>
      </c>
      <c r="AW20" s="58">
        <v>0.15</v>
      </c>
      <c r="AX20" s="58"/>
      <c r="AY20" s="58"/>
      <c r="AZ20" s="58"/>
      <c r="BA20" s="58"/>
      <c r="BB20" s="58"/>
      <c r="BF20" s="170"/>
      <c r="BG20" s="170"/>
      <c r="BH20" s="170"/>
      <c r="BI20" s="170"/>
      <c r="BJ20" s="170"/>
      <c r="BK20" s="170"/>
      <c r="BL20" s="170"/>
      <c r="BM20" s="170"/>
      <c r="BN20" s="170"/>
      <c r="BO20" s="170"/>
    </row>
    <row r="21" spans="3:54">
      <c r="C21" s="112" t="s">
        <v>254</v>
      </c>
      <c r="D21" s="110" t="s">
        <v>255</v>
      </c>
      <c r="E21" s="110" t="s">
        <v>251</v>
      </c>
      <c r="F21" s="62">
        <v>2021</v>
      </c>
      <c r="G21" s="113">
        <f>AS10</f>
        <v>1.08</v>
      </c>
      <c r="H21" s="114">
        <f>AVERAGE([5]Electric_vehecle!$D$49:$J$49)</f>
        <v>13.3333333333333</v>
      </c>
      <c r="I21" s="114">
        <f>AVERAGE([5]Occupancy_ACTFLO_CAP2ACT!$D$19:$J$19)</f>
        <v>1.58589639888736</v>
      </c>
      <c r="J21" s="133">
        <f>31.5*1.35</f>
        <v>42.525</v>
      </c>
      <c r="K21" s="132">
        <f>(0.1/1.6)*(10^9/1)*1.35/10^6</f>
        <v>84.375</v>
      </c>
      <c r="L21" s="133">
        <f>L19</f>
        <v>2.06955</v>
      </c>
      <c r="M21" s="133">
        <f t="shared" si="3"/>
        <v>40.39875</v>
      </c>
      <c r="N21" s="134">
        <f t="shared" si="4"/>
        <v>80.15625</v>
      </c>
      <c r="O21" s="85">
        <f t="shared" si="5"/>
        <v>1.9660725</v>
      </c>
      <c r="P21" s="85">
        <f t="shared" si="6"/>
        <v>38.2725</v>
      </c>
      <c r="Q21" s="134">
        <f t="shared" si="7"/>
        <v>75.9375</v>
      </c>
      <c r="R21" s="85">
        <f t="shared" si="0"/>
        <v>1.862595</v>
      </c>
      <c r="S21" s="85">
        <v>0.001</v>
      </c>
      <c r="T21" s="85">
        <v>15</v>
      </c>
      <c r="U21" s="144">
        <v>1</v>
      </c>
      <c r="W21" s="102"/>
      <c r="AD21" s="10" t="s">
        <v>250</v>
      </c>
      <c r="AF21" s="153" t="s">
        <v>215</v>
      </c>
      <c r="AG21" s="153" t="s">
        <v>216</v>
      </c>
      <c r="AH21" s="40"/>
      <c r="AI21" s="40" t="s">
        <v>217</v>
      </c>
      <c r="AR21" s="58"/>
      <c r="AS21" s="58"/>
      <c r="AT21" s="58"/>
      <c r="AU21" s="58"/>
      <c r="AV21" s="58" t="s">
        <v>244</v>
      </c>
      <c r="AW21" s="58">
        <v>0.15</v>
      </c>
      <c r="AX21" s="58"/>
      <c r="AY21" s="58"/>
      <c r="AZ21" s="58"/>
      <c r="BA21" s="58"/>
      <c r="BB21" s="58"/>
    </row>
    <row r="22" spans="3:54">
      <c r="C22" s="112" t="s">
        <v>256</v>
      </c>
      <c r="D22" s="110" t="s">
        <v>255</v>
      </c>
      <c r="E22" s="110" t="s">
        <v>251</v>
      </c>
      <c r="F22" s="62">
        <v>2021</v>
      </c>
      <c r="G22" s="113">
        <f>AS11</f>
        <v>0.756</v>
      </c>
      <c r="H22" s="114">
        <f>AVERAGE([5]Electric_vehecle!$D$50:$J$50)</f>
        <v>13.3333333333333</v>
      </c>
      <c r="I22" s="114">
        <f>AVERAGE([5]Occupancy_ACTFLO_CAP2ACT!$D$20:$J$20)</f>
        <v>1.58589639888736</v>
      </c>
      <c r="J22" s="133">
        <f>25.3*1.35</f>
        <v>34.155</v>
      </c>
      <c r="K22" s="132">
        <f>K21</f>
        <v>84.375</v>
      </c>
      <c r="L22" s="133">
        <f>L21</f>
        <v>2.06955</v>
      </c>
      <c r="M22" s="133">
        <f t="shared" si="3"/>
        <v>32.44725</v>
      </c>
      <c r="N22" s="134">
        <f t="shared" si="4"/>
        <v>80.15625</v>
      </c>
      <c r="O22" s="85">
        <f t="shared" si="5"/>
        <v>1.9660725</v>
      </c>
      <c r="P22" s="85">
        <f t="shared" si="6"/>
        <v>30.7395</v>
      </c>
      <c r="Q22" s="134">
        <f t="shared" si="7"/>
        <v>75.9375</v>
      </c>
      <c r="R22" s="85">
        <f t="shared" si="0"/>
        <v>1.862595</v>
      </c>
      <c r="S22" s="133">
        <v>0.001</v>
      </c>
      <c r="T22" s="85">
        <v>15</v>
      </c>
      <c r="U22" s="144">
        <f>[5]Electric_vehecle!$D$94</f>
        <v>0.4</v>
      </c>
      <c r="AD22" s="10" t="s">
        <v>252</v>
      </c>
      <c r="AF22" s="153" t="s">
        <v>215</v>
      </c>
      <c r="AG22" s="153" t="s">
        <v>216</v>
      </c>
      <c r="AH22" s="40"/>
      <c r="AI22" s="40" t="s">
        <v>217</v>
      </c>
      <c r="AR22" s="58"/>
      <c r="AS22" s="58"/>
      <c r="AT22" s="58"/>
      <c r="AU22" s="58"/>
      <c r="AV22" s="58" t="s">
        <v>246</v>
      </c>
      <c r="AW22" s="58">
        <v>0.36</v>
      </c>
      <c r="AX22" s="58"/>
      <c r="AY22" s="58"/>
      <c r="AZ22" s="58"/>
      <c r="BA22" s="58"/>
      <c r="BB22" s="58"/>
    </row>
    <row r="23" spans="3:54">
      <c r="C23" s="112"/>
      <c r="D23" s="110" t="s">
        <v>200</v>
      </c>
      <c r="E23" s="110"/>
      <c r="F23" s="62"/>
      <c r="G23" s="115"/>
      <c r="H23" s="114"/>
      <c r="I23" s="95"/>
      <c r="J23" s="58"/>
      <c r="K23" s="58"/>
      <c r="L23" s="137"/>
      <c r="M23" s="137"/>
      <c r="N23" s="137"/>
      <c r="O23" s="85"/>
      <c r="P23" s="85"/>
      <c r="Q23" s="85"/>
      <c r="R23" s="85"/>
      <c r="S23" s="58"/>
      <c r="T23" s="62"/>
      <c r="U23" s="145">
        <f>1-U22</f>
        <v>0.6</v>
      </c>
      <c r="AD23" s="116" t="s">
        <v>254</v>
      </c>
      <c r="AF23" s="153" t="s">
        <v>215</v>
      </c>
      <c r="AG23" s="153" t="s">
        <v>216</v>
      </c>
      <c r="AI23" s="40" t="s">
        <v>217</v>
      </c>
      <c r="AL23" s="40" t="s">
        <v>257</v>
      </c>
      <c r="AR23" s="58"/>
      <c r="AS23" s="58"/>
      <c r="AT23" s="58"/>
      <c r="AU23" s="58"/>
      <c r="AV23" s="58" t="s">
        <v>258</v>
      </c>
      <c r="AW23" s="58">
        <v>0.36</v>
      </c>
      <c r="AX23" s="58"/>
      <c r="AY23" s="58"/>
      <c r="AZ23" s="58"/>
      <c r="BA23" s="58"/>
      <c r="BB23" s="58"/>
    </row>
    <row r="24" spans="3:54">
      <c r="C24" s="112" t="s">
        <v>259</v>
      </c>
      <c r="D24" s="110" t="s">
        <v>255</v>
      </c>
      <c r="E24" s="110" t="s">
        <v>251</v>
      </c>
      <c r="F24" s="62">
        <v>2021</v>
      </c>
      <c r="G24" s="113">
        <f>AS13</f>
        <v>0.702</v>
      </c>
      <c r="H24" s="114">
        <f>AVERAGE([5]Electric_vehecle!$D$52:$J$52)</f>
        <v>13.3333333333333</v>
      </c>
      <c r="I24" s="114">
        <f>AVERAGE([5]Occupancy_ACTFLO_CAP2ACT!$D$21:$J$21)</f>
        <v>1.58589639888736</v>
      </c>
      <c r="J24" s="133">
        <f>J22</f>
        <v>34.155</v>
      </c>
      <c r="K24" s="132">
        <f>K22</f>
        <v>84.375</v>
      </c>
      <c r="L24" s="133">
        <f>L22</f>
        <v>2.06955</v>
      </c>
      <c r="M24" s="133">
        <f t="shared" si="3"/>
        <v>32.44725</v>
      </c>
      <c r="N24" s="134">
        <f t="shared" ref="N24:N29" si="8">K24*0.95</f>
        <v>80.15625</v>
      </c>
      <c r="O24" s="85">
        <f t="shared" si="5"/>
        <v>1.9660725</v>
      </c>
      <c r="P24" s="85">
        <f t="shared" si="6"/>
        <v>30.7395</v>
      </c>
      <c r="Q24" s="134">
        <f t="shared" ref="Q24:Q29" si="9">K24*0.9</f>
        <v>75.9375</v>
      </c>
      <c r="R24" s="85">
        <f>R22</f>
        <v>1.862595</v>
      </c>
      <c r="S24" s="133">
        <v>0.001</v>
      </c>
      <c r="T24" s="85">
        <v>15</v>
      </c>
      <c r="U24" s="144">
        <v>0.3</v>
      </c>
      <c r="AD24" s="116" t="s">
        <v>256</v>
      </c>
      <c r="AF24" s="153" t="s">
        <v>215</v>
      </c>
      <c r="AG24" s="153" t="s">
        <v>216</v>
      </c>
      <c r="AI24" s="40" t="s">
        <v>217</v>
      </c>
      <c r="AL24" s="40" t="s">
        <v>257</v>
      </c>
      <c r="AR24" s="58"/>
      <c r="AS24" s="58"/>
      <c r="AT24" s="58"/>
      <c r="AU24" s="58"/>
      <c r="AV24" s="58"/>
      <c r="AW24" s="58"/>
      <c r="AX24" s="58"/>
      <c r="AY24" s="58"/>
      <c r="AZ24" s="58"/>
      <c r="BA24" s="58"/>
      <c r="BB24" s="58"/>
    </row>
    <row r="25" spans="3:54">
      <c r="C25" s="116"/>
      <c r="D25" s="10" t="s">
        <v>200</v>
      </c>
      <c r="E25" s="10"/>
      <c r="G25" s="117"/>
      <c r="H25" s="118"/>
      <c r="I25" s="41"/>
      <c r="L25" s="17"/>
      <c r="M25" s="17"/>
      <c r="N25" s="17"/>
      <c r="O25" s="17"/>
      <c r="P25" s="17"/>
      <c r="Q25" s="17"/>
      <c r="R25" s="17"/>
      <c r="T25" s="102"/>
      <c r="U25" s="145">
        <f>1-U24</f>
        <v>0.7</v>
      </c>
      <c r="AD25" s="116" t="s">
        <v>259</v>
      </c>
      <c r="AF25" s="153" t="s">
        <v>215</v>
      </c>
      <c r="AG25" s="153" t="s">
        <v>216</v>
      </c>
      <c r="AI25" s="40" t="s">
        <v>217</v>
      </c>
      <c r="AL25" s="40" t="s">
        <v>257</v>
      </c>
      <c r="AR25" s="58"/>
      <c r="AS25" s="58"/>
      <c r="AT25" s="58"/>
      <c r="AU25" s="58"/>
      <c r="AV25" s="58"/>
      <c r="AW25" s="58"/>
      <c r="AX25" s="58"/>
      <c r="AY25" s="58"/>
      <c r="AZ25" s="58"/>
      <c r="BA25" s="58"/>
      <c r="BB25" s="58"/>
    </row>
    <row r="26" spans="3:38">
      <c r="C26" s="116" t="s">
        <v>260</v>
      </c>
      <c r="D26" s="10" t="s">
        <v>255</v>
      </c>
      <c r="E26" s="10" t="s">
        <v>201</v>
      </c>
      <c r="F26" s="102">
        <v>2021</v>
      </c>
      <c r="G26" s="119">
        <f>AS15</f>
        <v>0.771954515469324</v>
      </c>
      <c r="H26" s="118">
        <f>AVERAGE([5]Electric_vehecle!$D$54:$J$54)</f>
        <v>13.3333333333333</v>
      </c>
      <c r="I26" s="130">
        <f>AVERAGE([5]Occupancy_ACTFLO_CAP2ACT!$D$22:$J$22)</f>
        <v>0.55986165464206</v>
      </c>
      <c r="J26" s="85">
        <f>44.3*1.35</f>
        <v>59.805</v>
      </c>
      <c r="K26" s="132">
        <f>(0.1/1.6)*(10^9/1)*1.35/10^6</f>
        <v>84.375</v>
      </c>
      <c r="L26" s="85">
        <f>L7</f>
        <v>2.33955</v>
      </c>
      <c r="M26" s="85">
        <f t="shared" si="3"/>
        <v>56.81475</v>
      </c>
      <c r="N26" s="134">
        <f t="shared" si="8"/>
        <v>80.15625</v>
      </c>
      <c r="O26" s="85">
        <f t="shared" si="5"/>
        <v>2.2225725</v>
      </c>
      <c r="P26" s="85">
        <f t="shared" si="6"/>
        <v>53.8245</v>
      </c>
      <c r="Q26" s="134">
        <f t="shared" si="9"/>
        <v>75.9375</v>
      </c>
      <c r="R26" s="85">
        <f>R7</f>
        <v>2.105595</v>
      </c>
      <c r="S26" s="85">
        <v>0.001</v>
      </c>
      <c r="T26" s="85">
        <v>15</v>
      </c>
      <c r="U26" s="144">
        <v>1</v>
      </c>
      <c r="AD26" s="116" t="s">
        <v>260</v>
      </c>
      <c r="AF26" s="153" t="s">
        <v>215</v>
      </c>
      <c r="AG26" s="153" t="s">
        <v>216</v>
      </c>
      <c r="AI26" s="40" t="s">
        <v>217</v>
      </c>
      <c r="AL26" s="40" t="s">
        <v>257</v>
      </c>
    </row>
    <row r="27" spans="3:38">
      <c r="C27" s="116" t="s">
        <v>261</v>
      </c>
      <c r="D27" s="10" t="s">
        <v>255</v>
      </c>
      <c r="E27" s="10" t="s">
        <v>201</v>
      </c>
      <c r="F27" s="102">
        <v>2021</v>
      </c>
      <c r="G27" s="119">
        <f>AS16</f>
        <v>0.540368160828527</v>
      </c>
      <c r="H27" s="118">
        <f>AVERAGE([5]Electric_vehecle!$D$55:$J$55)</f>
        <v>13.3333333333333</v>
      </c>
      <c r="I27" s="130">
        <f>AVERAGE([5]Occupancy_ACTFLO_CAP2ACT!$D$23:$J$23)</f>
        <v>0.55986165464206</v>
      </c>
      <c r="J27" s="85">
        <f>30.5*1.35</f>
        <v>41.175</v>
      </c>
      <c r="K27" s="132">
        <f>K26</f>
        <v>84.375</v>
      </c>
      <c r="L27" s="85">
        <f>L8</f>
        <v>2.33955</v>
      </c>
      <c r="M27" s="85">
        <f t="shared" si="3"/>
        <v>39.11625</v>
      </c>
      <c r="N27" s="134">
        <f t="shared" si="8"/>
        <v>80.15625</v>
      </c>
      <c r="O27" s="85">
        <f t="shared" si="5"/>
        <v>2.2225725</v>
      </c>
      <c r="P27" s="85">
        <f t="shared" si="6"/>
        <v>37.0575</v>
      </c>
      <c r="Q27" s="134">
        <f t="shared" si="9"/>
        <v>75.9375</v>
      </c>
      <c r="R27" s="85">
        <f>R8</f>
        <v>2.105595</v>
      </c>
      <c r="S27" s="85">
        <v>0.001</v>
      </c>
      <c r="T27" s="85">
        <v>15</v>
      </c>
      <c r="U27" s="144">
        <f>[5]Electric_vehecle!$D$94</f>
        <v>0.4</v>
      </c>
      <c r="AD27" s="116" t="s">
        <v>261</v>
      </c>
      <c r="AF27" s="153" t="s">
        <v>215</v>
      </c>
      <c r="AG27" s="153" t="s">
        <v>216</v>
      </c>
      <c r="AI27" s="40" t="s">
        <v>217</v>
      </c>
      <c r="AL27" s="40" t="s">
        <v>257</v>
      </c>
    </row>
    <row r="28" spans="3:38">
      <c r="C28" s="116"/>
      <c r="D28" s="10" t="s">
        <v>200</v>
      </c>
      <c r="E28" s="10"/>
      <c r="G28" s="119"/>
      <c r="H28" s="118"/>
      <c r="I28" s="138"/>
      <c r="J28" s="85"/>
      <c r="K28" s="85"/>
      <c r="L28" s="85"/>
      <c r="M28" s="85"/>
      <c r="N28" s="85"/>
      <c r="O28" s="85"/>
      <c r="P28" s="85"/>
      <c r="Q28" s="85"/>
      <c r="R28" s="85"/>
      <c r="S28" s="85"/>
      <c r="T28" s="85"/>
      <c r="U28" s="145">
        <f>1-U27</f>
        <v>0.6</v>
      </c>
      <c r="AD28" s="116" t="s">
        <v>262</v>
      </c>
      <c r="AF28" s="153" t="s">
        <v>215</v>
      </c>
      <c r="AG28" s="153" t="s">
        <v>216</v>
      </c>
      <c r="AI28" s="40" t="s">
        <v>217</v>
      </c>
      <c r="AL28" s="40" t="s">
        <v>257</v>
      </c>
    </row>
    <row r="29" spans="3:38">
      <c r="C29" s="116" t="s">
        <v>262</v>
      </c>
      <c r="D29" s="10" t="s">
        <v>255</v>
      </c>
      <c r="E29" s="10" t="s">
        <v>201</v>
      </c>
      <c r="F29" s="102">
        <v>2021</v>
      </c>
      <c r="G29" s="119">
        <f>AS18</f>
        <v>0.501770435055061</v>
      </c>
      <c r="H29" s="118">
        <f>AVERAGE([5]Electric_vehecle!$D$57:$J$57)</f>
        <v>13.3333333333333</v>
      </c>
      <c r="I29" s="130">
        <f>AVERAGE([5]Occupancy_ACTFLO_CAP2ACT!$D$24:$J$24)</f>
        <v>0.55986165464206</v>
      </c>
      <c r="J29" s="85">
        <f>J27</f>
        <v>41.175</v>
      </c>
      <c r="K29" s="132">
        <f>K27</f>
        <v>84.375</v>
      </c>
      <c r="L29" s="85">
        <f>L9</f>
        <v>2.33955</v>
      </c>
      <c r="M29" s="85">
        <f t="shared" si="3"/>
        <v>39.11625</v>
      </c>
      <c r="N29" s="134">
        <f t="shared" si="8"/>
        <v>80.15625</v>
      </c>
      <c r="O29" s="85">
        <f t="shared" si="5"/>
        <v>2.2225725</v>
      </c>
      <c r="P29" s="85">
        <f t="shared" si="6"/>
        <v>37.0575</v>
      </c>
      <c r="Q29" s="134">
        <f t="shared" si="9"/>
        <v>75.9375</v>
      </c>
      <c r="R29" s="85">
        <f>R9</f>
        <v>2.105595</v>
      </c>
      <c r="S29" s="85">
        <v>0.001</v>
      </c>
      <c r="T29" s="85">
        <v>15</v>
      </c>
      <c r="U29" s="144">
        <v>0.3</v>
      </c>
      <c r="AD29" s="10" t="s">
        <v>263</v>
      </c>
      <c r="AE29" s="153"/>
      <c r="AF29" s="153" t="s">
        <v>215</v>
      </c>
      <c r="AG29" s="153" t="s">
        <v>216</v>
      </c>
      <c r="AI29" s="40" t="s">
        <v>217</v>
      </c>
      <c r="AL29" s="40" t="s">
        <v>257</v>
      </c>
    </row>
    <row r="30" spans="4:38">
      <c r="D30" s="10" t="s">
        <v>200</v>
      </c>
      <c r="G30" s="41"/>
      <c r="H30" s="41"/>
      <c r="I30" s="41"/>
      <c r="M30" s="17"/>
      <c r="N30" s="17"/>
      <c r="O30" s="17"/>
      <c r="T30" s="102"/>
      <c r="U30" s="145">
        <f>1-U29</f>
        <v>0.7</v>
      </c>
      <c r="Y30" s="156"/>
      <c r="AD30" s="10" t="s">
        <v>264</v>
      </c>
      <c r="AE30" s="153"/>
      <c r="AF30" s="153" t="s">
        <v>215</v>
      </c>
      <c r="AG30" s="153" t="s">
        <v>216</v>
      </c>
      <c r="AI30" s="40" t="s">
        <v>217</v>
      </c>
      <c r="AL30" s="40" t="s">
        <v>257</v>
      </c>
    </row>
    <row r="31" spans="3:38">
      <c r="C31" s="10" t="s">
        <v>263</v>
      </c>
      <c r="D31" t="s">
        <v>255</v>
      </c>
      <c r="E31" t="s">
        <v>232</v>
      </c>
      <c r="F31">
        <v>2021</v>
      </c>
      <c r="G31" s="120">
        <f>G14*3</f>
        <v>0.39</v>
      </c>
      <c r="H31" s="121">
        <v>20</v>
      </c>
      <c r="I31" s="138">
        <f>TRA!I13</f>
        <v>21.9737611487708</v>
      </c>
      <c r="J31" s="71">
        <f>250*1.35</f>
        <v>337.5</v>
      </c>
      <c r="K31" s="132">
        <f>(0.1/1.6)*(10^9)*1.35/10^6</f>
        <v>84.375</v>
      </c>
      <c r="L31" s="85">
        <f>L13</f>
        <v>2.97</v>
      </c>
      <c r="M31" s="85">
        <f t="shared" ref="M31:M34" si="10">J31*95%</f>
        <v>320.625</v>
      </c>
      <c r="N31" s="134">
        <f>K31*0.95</f>
        <v>80.15625</v>
      </c>
      <c r="O31" s="85">
        <f t="shared" si="5"/>
        <v>2.8215</v>
      </c>
      <c r="P31" s="85">
        <f>J31*90%</f>
        <v>303.75</v>
      </c>
      <c r="Q31" s="134">
        <f t="shared" ref="Q31:R34" si="11">K31*0.9</f>
        <v>75.9375</v>
      </c>
      <c r="R31" s="85">
        <f t="shared" si="11"/>
        <v>2.673</v>
      </c>
      <c r="S31" s="85">
        <v>0.001</v>
      </c>
      <c r="T31" s="102">
        <v>15</v>
      </c>
      <c r="U31" s="102"/>
      <c r="AD31" s="10" t="s">
        <v>265</v>
      </c>
      <c r="AF31" s="153" t="s">
        <v>215</v>
      </c>
      <c r="AG31" s="153" t="s">
        <v>216</v>
      </c>
      <c r="AI31" s="40" t="s">
        <v>217</v>
      </c>
      <c r="AL31" s="40" t="s">
        <v>257</v>
      </c>
    </row>
    <row r="32" spans="3:38">
      <c r="C32" s="10" t="s">
        <v>264</v>
      </c>
      <c r="D32" t="s">
        <v>255</v>
      </c>
      <c r="E32" t="s">
        <v>232</v>
      </c>
      <c r="F32">
        <v>2021</v>
      </c>
      <c r="G32" s="120">
        <f>G16*3</f>
        <v>0.18</v>
      </c>
      <c r="H32" s="121">
        <v>40</v>
      </c>
      <c r="I32" s="138">
        <f>I15</f>
        <v>11.9384348573679</v>
      </c>
      <c r="J32" s="71">
        <f>668*1.35</f>
        <v>901.8</v>
      </c>
      <c r="K32" s="132">
        <f>(0.1/1.6)*(10^9)*1.35/10^6</f>
        <v>84.375</v>
      </c>
      <c r="L32" s="85">
        <f>L15</f>
        <v>2.97</v>
      </c>
      <c r="M32" s="85">
        <f t="shared" si="10"/>
        <v>856.71</v>
      </c>
      <c r="N32" s="134">
        <f>K32*0.95</f>
        <v>80.15625</v>
      </c>
      <c r="O32" s="85">
        <f t="shared" si="5"/>
        <v>2.8215</v>
      </c>
      <c r="P32" s="85">
        <f>J32*90%</f>
        <v>811.62</v>
      </c>
      <c r="Q32" s="134">
        <f t="shared" si="11"/>
        <v>75.9375</v>
      </c>
      <c r="R32" s="85">
        <f t="shared" si="11"/>
        <v>2.673</v>
      </c>
      <c r="S32" s="85">
        <v>0.001</v>
      </c>
      <c r="T32" s="102">
        <v>15</v>
      </c>
      <c r="AD32" s="10" t="s">
        <v>266</v>
      </c>
      <c r="AF32" s="153" t="s">
        <v>215</v>
      </c>
      <c r="AG32" s="153" t="s">
        <v>216</v>
      </c>
      <c r="AI32" s="40" t="s">
        <v>217</v>
      </c>
      <c r="AL32" s="40" t="s">
        <v>257</v>
      </c>
    </row>
    <row r="33" spans="3:38">
      <c r="C33" s="10" t="s">
        <v>265</v>
      </c>
      <c r="D33" t="s">
        <v>255</v>
      </c>
      <c r="E33" t="s">
        <v>232</v>
      </c>
      <c r="F33">
        <v>2021</v>
      </c>
      <c r="G33" s="120">
        <f>G17*3</f>
        <v>0.45</v>
      </c>
      <c r="H33" s="121">
        <v>34</v>
      </c>
      <c r="I33" s="138">
        <f>I17</f>
        <v>16.1127667258741</v>
      </c>
      <c r="J33" s="71">
        <f>676*1.35</f>
        <v>912.6</v>
      </c>
      <c r="K33" s="132">
        <f>(0.1/1.6)*(10^9)*1.35/10^6</f>
        <v>84.375</v>
      </c>
      <c r="L33" s="85">
        <f>L17</f>
        <v>1.89</v>
      </c>
      <c r="M33" s="85">
        <f t="shared" si="10"/>
        <v>866.97</v>
      </c>
      <c r="N33" s="134">
        <f>K33*0.95</f>
        <v>80.15625</v>
      </c>
      <c r="O33" s="85">
        <f t="shared" si="5"/>
        <v>1.7955</v>
      </c>
      <c r="P33" s="85">
        <f>J33*90%</f>
        <v>821.34</v>
      </c>
      <c r="Q33" s="134">
        <f t="shared" si="11"/>
        <v>75.9375</v>
      </c>
      <c r="R33" s="85">
        <f t="shared" si="11"/>
        <v>1.701</v>
      </c>
      <c r="S33" s="85">
        <v>0.001</v>
      </c>
      <c r="T33" s="102">
        <v>15</v>
      </c>
      <c r="AD33" s="102" t="str">
        <f>C35</f>
        <v>TRA_Tru_PLT_hydrogen</v>
      </c>
      <c r="AE33" s="102"/>
      <c r="AF33" s="102" t="str">
        <f>AF9</f>
        <v>BVkm</v>
      </c>
      <c r="AG33" s="152" t="s">
        <v>216</v>
      </c>
      <c r="AI33" s="40" t="s">
        <v>217</v>
      </c>
      <c r="AL33" s="40"/>
    </row>
    <row r="34" spans="3:38">
      <c r="C34" s="10" t="s">
        <v>266</v>
      </c>
      <c r="D34" t="s">
        <v>255</v>
      </c>
      <c r="E34" s="105" t="s">
        <v>228</v>
      </c>
      <c r="F34">
        <v>2021</v>
      </c>
      <c r="G34" s="122">
        <f>TRA!G12*3</f>
        <v>1.65</v>
      </c>
      <c r="H34" s="121">
        <f>TRA!H12</f>
        <v>4.02857142857143</v>
      </c>
      <c r="I34" s="130">
        <f>TRA!I12</f>
        <v>1.19133027778195</v>
      </c>
      <c r="J34" s="135">
        <f>15*1.35</f>
        <v>20.25</v>
      </c>
      <c r="K34" s="132">
        <f>(0.1/1.6)*(10^9)*1.35/10^6</f>
        <v>84.375</v>
      </c>
      <c r="L34" s="17">
        <f>J34/100</f>
        <v>0.2025</v>
      </c>
      <c r="M34" s="17">
        <f t="shared" si="10"/>
        <v>19.2375</v>
      </c>
      <c r="N34" s="134">
        <f>K34*0.95</f>
        <v>80.15625</v>
      </c>
      <c r="O34" s="17">
        <f t="shared" si="5"/>
        <v>0.192375</v>
      </c>
      <c r="P34" s="17">
        <f>J34*0.9</f>
        <v>18.225</v>
      </c>
      <c r="Q34" s="134">
        <f t="shared" si="11"/>
        <v>75.9375</v>
      </c>
      <c r="R34">
        <f t="shared" si="11"/>
        <v>0.18225</v>
      </c>
      <c r="S34">
        <v>0.001</v>
      </c>
      <c r="T34" s="102">
        <v>15</v>
      </c>
      <c r="AD34" s="102" t="str">
        <f t="shared" ref="AD34:AD40" si="12">C36</f>
        <v>TRA_Tru_FLT_hydrogen</v>
      </c>
      <c r="AE34" s="102"/>
      <c r="AF34" s="102" t="str">
        <f t="shared" ref="AF34:AF40" si="13">AF10</f>
        <v>BVkm</v>
      </c>
      <c r="AG34" s="152" t="s">
        <v>216</v>
      </c>
      <c r="AI34" s="40" t="s">
        <v>217</v>
      </c>
      <c r="AL34" s="40"/>
    </row>
    <row r="35" s="102" customFormat="1" spans="3:38">
      <c r="C35" s="102" t="s">
        <v>267</v>
      </c>
      <c r="D35" s="123" t="s">
        <v>268</v>
      </c>
      <c r="E35" s="102" t="str">
        <f>E10</f>
        <v>TRA_Tru</v>
      </c>
      <c r="F35" s="102">
        <v>2021</v>
      </c>
      <c r="G35" s="102">
        <f>2*BA10</f>
        <v>0.52</v>
      </c>
      <c r="H35" s="124">
        <f>H19</f>
        <v>13.0058571428571</v>
      </c>
      <c r="I35" s="139">
        <f>I7</f>
        <v>1.71369752068902</v>
      </c>
      <c r="J35" s="102">
        <f>93*1.35</f>
        <v>125.55</v>
      </c>
      <c r="K35" s="140">
        <f>(0.1/1.6)*(10^9)*1.35/10^6</f>
        <v>84.375</v>
      </c>
      <c r="L35" s="102">
        <f>L7</f>
        <v>2.33955</v>
      </c>
      <c r="M35" s="135">
        <f t="shared" ref="M35:M42" si="14">J35*95%</f>
        <v>119.2725</v>
      </c>
      <c r="N35" s="141">
        <f t="shared" ref="N35:N42" si="15">K35*0.95</f>
        <v>80.15625</v>
      </c>
      <c r="O35" s="135">
        <f t="shared" ref="O35:O42" si="16">L35*0.95</f>
        <v>2.2225725</v>
      </c>
      <c r="P35" s="135">
        <f t="shared" ref="P35:P42" si="17">J35*0.9</f>
        <v>112.995</v>
      </c>
      <c r="Q35" s="141">
        <f t="shared" ref="Q35:Q42" si="18">K35*0.9</f>
        <v>75.9375</v>
      </c>
      <c r="R35" s="102">
        <f t="shared" ref="R35:R42" si="19">L35*0.9</f>
        <v>2.105595</v>
      </c>
      <c r="S35" s="102">
        <f t="shared" ref="S35:S42" si="20">S34</f>
        <v>0.001</v>
      </c>
      <c r="T35" s="102">
        <f t="shared" ref="T35:T42" si="21">T34</f>
        <v>15</v>
      </c>
      <c r="AD35" s="102" t="str">
        <f t="shared" si="12"/>
        <v>TRA_Tru_MT_hydrogen</v>
      </c>
      <c r="AF35" s="102" t="str">
        <f t="shared" si="13"/>
        <v>BVkm</v>
      </c>
      <c r="AG35" s="152" t="s">
        <v>216</v>
      </c>
      <c r="AI35" s="157" t="s">
        <v>217</v>
      </c>
      <c r="AL35" s="40"/>
    </row>
    <row r="36" s="102" customFormat="1" spans="3:38">
      <c r="C36" s="102" t="s">
        <v>269</v>
      </c>
      <c r="D36" s="123" t="str">
        <f>D35</f>
        <v>TRASYNH2CT</v>
      </c>
      <c r="E36" s="123" t="str">
        <f>E35</f>
        <v>TRA_Tru</v>
      </c>
      <c r="F36" s="123">
        <f>F35</f>
        <v>2021</v>
      </c>
      <c r="G36" s="102">
        <f>BA11*2</f>
        <v>0.52</v>
      </c>
      <c r="H36" s="124">
        <f>H35</f>
        <v>13.0058571428571</v>
      </c>
      <c r="I36" s="140">
        <f>I9</f>
        <v>0.55986165464206</v>
      </c>
      <c r="J36" s="102">
        <f>J35</f>
        <v>125.55</v>
      </c>
      <c r="K36" s="140">
        <f t="shared" ref="K36:K42" si="22">(0.1/1.6)*(10^9)*1.35/10^6</f>
        <v>84.375</v>
      </c>
      <c r="L36" s="102">
        <f>L9</f>
        <v>2.33955</v>
      </c>
      <c r="M36" s="135">
        <f t="shared" si="14"/>
        <v>119.2725</v>
      </c>
      <c r="N36" s="141">
        <f t="shared" si="15"/>
        <v>80.15625</v>
      </c>
      <c r="O36" s="135">
        <f t="shared" si="16"/>
        <v>2.2225725</v>
      </c>
      <c r="P36" s="135">
        <f t="shared" si="17"/>
        <v>112.995</v>
      </c>
      <c r="Q36" s="141">
        <f t="shared" si="18"/>
        <v>75.9375</v>
      </c>
      <c r="R36" s="102">
        <f t="shared" si="19"/>
        <v>2.105595</v>
      </c>
      <c r="S36" s="102">
        <f t="shared" si="20"/>
        <v>0.001</v>
      </c>
      <c r="T36" s="102">
        <f t="shared" si="21"/>
        <v>15</v>
      </c>
      <c r="AD36" s="102" t="str">
        <f t="shared" si="12"/>
        <v>TRA_Tru_HT_hydrogen</v>
      </c>
      <c r="AF36" s="102" t="str">
        <f t="shared" si="13"/>
        <v>BVkm</v>
      </c>
      <c r="AG36" s="152" t="s">
        <v>216</v>
      </c>
      <c r="AI36" s="157" t="s">
        <v>217</v>
      </c>
      <c r="AL36" s="40"/>
    </row>
    <row r="37" s="102" customFormat="1" spans="3:38">
      <c r="C37" s="102" t="s">
        <v>270</v>
      </c>
      <c r="D37" s="123" t="str">
        <f t="shared" ref="D37:F38" si="23">D36</f>
        <v>TRASYNH2CT</v>
      </c>
      <c r="E37" s="123" t="str">
        <f t="shared" si="23"/>
        <v>TRA_Tru</v>
      </c>
      <c r="F37" s="123">
        <f t="shared" si="23"/>
        <v>2021</v>
      </c>
      <c r="G37" s="102">
        <f>BA12*2</f>
        <v>0.36</v>
      </c>
      <c r="H37" s="124">
        <f t="shared" ref="H37:H42" si="24">H36</f>
        <v>13.0058571428571</v>
      </c>
      <c r="I37" s="140">
        <f>I10</f>
        <v>1.01179998747686</v>
      </c>
      <c r="J37" s="102">
        <f>181*1.35</f>
        <v>244.35</v>
      </c>
      <c r="K37" s="140">
        <f t="shared" si="22"/>
        <v>84.375</v>
      </c>
      <c r="L37" s="42">
        <f>L10</f>
        <v>2.33955</v>
      </c>
      <c r="M37" s="135">
        <f t="shared" si="14"/>
        <v>232.1325</v>
      </c>
      <c r="N37" s="141">
        <f t="shared" si="15"/>
        <v>80.15625</v>
      </c>
      <c r="O37" s="135">
        <f t="shared" si="16"/>
        <v>2.2225725</v>
      </c>
      <c r="P37" s="135">
        <f t="shared" si="17"/>
        <v>219.915</v>
      </c>
      <c r="Q37" s="141">
        <f t="shared" si="18"/>
        <v>75.9375</v>
      </c>
      <c r="R37" s="102">
        <f t="shared" si="19"/>
        <v>2.105595</v>
      </c>
      <c r="S37" s="102">
        <f t="shared" si="20"/>
        <v>0.001</v>
      </c>
      <c r="T37" s="102">
        <f t="shared" si="21"/>
        <v>15</v>
      </c>
      <c r="AD37" s="102" t="str">
        <f t="shared" si="12"/>
        <v>TRA_Bus_SB_hydrogen</v>
      </c>
      <c r="AF37" s="102" t="str">
        <f t="shared" si="13"/>
        <v>BVkm</v>
      </c>
      <c r="AG37" s="152" t="s">
        <v>216</v>
      </c>
      <c r="AI37" s="157" t="s">
        <v>217</v>
      </c>
      <c r="AL37" s="40"/>
    </row>
    <row r="38" s="102" customFormat="1" spans="3:38">
      <c r="C38" s="102" t="s">
        <v>271</v>
      </c>
      <c r="D38" s="123" t="str">
        <f t="shared" si="23"/>
        <v>TRASYNH2CT</v>
      </c>
      <c r="E38" s="123" t="str">
        <f t="shared" si="23"/>
        <v>TRA_Tru</v>
      </c>
      <c r="F38" s="123">
        <f t="shared" si="23"/>
        <v>2021</v>
      </c>
      <c r="G38" s="102">
        <f>BA13*1.5</f>
        <v>3.225</v>
      </c>
      <c r="H38" s="124">
        <f t="shared" si="24"/>
        <v>13.0058571428571</v>
      </c>
      <c r="I38" s="140">
        <f>I11</f>
        <v>0.318970292616525</v>
      </c>
      <c r="J38" s="42">
        <f>473*1.35</f>
        <v>638.55</v>
      </c>
      <c r="K38" s="140">
        <f t="shared" si="22"/>
        <v>84.375</v>
      </c>
      <c r="L38" s="42">
        <f>L11</f>
        <v>2.33955</v>
      </c>
      <c r="M38" s="135">
        <f t="shared" si="14"/>
        <v>606.6225</v>
      </c>
      <c r="N38" s="141">
        <f t="shared" si="15"/>
        <v>80.15625</v>
      </c>
      <c r="O38" s="135">
        <f t="shared" si="16"/>
        <v>2.2225725</v>
      </c>
      <c r="P38" s="135">
        <f t="shared" si="17"/>
        <v>574.695</v>
      </c>
      <c r="Q38" s="141">
        <f t="shared" si="18"/>
        <v>75.9375</v>
      </c>
      <c r="R38" s="102">
        <f t="shared" si="19"/>
        <v>2.105595</v>
      </c>
      <c r="S38" s="102">
        <f t="shared" si="20"/>
        <v>0.001</v>
      </c>
      <c r="T38" s="102">
        <f t="shared" si="21"/>
        <v>15</v>
      </c>
      <c r="AD38" s="102" t="str">
        <f t="shared" si="12"/>
        <v>TRA_Bus_UT_hydrogen</v>
      </c>
      <c r="AF38" s="102" t="str">
        <f t="shared" si="13"/>
        <v>BVkm</v>
      </c>
      <c r="AG38" s="152" t="s">
        <v>216</v>
      </c>
      <c r="AI38" s="157" t="s">
        <v>217</v>
      </c>
      <c r="AL38" s="40"/>
    </row>
    <row r="39" s="102" customFormat="1" spans="3:38">
      <c r="C39" s="102" t="s">
        <v>272</v>
      </c>
      <c r="D39" s="102" t="str">
        <f>D35</f>
        <v>TRASYNH2CT</v>
      </c>
      <c r="E39" s="102" t="str">
        <f>E13</f>
        <v>TRA_Bus</v>
      </c>
      <c r="F39" s="102">
        <v>2021</v>
      </c>
      <c r="G39" s="102">
        <f>BA14*1.5</f>
        <v>0.195</v>
      </c>
      <c r="H39" s="124">
        <f t="shared" si="24"/>
        <v>13.0058571428571</v>
      </c>
      <c r="I39" s="102">
        <f>I13</f>
        <v>21.9737611487708</v>
      </c>
      <c r="J39" s="102">
        <f>261*1.35</f>
        <v>352.35</v>
      </c>
      <c r="K39" s="140">
        <f t="shared" si="22"/>
        <v>84.375</v>
      </c>
      <c r="L39" s="102">
        <f>L13</f>
        <v>2.97</v>
      </c>
      <c r="M39" s="135">
        <f t="shared" si="14"/>
        <v>334.7325</v>
      </c>
      <c r="N39" s="141">
        <f t="shared" si="15"/>
        <v>80.15625</v>
      </c>
      <c r="O39" s="135">
        <f t="shared" si="16"/>
        <v>2.8215</v>
      </c>
      <c r="P39" s="135">
        <f t="shared" si="17"/>
        <v>317.115</v>
      </c>
      <c r="Q39" s="141">
        <f t="shared" si="18"/>
        <v>75.9375</v>
      </c>
      <c r="R39" s="102">
        <f t="shared" si="19"/>
        <v>2.673</v>
      </c>
      <c r="S39" s="102">
        <f t="shared" si="20"/>
        <v>0.001</v>
      </c>
      <c r="T39" s="102">
        <f t="shared" si="21"/>
        <v>15</v>
      </c>
      <c r="AD39" s="102" t="str">
        <f t="shared" si="12"/>
        <v>TRA_Bus_IC_hydrogen</v>
      </c>
      <c r="AF39" s="102" t="str">
        <f t="shared" si="13"/>
        <v>BVkm</v>
      </c>
      <c r="AG39" s="152" t="s">
        <v>216</v>
      </c>
      <c r="AI39" s="157" t="s">
        <v>217</v>
      </c>
      <c r="AL39" s="40"/>
    </row>
    <row r="40" s="102" customFormat="1" spans="3:38">
      <c r="C40" s="102" t="s">
        <v>273</v>
      </c>
      <c r="D40" s="102" t="str">
        <f t="shared" ref="D40:F41" si="25">D39</f>
        <v>TRASYNH2CT</v>
      </c>
      <c r="E40" s="102" t="str">
        <f t="shared" si="25"/>
        <v>TRA_Bus</v>
      </c>
      <c r="F40" s="102">
        <f t="shared" si="25"/>
        <v>2021</v>
      </c>
      <c r="G40" s="102">
        <f t="shared" ref="G38:G42" si="26">BA15*2</f>
        <v>0.12</v>
      </c>
      <c r="H40" s="124">
        <f t="shared" si="24"/>
        <v>13.0058571428571</v>
      </c>
      <c r="I40" s="102">
        <f>I15</f>
        <v>11.9384348573679</v>
      </c>
      <c r="J40" s="102">
        <f>664*1.35</f>
        <v>896.4</v>
      </c>
      <c r="K40" s="140">
        <f t="shared" si="22"/>
        <v>84.375</v>
      </c>
      <c r="L40" s="102">
        <f>L15</f>
        <v>2.97</v>
      </c>
      <c r="M40" s="135">
        <f t="shared" si="14"/>
        <v>851.58</v>
      </c>
      <c r="N40" s="141">
        <f t="shared" si="15"/>
        <v>80.15625</v>
      </c>
      <c r="O40" s="135">
        <f t="shared" si="16"/>
        <v>2.8215</v>
      </c>
      <c r="P40" s="135">
        <f t="shared" si="17"/>
        <v>806.76</v>
      </c>
      <c r="Q40" s="141">
        <f t="shared" si="18"/>
        <v>75.9375</v>
      </c>
      <c r="R40" s="102">
        <f t="shared" si="19"/>
        <v>2.673</v>
      </c>
      <c r="S40" s="102">
        <f t="shared" si="20"/>
        <v>0.001</v>
      </c>
      <c r="T40" s="102">
        <f t="shared" si="21"/>
        <v>15</v>
      </c>
      <c r="AD40" s="102" t="str">
        <f t="shared" si="12"/>
        <v>TRA_Car_hydrogen</v>
      </c>
      <c r="AF40" s="102" t="str">
        <f t="shared" si="13"/>
        <v>BVkm</v>
      </c>
      <c r="AG40" s="152" t="s">
        <v>216</v>
      </c>
      <c r="AI40" s="157" t="s">
        <v>217</v>
      </c>
      <c r="AL40" s="40"/>
    </row>
    <row r="41" s="102" customFormat="1" spans="3:20">
      <c r="C41" s="102" t="s">
        <v>274</v>
      </c>
      <c r="D41" s="102" t="str">
        <f t="shared" si="25"/>
        <v>TRASYNH2CT</v>
      </c>
      <c r="E41" s="102" t="str">
        <f t="shared" si="25"/>
        <v>TRA_Bus</v>
      </c>
      <c r="F41" s="102">
        <f t="shared" si="25"/>
        <v>2021</v>
      </c>
      <c r="G41" s="102">
        <f>BA16*1.5</f>
        <v>0.225</v>
      </c>
      <c r="H41" s="124">
        <f t="shared" si="24"/>
        <v>13.0058571428571</v>
      </c>
      <c r="I41" s="102">
        <f>I17</f>
        <v>16.1127667258741</v>
      </c>
      <c r="J41" s="102">
        <f>666*1.35</f>
        <v>899.1</v>
      </c>
      <c r="K41" s="140">
        <f t="shared" si="22"/>
        <v>84.375</v>
      </c>
      <c r="L41" s="102">
        <f>L17</f>
        <v>1.89</v>
      </c>
      <c r="M41" s="135">
        <f t="shared" si="14"/>
        <v>854.145</v>
      </c>
      <c r="N41" s="141">
        <f t="shared" si="15"/>
        <v>80.15625</v>
      </c>
      <c r="O41" s="135">
        <f t="shared" si="16"/>
        <v>1.7955</v>
      </c>
      <c r="P41" s="135">
        <f t="shared" si="17"/>
        <v>809.19</v>
      </c>
      <c r="Q41" s="141">
        <f t="shared" si="18"/>
        <v>75.9375</v>
      </c>
      <c r="R41" s="102">
        <f t="shared" si="19"/>
        <v>1.701</v>
      </c>
      <c r="S41" s="102">
        <f t="shared" si="20"/>
        <v>0.001</v>
      </c>
      <c r="T41" s="102">
        <f t="shared" si="21"/>
        <v>15</v>
      </c>
    </row>
    <row r="42" s="102" customFormat="1" spans="3:20">
      <c r="C42" s="102" t="s">
        <v>275</v>
      </c>
      <c r="D42" s="102" t="str">
        <f>D39</f>
        <v>TRASYNH2CT</v>
      </c>
      <c r="E42" s="102" t="str">
        <f>E19</f>
        <v>TRA_Car</v>
      </c>
      <c r="F42" s="102">
        <v>2021</v>
      </c>
      <c r="G42" s="102">
        <f t="shared" si="26"/>
        <v>0.72</v>
      </c>
      <c r="H42" s="124">
        <f t="shared" si="24"/>
        <v>13.0058571428571</v>
      </c>
      <c r="I42" s="102">
        <f>I19</f>
        <v>1.58589639888736</v>
      </c>
      <c r="J42" s="42">
        <f>48.2*1.35</f>
        <v>65.07</v>
      </c>
      <c r="K42" s="140">
        <f t="shared" si="22"/>
        <v>84.375</v>
      </c>
      <c r="L42" s="102">
        <f>L19</f>
        <v>2.06955</v>
      </c>
      <c r="M42" s="135">
        <f t="shared" si="14"/>
        <v>61.8165</v>
      </c>
      <c r="N42" s="141">
        <f t="shared" si="15"/>
        <v>80.15625</v>
      </c>
      <c r="O42" s="135">
        <f t="shared" si="16"/>
        <v>1.9660725</v>
      </c>
      <c r="P42" s="135">
        <f t="shared" si="17"/>
        <v>58.563</v>
      </c>
      <c r="Q42" s="141">
        <f t="shared" si="18"/>
        <v>75.9375</v>
      </c>
      <c r="R42" s="102">
        <f t="shared" si="19"/>
        <v>1.862595</v>
      </c>
      <c r="S42" s="102">
        <f t="shared" si="20"/>
        <v>0.001</v>
      </c>
      <c r="T42" s="102">
        <f t="shared" si="21"/>
        <v>15</v>
      </c>
    </row>
    <row r="43" spans="3:4">
      <c r="C43" s="125" t="s">
        <v>199</v>
      </c>
      <c r="D43" s="126" t="s">
        <v>276</v>
      </c>
    </row>
    <row r="44" spans="3:4">
      <c r="C44" s="125" t="s">
        <v>212</v>
      </c>
      <c r="D44" s="126" t="s">
        <v>276</v>
      </c>
    </row>
    <row r="45" spans="3:4">
      <c r="C45" s="127" t="s">
        <v>214</v>
      </c>
      <c r="D45" s="126" t="s">
        <v>276</v>
      </c>
    </row>
    <row r="46" spans="3:4">
      <c r="C46" s="127" t="s">
        <v>220</v>
      </c>
      <c r="D46" s="126" t="s">
        <v>276</v>
      </c>
    </row>
    <row r="47" spans="3:4">
      <c r="C47" s="127" t="s">
        <v>223</v>
      </c>
      <c r="D47" s="126" t="s">
        <v>276</v>
      </c>
    </row>
    <row r="48" spans="3:4">
      <c r="C48" s="127" t="s">
        <v>227</v>
      </c>
      <c r="D48" s="126" t="s">
        <v>276</v>
      </c>
    </row>
    <row r="49" spans="3:4">
      <c r="C49" s="127" t="s">
        <v>231</v>
      </c>
      <c r="D49" s="126" t="s">
        <v>276</v>
      </c>
    </row>
    <row r="50" spans="3:4">
      <c r="C50" s="127" t="s">
        <v>235</v>
      </c>
      <c r="D50" s="126" t="s">
        <v>276</v>
      </c>
    </row>
    <row r="51" spans="3:4">
      <c r="C51" s="127" t="s">
        <v>237</v>
      </c>
      <c r="D51" s="126" t="s">
        <v>276</v>
      </c>
    </row>
    <row r="52" spans="3:4">
      <c r="C52" s="127" t="s">
        <v>241</v>
      </c>
      <c r="D52" s="126" t="s">
        <v>276</v>
      </c>
    </row>
    <row r="53" spans="3:4">
      <c r="C53" s="127" t="s">
        <v>245</v>
      </c>
      <c r="D53" s="126" t="s">
        <v>276</v>
      </c>
    </row>
    <row r="54" spans="3:4">
      <c r="C54" s="127" t="s">
        <v>247</v>
      </c>
      <c r="D54" s="126" t="s">
        <v>276</v>
      </c>
    </row>
    <row r="55" spans="3:4">
      <c r="C55" s="127" t="s">
        <v>250</v>
      </c>
      <c r="D55" s="126" t="s">
        <v>276</v>
      </c>
    </row>
    <row r="56" spans="3:4">
      <c r="C56" s="127" t="s">
        <v>252</v>
      </c>
      <c r="D56" s="126" t="s">
        <v>276</v>
      </c>
    </row>
  </sheetData>
  <autoFilter xmlns:etc="http://www.wps.cn/officeDocument/2017/etCustomData" ref="AS1:AS56" etc:filterBottomFollowUsedRange="0">
    <extLst/>
  </autoFilter>
  <mergeCells count="1">
    <mergeCell ref="AR7:BB7"/>
  </mergeCells>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48" zoomScaleNormal="48" workbookViewId="0">
      <selection activeCell="B3" sqref="B3"/>
    </sheetView>
  </sheetViews>
  <sheetFormatPr defaultColWidth="9" defaultRowHeight="14.5"/>
  <cols>
    <col min="2" max="2" width="23.8181818181818" style="58" customWidth="1"/>
    <col min="3" max="4" width="9" style="58"/>
    <col min="5" max="5" width="17.3636363636364" style="58" customWidth="1"/>
    <col min="6" max="6" width="9" style="58"/>
    <col min="7" max="9" width="12.8181818181818" style="59"/>
    <col min="10" max="11" width="12.8181818181818" style="60"/>
    <col min="12" max="12" width="14" style="60" customWidth="1"/>
    <col min="13" max="13" width="11.6363636363636" style="60" customWidth="1"/>
    <col min="14" max="15" width="9" style="58"/>
    <col min="16" max="16" width="10.4545454545455" style="58" customWidth="1"/>
    <col min="18" max="18" width="9" style="61"/>
    <col min="19" max="19" width="9" style="3"/>
    <col min="21" max="21" width="24.8181818181818" customWidth="1"/>
    <col min="22" max="22" width="9.27272727272727" customWidth="1"/>
    <col min="31" max="31" width="18.5454545454545" customWidth="1"/>
    <col min="36" max="36" width="12.8181818181818"/>
  </cols>
  <sheetData>
    <row r="1" spans="2:9">
      <c r="B1" s="62" t="s">
        <v>277</v>
      </c>
      <c r="G1" s="60"/>
      <c r="H1" s="60"/>
      <c r="I1" s="60"/>
    </row>
    <row r="2" spans="2:9">
      <c r="B2" s="62" t="s">
        <v>278</v>
      </c>
      <c r="G2" s="60"/>
      <c r="H2" s="60"/>
      <c r="I2" s="60"/>
    </row>
    <row r="3" spans="2:9">
      <c r="B3" s="62" t="s">
        <v>279</v>
      </c>
      <c r="G3" s="60"/>
      <c r="H3" s="60"/>
      <c r="I3" s="60"/>
    </row>
    <row r="4" spans="5:38">
      <c r="E4" s="63" t="s">
        <v>10</v>
      </c>
      <c r="G4" s="60"/>
      <c r="H4" s="60"/>
      <c r="I4" s="60"/>
      <c r="T4" s="20" t="s">
        <v>11</v>
      </c>
      <c r="U4" s="20"/>
      <c r="V4" s="76"/>
      <c r="W4" s="76"/>
      <c r="X4" s="76"/>
      <c r="Y4" s="76"/>
      <c r="Z4" s="76"/>
      <c r="AA4" s="76"/>
      <c r="AH4" s="12" t="s">
        <v>10</v>
      </c>
      <c r="AJ4" s="81"/>
      <c r="AK4" s="81"/>
      <c r="AL4" s="81"/>
    </row>
    <row r="5" ht="15.25" spans="2:37">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198</v>
      </c>
      <c r="AE5" s="13" t="s">
        <v>12</v>
      </c>
      <c r="AF5" s="13" t="s">
        <v>18</v>
      </c>
      <c r="AG5" s="43" t="s">
        <v>18</v>
      </c>
      <c r="AH5" s="13" t="s">
        <v>18</v>
      </c>
      <c r="AI5" s="14" t="s">
        <v>16</v>
      </c>
      <c r="AJ5" s="45" t="s">
        <v>19</v>
      </c>
      <c r="AK5" s="82" t="s">
        <v>18</v>
      </c>
    </row>
    <row r="6" ht="175" spans="2:37">
      <c r="B6" s="68" t="s">
        <v>280</v>
      </c>
      <c r="C6" s="68" t="s">
        <v>281</v>
      </c>
      <c r="D6" s="68"/>
      <c r="E6" s="68" t="s">
        <v>282</v>
      </c>
      <c r="F6" s="58">
        <v>2021</v>
      </c>
      <c r="G6" s="69">
        <f>RSD!H121</f>
        <v>0.695684634187153</v>
      </c>
      <c r="H6" s="69"/>
      <c r="I6" s="69">
        <f>RSD!J121</f>
        <v>0.0585651063878025</v>
      </c>
      <c r="J6" s="69">
        <f>RSD!K121</f>
        <v>936.910516748293</v>
      </c>
      <c r="K6" s="69">
        <f>RSD!L121</f>
        <v>23.6986487605685</v>
      </c>
      <c r="L6" s="69">
        <f>RSD!M121</f>
        <v>926.303529288624</v>
      </c>
      <c r="M6" s="69">
        <f>RSD!N121</f>
        <v>23.6986487605685</v>
      </c>
      <c r="N6" s="69">
        <f>RSD!Q121</f>
        <v>15.5</v>
      </c>
      <c r="O6" s="58">
        <v>31.54</v>
      </c>
      <c r="R6" s="61">
        <v>22</v>
      </c>
      <c r="T6" t="s">
        <v>38</v>
      </c>
      <c r="U6" s="80" t="s">
        <v>280</v>
      </c>
      <c r="W6" s="80" t="s">
        <v>39</v>
      </c>
      <c r="X6" s="80" t="s">
        <v>40</v>
      </c>
      <c r="AE6" t="str">
        <f>B146</f>
        <v>WST-SpHeat_ELE1</v>
      </c>
      <c r="AJ6">
        <v>0.198483654420798</v>
      </c>
      <c r="AK6" s="57" t="s">
        <v>182</v>
      </c>
    </row>
    <row r="7" ht="175" spans="2:37">
      <c r="B7" s="68" t="s">
        <v>283</v>
      </c>
      <c r="C7" s="68" t="s">
        <v>281</v>
      </c>
      <c r="D7" s="68"/>
      <c r="E7" s="68" t="s">
        <v>284</v>
      </c>
      <c r="F7" s="58">
        <v>2021</v>
      </c>
      <c r="G7" s="70">
        <f>G6</f>
        <v>0.695684634187153</v>
      </c>
      <c r="H7" s="70"/>
      <c r="I7" s="70">
        <f t="shared" ref="I7:N7" si="0">I6</f>
        <v>0.0585651063878025</v>
      </c>
      <c r="J7" s="70">
        <f t="shared" si="0"/>
        <v>936.910516748293</v>
      </c>
      <c r="K7" s="70">
        <f t="shared" si="0"/>
        <v>23.6986487605685</v>
      </c>
      <c r="L7" s="70">
        <f t="shared" si="0"/>
        <v>926.303529288624</v>
      </c>
      <c r="M7" s="70">
        <f t="shared" si="0"/>
        <v>23.6986487605685</v>
      </c>
      <c r="N7" s="74">
        <f t="shared" si="0"/>
        <v>15.5</v>
      </c>
      <c r="O7" s="58">
        <v>31.54</v>
      </c>
      <c r="R7" s="61">
        <f>R6</f>
        <v>22</v>
      </c>
      <c r="U7" s="80" t="s">
        <v>283</v>
      </c>
      <c r="W7" s="80" t="s">
        <v>39</v>
      </c>
      <c r="X7" s="80" t="s">
        <v>40</v>
      </c>
      <c r="AE7" t="str">
        <f t="shared" ref="AE7:AE36" si="1">B147</f>
        <v>WST-SpHeat_GAS1</v>
      </c>
      <c r="AJ7">
        <v>0.469468493403833</v>
      </c>
      <c r="AK7" s="57" t="s">
        <v>182</v>
      </c>
    </row>
    <row r="8" ht="175" spans="2:37">
      <c r="B8" s="68" t="s">
        <v>285</v>
      </c>
      <c r="C8" s="68" t="s">
        <v>281</v>
      </c>
      <c r="D8" s="68"/>
      <c r="E8" s="68" t="s">
        <v>286</v>
      </c>
      <c r="F8" s="58">
        <v>2021</v>
      </c>
      <c r="G8" s="70">
        <f t="shared" ref="G8:G15" si="2">G7</f>
        <v>0.695684634187153</v>
      </c>
      <c r="H8" s="70"/>
      <c r="I8" s="70">
        <f t="shared" ref="I8:I15" si="3">I7</f>
        <v>0.0585651063878025</v>
      </c>
      <c r="J8" s="70">
        <f t="shared" ref="J8:J15" si="4">J7</f>
        <v>936.910516748293</v>
      </c>
      <c r="K8" s="70">
        <f t="shared" ref="K8:K15" si="5">K7</f>
        <v>23.6986487605685</v>
      </c>
      <c r="L8" s="70">
        <f t="shared" ref="L8:L15" si="6">L7</f>
        <v>926.303529288624</v>
      </c>
      <c r="M8" s="70">
        <f t="shared" ref="M8:N15" si="7">M7</f>
        <v>23.6986487605685</v>
      </c>
      <c r="N8" s="74">
        <f t="shared" si="7"/>
        <v>15.5</v>
      </c>
      <c r="O8" s="58">
        <v>31.54</v>
      </c>
      <c r="R8" s="61">
        <f t="shared" ref="R8:R15" si="8">R7</f>
        <v>22</v>
      </c>
      <c r="U8" s="80" t="s">
        <v>285</v>
      </c>
      <c r="W8" s="80" t="s">
        <v>39</v>
      </c>
      <c r="X8" s="80" t="s">
        <v>40</v>
      </c>
      <c r="AE8" t="str">
        <f t="shared" si="1"/>
        <v>WST-SpHeat_LFO1</v>
      </c>
      <c r="AJ8">
        <v>0.183615708905633</v>
      </c>
      <c r="AK8" s="57" t="s">
        <v>182</v>
      </c>
    </row>
    <row r="9" ht="175" spans="2:37">
      <c r="B9" s="68" t="s">
        <v>287</v>
      </c>
      <c r="C9" s="68" t="s">
        <v>281</v>
      </c>
      <c r="D9" s="68"/>
      <c r="E9" s="68" t="s">
        <v>288</v>
      </c>
      <c r="F9" s="58">
        <v>2021</v>
      </c>
      <c r="G9" s="70">
        <f t="shared" si="2"/>
        <v>0.695684634187153</v>
      </c>
      <c r="H9" s="70"/>
      <c r="I9" s="70">
        <f t="shared" si="3"/>
        <v>0.0585651063878025</v>
      </c>
      <c r="J9" s="70">
        <f t="shared" si="4"/>
        <v>936.910516748293</v>
      </c>
      <c r="K9" s="70">
        <f t="shared" si="5"/>
        <v>23.6986487605685</v>
      </c>
      <c r="L9" s="70">
        <f t="shared" si="6"/>
        <v>926.303529288624</v>
      </c>
      <c r="M9" s="70">
        <f t="shared" si="7"/>
        <v>23.6986487605685</v>
      </c>
      <c r="N9" s="74">
        <f t="shared" si="7"/>
        <v>15.5</v>
      </c>
      <c r="O9" s="58">
        <v>31.54</v>
      </c>
      <c r="R9" s="61">
        <f t="shared" si="8"/>
        <v>22</v>
      </c>
      <c r="U9" s="80" t="s">
        <v>287</v>
      </c>
      <c r="W9" s="80" t="s">
        <v>39</v>
      </c>
      <c r="X9" s="80" t="s">
        <v>40</v>
      </c>
      <c r="AE9" t="str">
        <f t="shared" si="1"/>
        <v>WST-SpHeat_HFO1</v>
      </c>
      <c r="AJ9">
        <v>0.183615708905633</v>
      </c>
      <c r="AK9" s="57" t="s">
        <v>182</v>
      </c>
    </row>
    <row r="10" ht="175" spans="2:37">
      <c r="B10" s="68" t="s">
        <v>289</v>
      </c>
      <c r="C10" s="68" t="s">
        <v>281</v>
      </c>
      <c r="D10" s="68"/>
      <c r="E10" s="68" t="s">
        <v>290</v>
      </c>
      <c r="F10" s="58">
        <v>2021</v>
      </c>
      <c r="G10" s="70">
        <f t="shared" si="2"/>
        <v>0.695684634187153</v>
      </c>
      <c r="H10" s="70"/>
      <c r="I10" s="70">
        <f t="shared" si="3"/>
        <v>0.0585651063878025</v>
      </c>
      <c r="J10" s="70">
        <f t="shared" si="4"/>
        <v>936.910516748293</v>
      </c>
      <c r="K10" s="70">
        <f t="shared" si="5"/>
        <v>23.6986487605685</v>
      </c>
      <c r="L10" s="70">
        <f t="shared" si="6"/>
        <v>926.303529288624</v>
      </c>
      <c r="M10" s="70">
        <f t="shared" si="7"/>
        <v>23.6986487605685</v>
      </c>
      <c r="N10" s="74">
        <f t="shared" si="7"/>
        <v>15.5</v>
      </c>
      <c r="O10" s="58">
        <v>31.54</v>
      </c>
      <c r="R10" s="61">
        <f t="shared" si="8"/>
        <v>22</v>
      </c>
      <c r="U10" s="80" t="s">
        <v>289</v>
      </c>
      <c r="W10" s="80" t="s">
        <v>39</v>
      </c>
      <c r="X10" s="80" t="s">
        <v>40</v>
      </c>
      <c r="AE10" t="str">
        <f t="shared" si="1"/>
        <v>WST-SpHeat_STE1</v>
      </c>
      <c r="AJ10">
        <v>0.294153795762057</v>
      </c>
      <c r="AK10" s="57" t="s">
        <v>182</v>
      </c>
    </row>
    <row r="11" ht="175" spans="2:37">
      <c r="B11" s="68" t="s">
        <v>291</v>
      </c>
      <c r="C11" s="68" t="s">
        <v>281</v>
      </c>
      <c r="D11" s="68"/>
      <c r="E11" s="68" t="s">
        <v>292</v>
      </c>
      <c r="F11" s="58">
        <v>2021</v>
      </c>
      <c r="G11" s="70">
        <f t="shared" si="2"/>
        <v>0.695684634187153</v>
      </c>
      <c r="H11" s="70"/>
      <c r="I11" s="70">
        <f t="shared" si="3"/>
        <v>0.0585651063878025</v>
      </c>
      <c r="J11" s="70">
        <f t="shared" si="4"/>
        <v>936.910516748293</v>
      </c>
      <c r="K11" s="70">
        <f t="shared" si="5"/>
        <v>23.6986487605685</v>
      </c>
      <c r="L11" s="70">
        <f t="shared" si="6"/>
        <v>926.303529288624</v>
      </c>
      <c r="M11" s="70">
        <f t="shared" si="7"/>
        <v>23.6986487605685</v>
      </c>
      <c r="N11" s="74">
        <f t="shared" si="7"/>
        <v>15.5</v>
      </c>
      <c r="O11" s="58">
        <v>31.54</v>
      </c>
      <c r="R11" s="61">
        <f t="shared" si="8"/>
        <v>22</v>
      </c>
      <c r="U11" s="80" t="s">
        <v>291</v>
      </c>
      <c r="W11" s="80" t="s">
        <v>39</v>
      </c>
      <c r="X11" s="80" t="s">
        <v>40</v>
      </c>
      <c r="AE11" t="str">
        <f t="shared" si="1"/>
        <v>WST-SpHeat_COA1</v>
      </c>
      <c r="AJ11">
        <v>0.619201122080021</v>
      </c>
      <c r="AK11" s="57" t="s">
        <v>182</v>
      </c>
    </row>
    <row r="12" ht="175" spans="2:37">
      <c r="B12" s="68" t="s">
        <v>293</v>
      </c>
      <c r="C12" s="68" t="s">
        <v>281</v>
      </c>
      <c r="D12" s="68"/>
      <c r="E12" s="68" t="s">
        <v>294</v>
      </c>
      <c r="F12" s="58">
        <v>2021</v>
      </c>
      <c r="G12" s="70">
        <f t="shared" si="2"/>
        <v>0.695684634187153</v>
      </c>
      <c r="H12" s="70"/>
      <c r="I12" s="70">
        <f t="shared" si="3"/>
        <v>0.0585651063878025</v>
      </c>
      <c r="J12" s="70">
        <f t="shared" si="4"/>
        <v>936.910516748293</v>
      </c>
      <c r="K12" s="70">
        <f t="shared" si="5"/>
        <v>23.6986487605685</v>
      </c>
      <c r="L12" s="70">
        <f t="shared" si="6"/>
        <v>926.303529288624</v>
      </c>
      <c r="M12" s="70">
        <f t="shared" si="7"/>
        <v>23.6986487605685</v>
      </c>
      <c r="N12" s="74">
        <f t="shared" si="7"/>
        <v>15.5</v>
      </c>
      <c r="O12" s="58">
        <v>31.54</v>
      </c>
      <c r="R12" s="61">
        <f t="shared" si="8"/>
        <v>22</v>
      </c>
      <c r="U12" s="80" t="s">
        <v>293</v>
      </c>
      <c r="W12" s="80" t="s">
        <v>39</v>
      </c>
      <c r="X12" s="80" t="s">
        <v>40</v>
      </c>
      <c r="AE12" t="str">
        <f t="shared" si="1"/>
        <v>RTS-SpHeat_ELE1</v>
      </c>
      <c r="AJ12">
        <f t="shared" ref="AJ12:AJ17" si="9">AJ6</f>
        <v>0.198483654420798</v>
      </c>
      <c r="AK12" s="57" t="s">
        <v>182</v>
      </c>
    </row>
    <row r="13" ht="175" spans="2:37">
      <c r="B13" s="68" t="s">
        <v>295</v>
      </c>
      <c r="C13" s="68" t="s">
        <v>281</v>
      </c>
      <c r="D13" s="68"/>
      <c r="E13" s="68" t="s">
        <v>296</v>
      </c>
      <c r="F13" s="58">
        <v>2021</v>
      </c>
      <c r="G13" s="70">
        <f t="shared" si="2"/>
        <v>0.695684634187153</v>
      </c>
      <c r="H13" s="70"/>
      <c r="I13" s="70">
        <f t="shared" si="3"/>
        <v>0.0585651063878025</v>
      </c>
      <c r="J13" s="70">
        <f t="shared" si="4"/>
        <v>936.910516748293</v>
      </c>
      <c r="K13" s="70">
        <f t="shared" si="5"/>
        <v>23.6986487605685</v>
      </c>
      <c r="L13" s="70">
        <f t="shared" si="6"/>
        <v>926.303529288624</v>
      </c>
      <c r="M13" s="70">
        <f t="shared" si="7"/>
        <v>23.6986487605685</v>
      </c>
      <c r="N13" s="74">
        <f t="shared" si="7"/>
        <v>15.5</v>
      </c>
      <c r="O13" s="58">
        <v>31.54</v>
      </c>
      <c r="R13" s="61">
        <f t="shared" si="8"/>
        <v>22</v>
      </c>
      <c r="U13" s="80" t="s">
        <v>295</v>
      </c>
      <c r="W13" s="80" t="s">
        <v>39</v>
      </c>
      <c r="X13" s="80" t="s">
        <v>40</v>
      </c>
      <c r="AE13" t="str">
        <f t="shared" si="1"/>
        <v>RTS-SpHeat_GAS1</v>
      </c>
      <c r="AJ13">
        <f t="shared" si="9"/>
        <v>0.469468493403833</v>
      </c>
      <c r="AK13" s="57" t="s">
        <v>182</v>
      </c>
    </row>
    <row r="14" ht="175" spans="2:37">
      <c r="B14" s="68" t="s">
        <v>297</v>
      </c>
      <c r="C14" s="68" t="s">
        <v>281</v>
      </c>
      <c r="D14" s="68"/>
      <c r="E14" s="68" t="s">
        <v>298</v>
      </c>
      <c r="F14" s="58">
        <v>2021</v>
      </c>
      <c r="G14" s="70">
        <f t="shared" si="2"/>
        <v>0.695684634187153</v>
      </c>
      <c r="H14" s="70"/>
      <c r="I14" s="70">
        <f t="shared" si="3"/>
        <v>0.0585651063878025</v>
      </c>
      <c r="J14" s="70">
        <f t="shared" si="4"/>
        <v>936.910516748293</v>
      </c>
      <c r="K14" s="70">
        <f t="shared" si="5"/>
        <v>23.6986487605685</v>
      </c>
      <c r="L14" s="70">
        <f t="shared" si="6"/>
        <v>926.303529288624</v>
      </c>
      <c r="M14" s="70">
        <f t="shared" si="7"/>
        <v>23.6986487605685</v>
      </c>
      <c r="N14" s="74">
        <f t="shared" si="7"/>
        <v>15.5</v>
      </c>
      <c r="O14" s="58">
        <v>31.54</v>
      </c>
      <c r="R14" s="61">
        <f t="shared" si="8"/>
        <v>22</v>
      </c>
      <c r="U14" s="80" t="s">
        <v>297</v>
      </c>
      <c r="W14" s="80" t="s">
        <v>39</v>
      </c>
      <c r="X14" s="80" t="s">
        <v>40</v>
      </c>
      <c r="AE14" t="str">
        <f t="shared" si="1"/>
        <v>RTS-SpHeat_LFO1</v>
      </c>
      <c r="AJ14">
        <f t="shared" si="9"/>
        <v>0.183615708905633</v>
      </c>
      <c r="AK14" s="57" t="s">
        <v>182</v>
      </c>
    </row>
    <row r="15" ht="175" spans="2:37">
      <c r="B15" s="68" t="s">
        <v>299</v>
      </c>
      <c r="C15" s="68" t="s">
        <v>281</v>
      </c>
      <c r="D15" s="68"/>
      <c r="E15" s="68" t="s">
        <v>300</v>
      </c>
      <c r="F15" s="58">
        <v>2021</v>
      </c>
      <c r="G15" s="70">
        <f t="shared" si="2"/>
        <v>0.695684634187153</v>
      </c>
      <c r="H15" s="70"/>
      <c r="I15" s="70">
        <f t="shared" si="3"/>
        <v>0.0585651063878025</v>
      </c>
      <c r="J15" s="70">
        <f t="shared" si="4"/>
        <v>936.910516748293</v>
      </c>
      <c r="K15" s="70">
        <f t="shared" si="5"/>
        <v>23.6986487605685</v>
      </c>
      <c r="L15" s="70">
        <f t="shared" si="6"/>
        <v>926.303529288624</v>
      </c>
      <c r="M15" s="70">
        <f t="shared" si="7"/>
        <v>23.6986487605685</v>
      </c>
      <c r="N15" s="74">
        <f t="shared" si="7"/>
        <v>15.5</v>
      </c>
      <c r="O15" s="58">
        <v>31.54</v>
      </c>
      <c r="R15" s="61">
        <f t="shared" si="8"/>
        <v>22</v>
      </c>
      <c r="U15" s="80" t="s">
        <v>299</v>
      </c>
      <c r="W15" s="80" t="s">
        <v>39</v>
      </c>
      <c r="X15" s="80" t="s">
        <v>40</v>
      </c>
      <c r="AE15" t="str">
        <f t="shared" si="1"/>
        <v>RTS-SpHeat_HFO1</v>
      </c>
      <c r="AJ15">
        <f t="shared" si="9"/>
        <v>0.183615708905633</v>
      </c>
      <c r="AK15" s="57" t="s">
        <v>182</v>
      </c>
    </row>
    <row r="16" ht="175" spans="2:37">
      <c r="B16" s="68" t="s">
        <v>301</v>
      </c>
      <c r="C16" s="68" t="s">
        <v>281</v>
      </c>
      <c r="D16" s="68"/>
      <c r="E16" s="68" t="s">
        <v>302</v>
      </c>
      <c r="F16" s="58">
        <v>2021</v>
      </c>
      <c r="G16" s="71">
        <v>1</v>
      </c>
      <c r="H16" s="71"/>
      <c r="I16" s="71">
        <f>[6]TechAuxiliaryMot!$N$43</f>
        <v>1</v>
      </c>
      <c r="J16" s="71">
        <f t="shared" ref="J16:O16" si="10">J206</f>
        <v>450.004888888889</v>
      </c>
      <c r="K16" s="71">
        <f t="shared" si="10"/>
        <v>14.0271111111111</v>
      </c>
      <c r="L16" s="71">
        <f t="shared" si="10"/>
        <v>450.004888888889</v>
      </c>
      <c r="M16" s="71">
        <f t="shared" si="10"/>
        <v>14.0271111111111</v>
      </c>
      <c r="N16" s="71">
        <f t="shared" si="10"/>
        <v>21</v>
      </c>
      <c r="O16" s="71">
        <f t="shared" si="10"/>
        <v>31.54</v>
      </c>
      <c r="R16" s="61">
        <v>10</v>
      </c>
      <c r="U16" s="80" t="s">
        <v>301</v>
      </c>
      <c r="W16" s="80" t="s">
        <v>39</v>
      </c>
      <c r="X16" s="80" t="s">
        <v>40</v>
      </c>
      <c r="AE16" t="str">
        <f t="shared" si="1"/>
        <v>RTS-SpHeat_STE1</v>
      </c>
      <c r="AJ16">
        <f t="shared" si="9"/>
        <v>0.294153795762057</v>
      </c>
      <c r="AK16" s="57" t="s">
        <v>182</v>
      </c>
    </row>
    <row r="17" ht="175" spans="2:37">
      <c r="B17" s="68" t="s">
        <v>303</v>
      </c>
      <c r="C17" s="68" t="s">
        <v>281</v>
      </c>
      <c r="D17" s="68"/>
      <c r="E17" s="68" t="s">
        <v>304</v>
      </c>
      <c r="F17" s="58">
        <v>2021</v>
      </c>
      <c r="G17" s="71">
        <f>G16</f>
        <v>1</v>
      </c>
      <c r="H17" s="71"/>
      <c r="I17" s="71">
        <f t="shared" ref="I17:O17" si="11">I16</f>
        <v>1</v>
      </c>
      <c r="J17" s="71">
        <f t="shared" si="11"/>
        <v>450.004888888889</v>
      </c>
      <c r="K17" s="71">
        <f t="shared" si="11"/>
        <v>14.0271111111111</v>
      </c>
      <c r="L17" s="71">
        <f t="shared" si="11"/>
        <v>450.004888888889</v>
      </c>
      <c r="M17" s="71">
        <f t="shared" si="11"/>
        <v>14.0271111111111</v>
      </c>
      <c r="N17" s="71">
        <f t="shared" si="11"/>
        <v>21</v>
      </c>
      <c r="O17" s="71">
        <f t="shared" si="11"/>
        <v>31.54</v>
      </c>
      <c r="R17" s="61">
        <v>10</v>
      </c>
      <c r="U17" s="80" t="s">
        <v>303</v>
      </c>
      <c r="W17" s="80" t="s">
        <v>39</v>
      </c>
      <c r="X17" s="80" t="s">
        <v>40</v>
      </c>
      <c r="AE17" t="str">
        <f t="shared" si="1"/>
        <v>RTS-SpHeat_COA1</v>
      </c>
      <c r="AJ17">
        <f t="shared" si="9"/>
        <v>0.619201122080021</v>
      </c>
      <c r="AK17" s="57" t="s">
        <v>182</v>
      </c>
    </row>
    <row r="18" ht="175" spans="2:37">
      <c r="B18" s="68" t="s">
        <v>305</v>
      </c>
      <c r="C18" s="68" t="s">
        <v>281</v>
      </c>
      <c r="D18" s="68"/>
      <c r="E18" s="68" t="s">
        <v>306</v>
      </c>
      <c r="F18" s="58">
        <v>2021</v>
      </c>
      <c r="G18" s="71">
        <f t="shared" ref="G18:G25" si="12">G17</f>
        <v>1</v>
      </c>
      <c r="H18" s="71"/>
      <c r="I18" s="71">
        <f t="shared" ref="I18:I25" si="13">I17</f>
        <v>1</v>
      </c>
      <c r="J18" s="71">
        <f t="shared" ref="J18:J25" si="14">J17</f>
        <v>450.004888888889</v>
      </c>
      <c r="K18" s="71">
        <f t="shared" ref="K18:K25" si="15">K17</f>
        <v>14.0271111111111</v>
      </c>
      <c r="L18" s="71">
        <f t="shared" ref="L18:L25" si="16">L17</f>
        <v>450.004888888889</v>
      </c>
      <c r="M18" s="71">
        <f t="shared" ref="M18:M25" si="17">M17</f>
        <v>14.0271111111111</v>
      </c>
      <c r="N18" s="71">
        <f t="shared" ref="N18:N25" si="18">N17</f>
        <v>21</v>
      </c>
      <c r="O18" s="71">
        <f t="shared" ref="O18:O25" si="19">O17</f>
        <v>31.54</v>
      </c>
      <c r="R18" s="61">
        <v>10</v>
      </c>
      <c r="U18" s="80" t="s">
        <v>305</v>
      </c>
      <c r="W18" s="80" t="s">
        <v>39</v>
      </c>
      <c r="X18" s="80" t="s">
        <v>40</v>
      </c>
      <c r="AE18" t="str">
        <f t="shared" si="1"/>
        <v>TWS-SpHeat_ELE1</v>
      </c>
      <c r="AJ18">
        <f t="shared" ref="AJ18:AJ65" si="20">AJ12</f>
        <v>0.198483654420798</v>
      </c>
      <c r="AK18" s="57" t="s">
        <v>182</v>
      </c>
    </row>
    <row r="19" ht="175" spans="2:37">
      <c r="B19" s="68" t="s">
        <v>307</v>
      </c>
      <c r="C19" s="68" t="s">
        <v>281</v>
      </c>
      <c r="D19" s="68"/>
      <c r="E19" s="68" t="s">
        <v>308</v>
      </c>
      <c r="F19" s="58">
        <v>2021</v>
      </c>
      <c r="G19" s="71">
        <f t="shared" si="12"/>
        <v>1</v>
      </c>
      <c r="H19" s="71"/>
      <c r="I19" s="71">
        <f t="shared" si="13"/>
        <v>1</v>
      </c>
      <c r="J19" s="71">
        <f t="shared" si="14"/>
        <v>450.004888888889</v>
      </c>
      <c r="K19" s="71">
        <f t="shared" si="15"/>
        <v>14.0271111111111</v>
      </c>
      <c r="L19" s="71">
        <f t="shared" si="16"/>
        <v>450.004888888889</v>
      </c>
      <c r="M19" s="71">
        <f t="shared" si="17"/>
        <v>14.0271111111111</v>
      </c>
      <c r="N19" s="71">
        <f t="shared" si="18"/>
        <v>21</v>
      </c>
      <c r="O19" s="71">
        <f t="shared" si="19"/>
        <v>31.54</v>
      </c>
      <c r="R19" s="61">
        <v>10</v>
      </c>
      <c r="U19" s="80" t="s">
        <v>307</v>
      </c>
      <c r="W19" s="80" t="s">
        <v>39</v>
      </c>
      <c r="X19" s="80" t="s">
        <v>40</v>
      </c>
      <c r="AE19" t="str">
        <f t="shared" si="1"/>
        <v>TWS-SpHeat_GAS1</v>
      </c>
      <c r="AJ19">
        <f t="shared" si="20"/>
        <v>0.469468493403833</v>
      </c>
      <c r="AK19" s="57" t="s">
        <v>182</v>
      </c>
    </row>
    <row r="20" ht="175" spans="2:37">
      <c r="B20" s="68" t="s">
        <v>309</v>
      </c>
      <c r="C20" s="68" t="s">
        <v>281</v>
      </c>
      <c r="D20" s="68"/>
      <c r="E20" s="68" t="s">
        <v>310</v>
      </c>
      <c r="F20" s="58">
        <v>2021</v>
      </c>
      <c r="G20" s="71">
        <f t="shared" si="12"/>
        <v>1</v>
      </c>
      <c r="H20" s="71"/>
      <c r="I20" s="71">
        <f t="shared" si="13"/>
        <v>1</v>
      </c>
      <c r="J20" s="71">
        <f t="shared" si="14"/>
        <v>450.004888888889</v>
      </c>
      <c r="K20" s="71">
        <f t="shared" si="15"/>
        <v>14.0271111111111</v>
      </c>
      <c r="L20" s="71">
        <f t="shared" si="16"/>
        <v>450.004888888889</v>
      </c>
      <c r="M20" s="71">
        <f t="shared" si="17"/>
        <v>14.0271111111111</v>
      </c>
      <c r="N20" s="71">
        <f t="shared" si="18"/>
        <v>21</v>
      </c>
      <c r="O20" s="71">
        <f t="shared" si="19"/>
        <v>31.54</v>
      </c>
      <c r="R20" s="61">
        <v>10</v>
      </c>
      <c r="U20" s="80" t="s">
        <v>309</v>
      </c>
      <c r="W20" s="80" t="s">
        <v>39</v>
      </c>
      <c r="X20" s="80" t="s">
        <v>40</v>
      </c>
      <c r="AE20" t="str">
        <f t="shared" si="1"/>
        <v>TWS-SpHeat_LFO1</v>
      </c>
      <c r="AJ20">
        <f t="shared" si="20"/>
        <v>0.183615708905633</v>
      </c>
      <c r="AK20" s="57" t="s">
        <v>182</v>
      </c>
    </row>
    <row r="21" ht="175" spans="2:37">
      <c r="B21" s="68" t="s">
        <v>311</v>
      </c>
      <c r="C21" s="68" t="s">
        <v>281</v>
      </c>
      <c r="D21" s="68"/>
      <c r="E21" s="68" t="s">
        <v>312</v>
      </c>
      <c r="F21" s="58">
        <v>2021</v>
      </c>
      <c r="G21" s="71">
        <f t="shared" si="12"/>
        <v>1</v>
      </c>
      <c r="H21" s="71"/>
      <c r="I21" s="71">
        <f t="shared" si="13"/>
        <v>1</v>
      </c>
      <c r="J21" s="71">
        <f t="shared" si="14"/>
        <v>450.004888888889</v>
      </c>
      <c r="K21" s="71">
        <f t="shared" si="15"/>
        <v>14.0271111111111</v>
      </c>
      <c r="L21" s="71">
        <f t="shared" si="16"/>
        <v>450.004888888889</v>
      </c>
      <c r="M21" s="71">
        <f t="shared" si="17"/>
        <v>14.0271111111111</v>
      </c>
      <c r="N21" s="71">
        <f t="shared" si="18"/>
        <v>21</v>
      </c>
      <c r="O21" s="71">
        <f t="shared" si="19"/>
        <v>31.54</v>
      </c>
      <c r="R21" s="61">
        <v>10</v>
      </c>
      <c r="U21" s="80" t="s">
        <v>311</v>
      </c>
      <c r="W21" s="80" t="s">
        <v>39</v>
      </c>
      <c r="X21" s="80" t="s">
        <v>40</v>
      </c>
      <c r="AE21" t="str">
        <f t="shared" si="1"/>
        <v>TWS-SpHeat_HFO1</v>
      </c>
      <c r="AJ21">
        <f t="shared" si="20"/>
        <v>0.183615708905633</v>
      </c>
      <c r="AK21" s="57" t="s">
        <v>182</v>
      </c>
    </row>
    <row r="22" ht="175" spans="2:37">
      <c r="B22" s="68" t="s">
        <v>313</v>
      </c>
      <c r="C22" s="68" t="s">
        <v>281</v>
      </c>
      <c r="D22" s="68"/>
      <c r="E22" s="68" t="s">
        <v>314</v>
      </c>
      <c r="F22" s="58">
        <v>2021</v>
      </c>
      <c r="G22" s="71">
        <f t="shared" si="12"/>
        <v>1</v>
      </c>
      <c r="H22" s="71"/>
      <c r="I22" s="71">
        <f t="shared" si="13"/>
        <v>1</v>
      </c>
      <c r="J22" s="71">
        <f t="shared" si="14"/>
        <v>450.004888888889</v>
      </c>
      <c r="K22" s="71">
        <f t="shared" si="15"/>
        <v>14.0271111111111</v>
      </c>
      <c r="L22" s="71">
        <f t="shared" si="16"/>
        <v>450.004888888889</v>
      </c>
      <c r="M22" s="71">
        <f t="shared" si="17"/>
        <v>14.0271111111111</v>
      </c>
      <c r="N22" s="71">
        <f t="shared" si="18"/>
        <v>21</v>
      </c>
      <c r="O22" s="71">
        <f t="shared" si="19"/>
        <v>31.54</v>
      </c>
      <c r="R22" s="61">
        <v>10</v>
      </c>
      <c r="U22" s="80" t="s">
        <v>313</v>
      </c>
      <c r="W22" s="80" t="s">
        <v>39</v>
      </c>
      <c r="X22" s="80" t="s">
        <v>40</v>
      </c>
      <c r="AE22" t="str">
        <f t="shared" si="1"/>
        <v>TWS-SpHeat_STE1</v>
      </c>
      <c r="AJ22">
        <f t="shared" si="20"/>
        <v>0.294153795762057</v>
      </c>
      <c r="AK22" s="57" t="s">
        <v>182</v>
      </c>
    </row>
    <row r="23" ht="175" spans="2:37">
      <c r="B23" s="68" t="s">
        <v>315</v>
      </c>
      <c r="C23" s="68" t="s">
        <v>281</v>
      </c>
      <c r="D23" s="68"/>
      <c r="E23" s="68" t="s">
        <v>316</v>
      </c>
      <c r="F23" s="58">
        <v>2021</v>
      </c>
      <c r="G23" s="71">
        <f t="shared" si="12"/>
        <v>1</v>
      </c>
      <c r="H23" s="71"/>
      <c r="I23" s="71">
        <f t="shared" si="13"/>
        <v>1</v>
      </c>
      <c r="J23" s="71">
        <f t="shared" si="14"/>
        <v>450.004888888889</v>
      </c>
      <c r="K23" s="71">
        <f t="shared" si="15"/>
        <v>14.0271111111111</v>
      </c>
      <c r="L23" s="71">
        <f t="shared" si="16"/>
        <v>450.004888888889</v>
      </c>
      <c r="M23" s="71">
        <f t="shared" si="17"/>
        <v>14.0271111111111</v>
      </c>
      <c r="N23" s="71">
        <f t="shared" si="18"/>
        <v>21</v>
      </c>
      <c r="O23" s="71">
        <f t="shared" si="19"/>
        <v>31.54</v>
      </c>
      <c r="R23" s="61">
        <v>10</v>
      </c>
      <c r="U23" s="80" t="s">
        <v>315</v>
      </c>
      <c r="W23" s="80" t="s">
        <v>39</v>
      </c>
      <c r="X23" s="80" t="s">
        <v>40</v>
      </c>
      <c r="AE23" t="str">
        <f t="shared" si="1"/>
        <v>TWS-SpHeat_COA1</v>
      </c>
      <c r="AJ23">
        <f t="shared" si="20"/>
        <v>0.619201122080021</v>
      </c>
      <c r="AK23" s="57" t="s">
        <v>182</v>
      </c>
    </row>
    <row r="24" ht="175" spans="2:37">
      <c r="B24" s="68" t="s">
        <v>317</v>
      </c>
      <c r="C24" s="68" t="s">
        <v>281</v>
      </c>
      <c r="D24" s="68"/>
      <c r="E24" s="68" t="s">
        <v>318</v>
      </c>
      <c r="F24" s="58">
        <v>2021</v>
      </c>
      <c r="G24" s="71">
        <f t="shared" si="12"/>
        <v>1</v>
      </c>
      <c r="H24" s="71"/>
      <c r="I24" s="71">
        <f t="shared" si="13"/>
        <v>1</v>
      </c>
      <c r="J24" s="71">
        <f t="shared" si="14"/>
        <v>450.004888888889</v>
      </c>
      <c r="K24" s="71">
        <f t="shared" si="15"/>
        <v>14.0271111111111</v>
      </c>
      <c r="L24" s="71">
        <f t="shared" si="16"/>
        <v>450.004888888889</v>
      </c>
      <c r="M24" s="71">
        <f t="shared" si="17"/>
        <v>14.0271111111111</v>
      </c>
      <c r="N24" s="71">
        <f t="shared" si="18"/>
        <v>21</v>
      </c>
      <c r="O24" s="71">
        <f t="shared" si="19"/>
        <v>31.54</v>
      </c>
      <c r="R24" s="61">
        <v>10</v>
      </c>
      <c r="U24" s="80" t="s">
        <v>317</v>
      </c>
      <c r="W24" s="80" t="s">
        <v>39</v>
      </c>
      <c r="X24" s="80" t="s">
        <v>40</v>
      </c>
      <c r="AE24" t="str">
        <f t="shared" si="1"/>
        <v>ICS-SpHeat_ELE1</v>
      </c>
      <c r="AJ24">
        <f t="shared" si="20"/>
        <v>0.198483654420798</v>
      </c>
      <c r="AK24" s="57" t="s">
        <v>182</v>
      </c>
    </row>
    <row r="25" ht="175" spans="2:37">
      <c r="B25" s="68" t="s">
        <v>319</v>
      </c>
      <c r="C25" s="68" t="s">
        <v>281</v>
      </c>
      <c r="D25" s="68"/>
      <c r="E25" s="68" t="s">
        <v>320</v>
      </c>
      <c r="F25" s="58">
        <v>2021</v>
      </c>
      <c r="G25" s="71">
        <f t="shared" si="12"/>
        <v>1</v>
      </c>
      <c r="H25" s="71"/>
      <c r="I25" s="71">
        <f t="shared" si="13"/>
        <v>1</v>
      </c>
      <c r="J25" s="71">
        <f t="shared" si="14"/>
        <v>450.004888888889</v>
      </c>
      <c r="K25" s="71">
        <f t="shared" si="15"/>
        <v>14.0271111111111</v>
      </c>
      <c r="L25" s="71">
        <f t="shared" si="16"/>
        <v>450.004888888889</v>
      </c>
      <c r="M25" s="71">
        <f t="shared" si="17"/>
        <v>14.0271111111111</v>
      </c>
      <c r="N25" s="71">
        <f t="shared" si="18"/>
        <v>21</v>
      </c>
      <c r="O25" s="71">
        <f t="shared" si="19"/>
        <v>31.54</v>
      </c>
      <c r="R25" s="61">
        <v>10</v>
      </c>
      <c r="U25" s="80" t="s">
        <v>319</v>
      </c>
      <c r="W25" s="80" t="s">
        <v>39</v>
      </c>
      <c r="X25" s="80" t="s">
        <v>40</v>
      </c>
      <c r="AE25" t="str">
        <f t="shared" si="1"/>
        <v>ICS-SpHeat_GAS1</v>
      </c>
      <c r="AJ25">
        <f t="shared" si="20"/>
        <v>0.469468493403833</v>
      </c>
      <c r="AK25" s="57" t="s">
        <v>182</v>
      </c>
    </row>
    <row r="26" ht="175" spans="2:37">
      <c r="B26" s="68" t="s">
        <v>321</v>
      </c>
      <c r="C26" s="68" t="s">
        <v>281</v>
      </c>
      <c r="D26" s="68"/>
      <c r="E26" s="68" t="s">
        <v>322</v>
      </c>
      <c r="F26" s="58">
        <v>2021</v>
      </c>
      <c r="G26" s="71">
        <f>G86</f>
        <v>0.98</v>
      </c>
      <c r="H26" s="71"/>
      <c r="I26" s="71">
        <f>[6]TechAuxiliaryEquipment!$O$199</f>
        <v>1</v>
      </c>
      <c r="J26" s="71">
        <f t="shared" ref="J26:N26" si="21">J86</f>
        <v>260.555555555556</v>
      </c>
      <c r="K26" s="71">
        <f t="shared" si="21"/>
        <v>2.77777777777778</v>
      </c>
      <c r="L26" s="71">
        <f t="shared" si="21"/>
        <v>260.555555555556</v>
      </c>
      <c r="M26" s="71">
        <f t="shared" si="21"/>
        <v>2.77777777777778</v>
      </c>
      <c r="N26" s="71">
        <f t="shared" si="21"/>
        <v>12</v>
      </c>
      <c r="O26" s="75">
        <v>31.54</v>
      </c>
      <c r="R26" s="61">
        <v>15</v>
      </c>
      <c r="U26" s="80" t="s">
        <v>321</v>
      </c>
      <c r="W26" s="80" t="s">
        <v>39</v>
      </c>
      <c r="X26" s="80" t="s">
        <v>40</v>
      </c>
      <c r="AE26" t="str">
        <f t="shared" si="1"/>
        <v>ICS-SpHeat_LFO1</v>
      </c>
      <c r="AJ26">
        <f t="shared" si="20"/>
        <v>0.183615708905633</v>
      </c>
      <c r="AK26" s="57" t="s">
        <v>182</v>
      </c>
    </row>
    <row r="27" ht="175" spans="2:37">
      <c r="B27" s="68" t="s">
        <v>323</v>
      </c>
      <c r="C27" s="68" t="s">
        <v>324</v>
      </c>
      <c r="D27" s="68"/>
      <c r="E27" s="68" t="s">
        <v>322</v>
      </c>
      <c r="F27" s="58">
        <v>2021</v>
      </c>
      <c r="G27" s="71">
        <f t="shared" ref="G27:G31" si="22">G87</f>
        <v>0.8</v>
      </c>
      <c r="H27" s="71"/>
      <c r="I27" s="71">
        <f>[6]TechAuxiliaryEquipment!$O$200</f>
        <v>1</v>
      </c>
      <c r="J27" s="71">
        <f t="shared" ref="J27:N27" si="23">J87</f>
        <v>116.810344827586</v>
      </c>
      <c r="K27" s="71">
        <f t="shared" si="23"/>
        <v>5.51724137931035</v>
      </c>
      <c r="L27" s="71">
        <f t="shared" si="23"/>
        <v>116.810344827586</v>
      </c>
      <c r="M27" s="71">
        <f t="shared" si="23"/>
        <v>5.51724137931035</v>
      </c>
      <c r="N27" s="71">
        <f t="shared" si="23"/>
        <v>10</v>
      </c>
      <c r="O27" s="75">
        <v>31.54</v>
      </c>
      <c r="R27" s="61">
        <v>15</v>
      </c>
      <c r="U27" s="80" t="s">
        <v>323</v>
      </c>
      <c r="W27" s="80" t="s">
        <v>39</v>
      </c>
      <c r="X27" s="80" t="s">
        <v>40</v>
      </c>
      <c r="AE27" t="str">
        <f t="shared" si="1"/>
        <v>ICS-SpHeat_HFO1</v>
      </c>
      <c r="AJ27">
        <f t="shared" si="20"/>
        <v>0.183615708905633</v>
      </c>
      <c r="AK27" s="57" t="s">
        <v>182</v>
      </c>
    </row>
    <row r="28" ht="175" spans="2:37">
      <c r="B28" s="68" t="s">
        <v>325</v>
      </c>
      <c r="C28" s="68" t="s">
        <v>326</v>
      </c>
      <c r="D28" s="68"/>
      <c r="E28" s="68" t="s">
        <v>322</v>
      </c>
      <c r="F28" s="58">
        <v>2021</v>
      </c>
      <c r="G28" s="71">
        <f t="shared" si="22"/>
        <v>0.8</v>
      </c>
      <c r="H28" s="71"/>
      <c r="I28" s="71">
        <f>[6]TechAuxiliaryEquipment!$O$201</f>
        <v>1</v>
      </c>
      <c r="J28" s="71">
        <f t="shared" ref="J28:N28" si="24">J88</f>
        <v>69.5454545454545</v>
      </c>
      <c r="K28" s="71">
        <f t="shared" si="24"/>
        <v>2.27272727272727</v>
      </c>
      <c r="L28" s="71">
        <f t="shared" si="24"/>
        <v>69.5454545454545</v>
      </c>
      <c r="M28" s="71">
        <f t="shared" si="24"/>
        <v>2.27272727272727</v>
      </c>
      <c r="N28" s="71">
        <f t="shared" si="24"/>
        <v>13</v>
      </c>
      <c r="O28" s="75">
        <v>31.54</v>
      </c>
      <c r="R28" s="61">
        <v>15</v>
      </c>
      <c r="U28" s="80" t="s">
        <v>325</v>
      </c>
      <c r="W28" s="80" t="s">
        <v>39</v>
      </c>
      <c r="X28" s="80" t="s">
        <v>40</v>
      </c>
      <c r="AE28" t="str">
        <f t="shared" si="1"/>
        <v>ICS-SpHeat_STE1</v>
      </c>
      <c r="AJ28">
        <f t="shared" si="20"/>
        <v>0.294153795762057</v>
      </c>
      <c r="AK28" s="57" t="s">
        <v>182</v>
      </c>
    </row>
    <row r="29" ht="175" spans="2:37">
      <c r="B29" s="68" t="s">
        <v>327</v>
      </c>
      <c r="C29" s="68" t="s">
        <v>328</v>
      </c>
      <c r="D29" s="68"/>
      <c r="E29" s="68" t="s">
        <v>322</v>
      </c>
      <c r="F29" s="58">
        <v>2021</v>
      </c>
      <c r="G29" s="71">
        <f t="shared" si="22"/>
        <v>0.8</v>
      </c>
      <c r="H29" s="71"/>
      <c r="I29" s="71">
        <f>[6]TechAuxiliaryEquipment!$O$202</f>
        <v>1</v>
      </c>
      <c r="J29" s="71">
        <f t="shared" ref="J29:N29" si="25">J89</f>
        <v>69.5454545454545</v>
      </c>
      <c r="K29" s="71">
        <f t="shared" si="25"/>
        <v>2.27272727272727</v>
      </c>
      <c r="L29" s="71">
        <f t="shared" si="25"/>
        <v>69.5454545454545</v>
      </c>
      <c r="M29" s="71">
        <f t="shared" si="25"/>
        <v>2.27272727272727</v>
      </c>
      <c r="N29" s="71">
        <f t="shared" si="25"/>
        <v>13</v>
      </c>
      <c r="O29" s="75">
        <v>31.54</v>
      </c>
      <c r="R29" s="61">
        <v>15</v>
      </c>
      <c r="U29" s="80" t="s">
        <v>327</v>
      </c>
      <c r="W29" s="80" t="s">
        <v>39</v>
      </c>
      <c r="X29" s="80" t="s">
        <v>40</v>
      </c>
      <c r="AE29" t="str">
        <f t="shared" si="1"/>
        <v>ICS-SpHeat_COA1</v>
      </c>
      <c r="AJ29">
        <f t="shared" si="20"/>
        <v>0.619201122080021</v>
      </c>
      <c r="AK29" s="57" t="s">
        <v>182</v>
      </c>
    </row>
    <row r="30" ht="175" spans="2:37">
      <c r="B30" s="68" t="s">
        <v>329</v>
      </c>
      <c r="C30" s="68" t="s">
        <v>330</v>
      </c>
      <c r="D30" s="68"/>
      <c r="E30" s="68" t="s">
        <v>322</v>
      </c>
      <c r="F30" s="58">
        <v>2021</v>
      </c>
      <c r="G30" s="71">
        <f t="shared" si="22"/>
        <v>0.98</v>
      </c>
      <c r="H30" s="71"/>
      <c r="I30" s="71">
        <f>[6]TechAuxiliaryEquipment!$O$203</f>
        <v>1</v>
      </c>
      <c r="J30" s="71">
        <f t="shared" ref="J30:N30" si="26">J90</f>
        <v>72.4242424242424</v>
      </c>
      <c r="K30" s="71">
        <f t="shared" si="26"/>
        <v>0.787878787878788</v>
      </c>
      <c r="L30" s="71">
        <f t="shared" si="26"/>
        <v>72.4242424242424</v>
      </c>
      <c r="M30" s="71">
        <f t="shared" si="26"/>
        <v>0.787878787878788</v>
      </c>
      <c r="N30" s="71">
        <f t="shared" si="26"/>
        <v>15</v>
      </c>
      <c r="O30" s="75">
        <v>31.54</v>
      </c>
      <c r="R30" s="61">
        <v>15</v>
      </c>
      <c r="U30" s="80" t="s">
        <v>329</v>
      </c>
      <c r="W30" s="80" t="s">
        <v>39</v>
      </c>
      <c r="X30" s="80" t="s">
        <v>40</v>
      </c>
      <c r="AE30" t="str">
        <f t="shared" si="1"/>
        <v>OS-SpHeat_ELE1</v>
      </c>
      <c r="AJ30">
        <f t="shared" si="20"/>
        <v>0.198483654420798</v>
      </c>
      <c r="AK30" s="57" t="s">
        <v>182</v>
      </c>
    </row>
    <row r="31" ht="175" spans="2:37">
      <c r="B31" s="68" t="s">
        <v>331</v>
      </c>
      <c r="C31" s="68" t="s">
        <v>332</v>
      </c>
      <c r="D31" s="68"/>
      <c r="E31" s="68" t="s">
        <v>322</v>
      </c>
      <c r="F31" s="58">
        <v>2021</v>
      </c>
      <c r="G31" s="71">
        <f t="shared" si="22"/>
        <v>0.872</v>
      </c>
      <c r="H31" s="71"/>
      <c r="I31" s="71">
        <f>[6]TechAuxiliaryEquipment!$O$204</f>
        <v>1</v>
      </c>
      <c r="J31" s="71">
        <f t="shared" ref="J31:N31" si="27">J91</f>
        <v>117.776210379659</v>
      </c>
      <c r="K31" s="71">
        <f t="shared" si="27"/>
        <v>2.72567049808429</v>
      </c>
      <c r="L31" s="71">
        <f t="shared" si="27"/>
        <v>117.776210379659</v>
      </c>
      <c r="M31" s="71">
        <f t="shared" si="27"/>
        <v>2.72567049808429</v>
      </c>
      <c r="N31" s="71">
        <f t="shared" si="27"/>
        <v>12.6</v>
      </c>
      <c r="O31" s="75">
        <v>31.54</v>
      </c>
      <c r="R31" s="61">
        <v>15</v>
      </c>
      <c r="U31" s="80" t="s">
        <v>331</v>
      </c>
      <c r="W31" s="80" t="s">
        <v>39</v>
      </c>
      <c r="X31" s="80" t="s">
        <v>40</v>
      </c>
      <c r="AE31" t="str">
        <f t="shared" si="1"/>
        <v>OS-SpHeat_GAS1</v>
      </c>
      <c r="AJ31">
        <f t="shared" si="20"/>
        <v>0.469468493403833</v>
      </c>
      <c r="AK31" s="57" t="s">
        <v>182</v>
      </c>
    </row>
    <row r="32" ht="175" spans="2:37">
      <c r="B32" s="68" t="s">
        <v>333</v>
      </c>
      <c r="C32" s="68" t="s">
        <v>281</v>
      </c>
      <c r="D32" s="68"/>
      <c r="E32" s="68" t="s">
        <v>334</v>
      </c>
      <c r="F32" s="58">
        <v>2021</v>
      </c>
      <c r="G32" s="71">
        <f>G26</f>
        <v>0.98</v>
      </c>
      <c r="H32" s="71"/>
      <c r="I32" s="71">
        <f t="shared" ref="I32:N32" si="28">I26</f>
        <v>1</v>
      </c>
      <c r="J32" s="71">
        <f t="shared" si="28"/>
        <v>260.555555555556</v>
      </c>
      <c r="K32" s="71">
        <f t="shared" si="28"/>
        <v>2.77777777777778</v>
      </c>
      <c r="L32" s="71">
        <f t="shared" si="28"/>
        <v>260.555555555556</v>
      </c>
      <c r="M32" s="71">
        <f t="shared" si="28"/>
        <v>2.77777777777778</v>
      </c>
      <c r="N32" s="71">
        <f t="shared" si="28"/>
        <v>12</v>
      </c>
      <c r="O32" s="75">
        <v>31.54</v>
      </c>
      <c r="R32" s="61">
        <v>15</v>
      </c>
      <c r="U32" s="80" t="s">
        <v>333</v>
      </c>
      <c r="W32" s="80" t="s">
        <v>39</v>
      </c>
      <c r="X32" s="80" t="s">
        <v>40</v>
      </c>
      <c r="AE32" t="str">
        <f t="shared" si="1"/>
        <v>OS-SpHeat_LFO1</v>
      </c>
      <c r="AJ32">
        <f t="shared" si="20"/>
        <v>0.183615708905633</v>
      </c>
      <c r="AK32" s="57" t="s">
        <v>182</v>
      </c>
    </row>
    <row r="33" ht="175" spans="2:37">
      <c r="B33" s="68" t="s">
        <v>335</v>
      </c>
      <c r="C33" s="68" t="s">
        <v>324</v>
      </c>
      <c r="D33" s="68"/>
      <c r="E33" s="68" t="s">
        <v>334</v>
      </c>
      <c r="F33" s="58">
        <v>2021</v>
      </c>
      <c r="G33" s="71">
        <f t="shared" ref="G33:N33" si="29">G27</f>
        <v>0.8</v>
      </c>
      <c r="H33" s="71"/>
      <c r="I33" s="71">
        <f t="shared" si="29"/>
        <v>1</v>
      </c>
      <c r="J33" s="71">
        <f t="shared" si="29"/>
        <v>116.810344827586</v>
      </c>
      <c r="K33" s="71">
        <f t="shared" si="29"/>
        <v>5.51724137931035</v>
      </c>
      <c r="L33" s="71">
        <f t="shared" si="29"/>
        <v>116.810344827586</v>
      </c>
      <c r="M33" s="71">
        <f t="shared" si="29"/>
        <v>5.51724137931035</v>
      </c>
      <c r="N33" s="71">
        <f t="shared" si="29"/>
        <v>10</v>
      </c>
      <c r="O33" s="75">
        <v>31.54</v>
      </c>
      <c r="R33" s="61">
        <v>15</v>
      </c>
      <c r="U33" s="80" t="s">
        <v>335</v>
      </c>
      <c r="W33" s="80" t="s">
        <v>39</v>
      </c>
      <c r="X33" s="80" t="s">
        <v>40</v>
      </c>
      <c r="AE33" t="str">
        <f t="shared" si="1"/>
        <v>OS-SpHeat_HFO1</v>
      </c>
      <c r="AJ33">
        <f t="shared" si="20"/>
        <v>0.183615708905633</v>
      </c>
      <c r="AK33" s="57" t="s">
        <v>182</v>
      </c>
    </row>
    <row r="34" ht="175" spans="2:37">
      <c r="B34" s="68" t="s">
        <v>336</v>
      </c>
      <c r="C34" s="68" t="s">
        <v>326</v>
      </c>
      <c r="D34" s="68"/>
      <c r="E34" s="68" t="s">
        <v>334</v>
      </c>
      <c r="F34" s="58">
        <v>2021</v>
      </c>
      <c r="G34" s="71">
        <f t="shared" ref="G34:N34" si="30">G28</f>
        <v>0.8</v>
      </c>
      <c r="H34" s="71"/>
      <c r="I34" s="71">
        <f t="shared" si="30"/>
        <v>1</v>
      </c>
      <c r="J34" s="71">
        <f t="shared" si="30"/>
        <v>69.5454545454545</v>
      </c>
      <c r="K34" s="71">
        <f t="shared" si="30"/>
        <v>2.27272727272727</v>
      </c>
      <c r="L34" s="71">
        <f t="shared" si="30"/>
        <v>69.5454545454545</v>
      </c>
      <c r="M34" s="71">
        <f t="shared" si="30"/>
        <v>2.27272727272727</v>
      </c>
      <c r="N34" s="71">
        <f t="shared" si="30"/>
        <v>13</v>
      </c>
      <c r="O34" s="75">
        <v>31.54</v>
      </c>
      <c r="R34" s="61">
        <v>15</v>
      </c>
      <c r="U34" s="80" t="s">
        <v>336</v>
      </c>
      <c r="W34" s="80" t="s">
        <v>39</v>
      </c>
      <c r="X34" s="80" t="s">
        <v>40</v>
      </c>
      <c r="AE34" t="str">
        <f t="shared" si="1"/>
        <v>OS-SpHeat_STE1</v>
      </c>
      <c r="AJ34">
        <f t="shared" si="20"/>
        <v>0.294153795762057</v>
      </c>
      <c r="AK34" s="57" t="s">
        <v>182</v>
      </c>
    </row>
    <row r="35" ht="175" spans="2:37">
      <c r="B35" s="68" t="s">
        <v>337</v>
      </c>
      <c r="C35" s="68" t="s">
        <v>328</v>
      </c>
      <c r="D35" s="68"/>
      <c r="E35" s="68" t="s">
        <v>334</v>
      </c>
      <c r="F35" s="58">
        <v>2021</v>
      </c>
      <c r="G35" s="71">
        <f t="shared" ref="G35:N35" si="31">G29</f>
        <v>0.8</v>
      </c>
      <c r="H35" s="71"/>
      <c r="I35" s="71">
        <f t="shared" si="31"/>
        <v>1</v>
      </c>
      <c r="J35" s="71">
        <f t="shared" si="31"/>
        <v>69.5454545454545</v>
      </c>
      <c r="K35" s="71">
        <f t="shared" si="31"/>
        <v>2.27272727272727</v>
      </c>
      <c r="L35" s="71">
        <f t="shared" si="31"/>
        <v>69.5454545454545</v>
      </c>
      <c r="M35" s="71">
        <f t="shared" si="31"/>
        <v>2.27272727272727</v>
      </c>
      <c r="N35" s="71">
        <f t="shared" si="31"/>
        <v>13</v>
      </c>
      <c r="O35" s="75">
        <v>31.54</v>
      </c>
      <c r="R35" s="61">
        <v>15</v>
      </c>
      <c r="U35" s="80" t="s">
        <v>337</v>
      </c>
      <c r="W35" s="80" t="s">
        <v>39</v>
      </c>
      <c r="X35" s="80" t="s">
        <v>40</v>
      </c>
      <c r="AE35" t="str">
        <f t="shared" si="1"/>
        <v>OS-SpHeat_COA1</v>
      </c>
      <c r="AJ35">
        <f t="shared" si="20"/>
        <v>0.619201122080021</v>
      </c>
      <c r="AK35" s="57" t="s">
        <v>182</v>
      </c>
    </row>
    <row r="36" ht="175" spans="2:37">
      <c r="B36" s="68" t="s">
        <v>338</v>
      </c>
      <c r="C36" s="68" t="s">
        <v>330</v>
      </c>
      <c r="D36" s="68"/>
      <c r="E36" s="68" t="s">
        <v>334</v>
      </c>
      <c r="F36" s="58">
        <v>2021</v>
      </c>
      <c r="G36" s="71">
        <f t="shared" ref="G36:N36" si="32">G30</f>
        <v>0.98</v>
      </c>
      <c r="H36" s="71"/>
      <c r="I36" s="71">
        <f t="shared" si="32"/>
        <v>1</v>
      </c>
      <c r="J36" s="71">
        <f t="shared" si="32"/>
        <v>72.4242424242424</v>
      </c>
      <c r="K36" s="71">
        <f t="shared" si="32"/>
        <v>0.787878787878788</v>
      </c>
      <c r="L36" s="71">
        <f t="shared" si="32"/>
        <v>72.4242424242424</v>
      </c>
      <c r="M36" s="71">
        <f t="shared" si="32"/>
        <v>0.787878787878788</v>
      </c>
      <c r="N36" s="71">
        <f t="shared" si="32"/>
        <v>15</v>
      </c>
      <c r="O36" s="75">
        <v>31.54</v>
      </c>
      <c r="R36" s="61">
        <v>15</v>
      </c>
      <c r="U36" s="80" t="s">
        <v>338</v>
      </c>
      <c r="W36" s="80" t="s">
        <v>39</v>
      </c>
      <c r="X36" s="80" t="s">
        <v>40</v>
      </c>
      <c r="AE36" t="str">
        <f t="shared" si="1"/>
        <v>EDU-SpHeat_ELE1</v>
      </c>
      <c r="AJ36">
        <f t="shared" si="20"/>
        <v>0.198483654420798</v>
      </c>
      <c r="AK36" s="57" t="s">
        <v>182</v>
      </c>
    </row>
    <row r="37" ht="175" spans="2:37">
      <c r="B37" s="68" t="s">
        <v>339</v>
      </c>
      <c r="C37" s="68" t="s">
        <v>332</v>
      </c>
      <c r="D37" s="68"/>
      <c r="E37" s="68" t="s">
        <v>334</v>
      </c>
      <c r="F37" s="58">
        <v>2021</v>
      </c>
      <c r="G37" s="71">
        <f t="shared" ref="G37:N37" si="33">G31</f>
        <v>0.872</v>
      </c>
      <c r="H37" s="71"/>
      <c r="I37" s="71">
        <f t="shared" si="33"/>
        <v>1</v>
      </c>
      <c r="J37" s="71">
        <f t="shared" si="33"/>
        <v>117.776210379659</v>
      </c>
      <c r="K37" s="71">
        <f t="shared" si="33"/>
        <v>2.72567049808429</v>
      </c>
      <c r="L37" s="71">
        <f t="shared" si="33"/>
        <v>117.776210379659</v>
      </c>
      <c r="M37" s="71">
        <f t="shared" si="33"/>
        <v>2.72567049808429</v>
      </c>
      <c r="N37" s="71">
        <f t="shared" si="33"/>
        <v>12.6</v>
      </c>
      <c r="O37" s="75">
        <v>31.54</v>
      </c>
      <c r="R37" s="61">
        <v>15</v>
      </c>
      <c r="U37" s="80" t="s">
        <v>339</v>
      </c>
      <c r="W37" s="80" t="s">
        <v>39</v>
      </c>
      <c r="X37" s="80" t="s">
        <v>40</v>
      </c>
      <c r="AE37" t="str">
        <f t="shared" ref="AE37:AE55" si="34">B177</f>
        <v>EDU-SpHeat_GAS1</v>
      </c>
      <c r="AJ37">
        <f t="shared" si="20"/>
        <v>0.469468493403833</v>
      </c>
      <c r="AK37" s="57" t="s">
        <v>182</v>
      </c>
    </row>
    <row r="38" ht="175" spans="2:37">
      <c r="B38" s="68" t="s">
        <v>340</v>
      </c>
      <c r="C38" s="68" t="s">
        <v>281</v>
      </c>
      <c r="D38" s="68"/>
      <c r="E38" s="68" t="s">
        <v>341</v>
      </c>
      <c r="F38" s="58">
        <v>2021</v>
      </c>
      <c r="G38" s="71">
        <f t="shared" ref="G38:N38" si="35">G32</f>
        <v>0.98</v>
      </c>
      <c r="H38" s="71"/>
      <c r="I38" s="71">
        <f t="shared" si="35"/>
        <v>1</v>
      </c>
      <c r="J38" s="71">
        <f t="shared" si="35"/>
        <v>260.555555555556</v>
      </c>
      <c r="K38" s="71">
        <f t="shared" si="35"/>
        <v>2.77777777777778</v>
      </c>
      <c r="L38" s="71">
        <f t="shared" si="35"/>
        <v>260.555555555556</v>
      </c>
      <c r="M38" s="71">
        <f t="shared" si="35"/>
        <v>2.77777777777778</v>
      </c>
      <c r="N38" s="71">
        <f t="shared" si="35"/>
        <v>12</v>
      </c>
      <c r="O38" s="75">
        <v>31.54</v>
      </c>
      <c r="R38" s="61">
        <v>15</v>
      </c>
      <c r="U38" s="80" t="s">
        <v>340</v>
      </c>
      <c r="W38" s="80" t="s">
        <v>39</v>
      </c>
      <c r="X38" s="80" t="s">
        <v>40</v>
      </c>
      <c r="AE38" t="str">
        <f t="shared" si="34"/>
        <v>EDU-SpHeat_LFO1</v>
      </c>
      <c r="AJ38">
        <f t="shared" si="20"/>
        <v>0.183615708905633</v>
      </c>
      <c r="AK38" s="57" t="s">
        <v>182</v>
      </c>
    </row>
    <row r="39" ht="175" spans="2:37">
      <c r="B39" s="68" t="s">
        <v>342</v>
      </c>
      <c r="C39" s="68" t="s">
        <v>324</v>
      </c>
      <c r="D39" s="68"/>
      <c r="E39" s="68" t="s">
        <v>341</v>
      </c>
      <c r="F39" s="58">
        <v>2021</v>
      </c>
      <c r="G39" s="71">
        <f t="shared" ref="G39:N39" si="36">G33</f>
        <v>0.8</v>
      </c>
      <c r="H39" s="71"/>
      <c r="I39" s="71">
        <f t="shared" si="36"/>
        <v>1</v>
      </c>
      <c r="J39" s="71">
        <f t="shared" si="36"/>
        <v>116.810344827586</v>
      </c>
      <c r="K39" s="71">
        <f t="shared" si="36"/>
        <v>5.51724137931035</v>
      </c>
      <c r="L39" s="71">
        <f t="shared" si="36"/>
        <v>116.810344827586</v>
      </c>
      <c r="M39" s="71">
        <f t="shared" si="36"/>
        <v>5.51724137931035</v>
      </c>
      <c r="N39" s="71">
        <f t="shared" si="36"/>
        <v>10</v>
      </c>
      <c r="O39" s="75">
        <v>31.54</v>
      </c>
      <c r="R39" s="61">
        <v>15</v>
      </c>
      <c r="U39" s="80" t="s">
        <v>342</v>
      </c>
      <c r="W39" s="80" t="s">
        <v>39</v>
      </c>
      <c r="X39" s="80" t="s">
        <v>40</v>
      </c>
      <c r="AE39" t="str">
        <f t="shared" si="34"/>
        <v>EDU-SpHeat_HFO1</v>
      </c>
      <c r="AJ39">
        <f t="shared" si="20"/>
        <v>0.183615708905633</v>
      </c>
      <c r="AK39" s="57" t="s">
        <v>182</v>
      </c>
    </row>
    <row r="40" ht="175" spans="2:37">
      <c r="B40" s="68" t="s">
        <v>343</v>
      </c>
      <c r="C40" s="68" t="s">
        <v>326</v>
      </c>
      <c r="D40" s="68"/>
      <c r="E40" s="68" t="s">
        <v>341</v>
      </c>
      <c r="F40" s="58">
        <v>2021</v>
      </c>
      <c r="G40" s="71">
        <f t="shared" ref="G40:N40" si="37">G34</f>
        <v>0.8</v>
      </c>
      <c r="H40" s="71"/>
      <c r="I40" s="71">
        <f t="shared" si="37"/>
        <v>1</v>
      </c>
      <c r="J40" s="71">
        <f t="shared" si="37"/>
        <v>69.5454545454545</v>
      </c>
      <c r="K40" s="71">
        <f t="shared" si="37"/>
        <v>2.27272727272727</v>
      </c>
      <c r="L40" s="71">
        <f t="shared" si="37"/>
        <v>69.5454545454545</v>
      </c>
      <c r="M40" s="71">
        <f t="shared" si="37"/>
        <v>2.27272727272727</v>
      </c>
      <c r="N40" s="71">
        <f t="shared" si="37"/>
        <v>13</v>
      </c>
      <c r="O40" s="75">
        <v>31.54</v>
      </c>
      <c r="R40" s="61">
        <v>15</v>
      </c>
      <c r="U40" s="80" t="s">
        <v>343</v>
      </c>
      <c r="W40" s="80" t="s">
        <v>39</v>
      </c>
      <c r="X40" s="80" t="s">
        <v>40</v>
      </c>
      <c r="AE40" t="str">
        <f t="shared" si="34"/>
        <v>EDU-SpHeat_STE1</v>
      </c>
      <c r="AJ40">
        <f t="shared" si="20"/>
        <v>0.294153795762057</v>
      </c>
      <c r="AK40" s="57" t="s">
        <v>182</v>
      </c>
    </row>
    <row r="41" ht="175" spans="2:37">
      <c r="B41" s="68" t="s">
        <v>344</v>
      </c>
      <c r="C41" s="68" t="s">
        <v>328</v>
      </c>
      <c r="D41" s="68"/>
      <c r="E41" s="68" t="s">
        <v>341</v>
      </c>
      <c r="F41" s="58">
        <v>2021</v>
      </c>
      <c r="G41" s="71">
        <f t="shared" ref="G41:N41" si="38">G35</f>
        <v>0.8</v>
      </c>
      <c r="H41" s="71"/>
      <c r="I41" s="71">
        <f t="shared" si="38"/>
        <v>1</v>
      </c>
      <c r="J41" s="71">
        <f t="shared" si="38"/>
        <v>69.5454545454545</v>
      </c>
      <c r="K41" s="71">
        <f t="shared" si="38"/>
        <v>2.27272727272727</v>
      </c>
      <c r="L41" s="71">
        <f t="shared" si="38"/>
        <v>69.5454545454545</v>
      </c>
      <c r="M41" s="71">
        <f t="shared" si="38"/>
        <v>2.27272727272727</v>
      </c>
      <c r="N41" s="71">
        <f t="shared" si="38"/>
        <v>13</v>
      </c>
      <c r="O41" s="75">
        <v>31.54</v>
      </c>
      <c r="R41" s="61">
        <v>15</v>
      </c>
      <c r="U41" s="80" t="s">
        <v>344</v>
      </c>
      <c r="W41" s="80" t="s">
        <v>39</v>
      </c>
      <c r="X41" s="80" t="s">
        <v>40</v>
      </c>
      <c r="AE41" t="str">
        <f t="shared" si="34"/>
        <v>EDU-SpHeat_COA1</v>
      </c>
      <c r="AJ41">
        <f t="shared" si="20"/>
        <v>0.619201122080021</v>
      </c>
      <c r="AK41" s="57" t="s">
        <v>182</v>
      </c>
    </row>
    <row r="42" ht="175" spans="2:37">
      <c r="B42" s="68" t="s">
        <v>345</v>
      </c>
      <c r="C42" s="68" t="s">
        <v>330</v>
      </c>
      <c r="D42" s="68"/>
      <c r="E42" s="68" t="s">
        <v>341</v>
      </c>
      <c r="F42" s="58">
        <v>2021</v>
      </c>
      <c r="G42" s="71">
        <f t="shared" ref="G42:N42" si="39">G36</f>
        <v>0.98</v>
      </c>
      <c r="H42" s="71"/>
      <c r="I42" s="71">
        <f t="shared" si="39"/>
        <v>1</v>
      </c>
      <c r="J42" s="71">
        <f t="shared" si="39"/>
        <v>72.4242424242424</v>
      </c>
      <c r="K42" s="71">
        <f t="shared" si="39"/>
        <v>0.787878787878788</v>
      </c>
      <c r="L42" s="71">
        <f t="shared" si="39"/>
        <v>72.4242424242424</v>
      </c>
      <c r="M42" s="71">
        <f t="shared" si="39"/>
        <v>0.787878787878788</v>
      </c>
      <c r="N42" s="71">
        <f t="shared" si="39"/>
        <v>15</v>
      </c>
      <c r="O42" s="75">
        <v>31.54</v>
      </c>
      <c r="R42" s="61">
        <v>15</v>
      </c>
      <c r="U42" s="80" t="s">
        <v>345</v>
      </c>
      <c r="W42" s="80" t="s">
        <v>39</v>
      </c>
      <c r="X42" s="80" t="s">
        <v>40</v>
      </c>
      <c r="AE42" t="str">
        <f t="shared" si="34"/>
        <v>HSS-SpHeat_ELE1</v>
      </c>
      <c r="AJ42">
        <f t="shared" si="20"/>
        <v>0.198483654420798</v>
      </c>
      <c r="AK42" s="57" t="s">
        <v>182</v>
      </c>
    </row>
    <row r="43" ht="175" spans="2:37">
      <c r="B43" s="68" t="s">
        <v>346</v>
      </c>
      <c r="C43" s="68" t="s">
        <v>332</v>
      </c>
      <c r="D43" s="68"/>
      <c r="E43" s="68" t="s">
        <v>341</v>
      </c>
      <c r="F43" s="58">
        <v>2021</v>
      </c>
      <c r="G43" s="71">
        <f t="shared" ref="G43:N43" si="40">G37</f>
        <v>0.872</v>
      </c>
      <c r="H43" s="71"/>
      <c r="I43" s="71">
        <f t="shared" si="40"/>
        <v>1</v>
      </c>
      <c r="J43" s="71">
        <f t="shared" si="40"/>
        <v>117.776210379659</v>
      </c>
      <c r="K43" s="71">
        <f t="shared" si="40"/>
        <v>2.72567049808429</v>
      </c>
      <c r="L43" s="71">
        <f t="shared" si="40"/>
        <v>117.776210379659</v>
      </c>
      <c r="M43" s="71">
        <f t="shared" si="40"/>
        <v>2.72567049808429</v>
      </c>
      <c r="N43" s="71">
        <f t="shared" si="40"/>
        <v>12.6</v>
      </c>
      <c r="O43" s="75">
        <v>31.54</v>
      </c>
      <c r="R43" s="61">
        <v>15</v>
      </c>
      <c r="U43" s="80" t="s">
        <v>346</v>
      </c>
      <c r="W43" s="80" t="s">
        <v>39</v>
      </c>
      <c r="X43" s="80" t="s">
        <v>40</v>
      </c>
      <c r="AE43" t="str">
        <f t="shared" si="34"/>
        <v>HSS-SpHeat_GAS1</v>
      </c>
      <c r="AJ43">
        <f t="shared" si="20"/>
        <v>0.469468493403833</v>
      </c>
      <c r="AK43" s="57" t="s">
        <v>182</v>
      </c>
    </row>
    <row r="44" ht="175" spans="2:37">
      <c r="B44" s="68" t="s">
        <v>347</v>
      </c>
      <c r="C44" s="68" t="s">
        <v>281</v>
      </c>
      <c r="D44" s="68"/>
      <c r="E44" s="68" t="s">
        <v>348</v>
      </c>
      <c r="F44" s="58">
        <v>2021</v>
      </c>
      <c r="G44" s="71">
        <f t="shared" ref="G44:N44" si="41">G38</f>
        <v>0.98</v>
      </c>
      <c r="H44" s="71"/>
      <c r="I44" s="71">
        <f t="shared" si="41"/>
        <v>1</v>
      </c>
      <c r="J44" s="71">
        <f t="shared" si="41"/>
        <v>260.555555555556</v>
      </c>
      <c r="K44" s="71">
        <f t="shared" si="41"/>
        <v>2.77777777777778</v>
      </c>
      <c r="L44" s="71">
        <f t="shared" si="41"/>
        <v>260.555555555556</v>
      </c>
      <c r="M44" s="71">
        <f t="shared" si="41"/>
        <v>2.77777777777778</v>
      </c>
      <c r="N44" s="71">
        <f t="shared" si="41"/>
        <v>12</v>
      </c>
      <c r="O44" s="75">
        <v>31.54</v>
      </c>
      <c r="R44" s="61">
        <v>15</v>
      </c>
      <c r="U44" s="80" t="s">
        <v>347</v>
      </c>
      <c r="W44" s="80" t="s">
        <v>39</v>
      </c>
      <c r="X44" s="80" t="s">
        <v>40</v>
      </c>
      <c r="AE44" t="str">
        <f t="shared" si="34"/>
        <v>HSS-SpHeat_LFO1</v>
      </c>
      <c r="AJ44">
        <f t="shared" si="20"/>
        <v>0.183615708905633</v>
      </c>
      <c r="AK44" s="57" t="s">
        <v>182</v>
      </c>
    </row>
    <row r="45" ht="175" spans="2:37">
      <c r="B45" s="68" t="s">
        <v>349</v>
      </c>
      <c r="C45" s="68" t="s">
        <v>324</v>
      </c>
      <c r="D45" s="68"/>
      <c r="E45" s="68" t="s">
        <v>348</v>
      </c>
      <c r="F45" s="58">
        <v>2021</v>
      </c>
      <c r="G45" s="71">
        <f t="shared" ref="G45:N45" si="42">G39</f>
        <v>0.8</v>
      </c>
      <c r="H45" s="71"/>
      <c r="I45" s="71">
        <f t="shared" si="42"/>
        <v>1</v>
      </c>
      <c r="J45" s="71">
        <f t="shared" si="42"/>
        <v>116.810344827586</v>
      </c>
      <c r="K45" s="71">
        <f t="shared" si="42"/>
        <v>5.51724137931035</v>
      </c>
      <c r="L45" s="71">
        <f t="shared" si="42"/>
        <v>116.810344827586</v>
      </c>
      <c r="M45" s="71">
        <f t="shared" si="42"/>
        <v>5.51724137931035</v>
      </c>
      <c r="N45" s="71">
        <f t="shared" si="42"/>
        <v>10</v>
      </c>
      <c r="O45" s="75">
        <v>31.54</v>
      </c>
      <c r="R45" s="61">
        <v>15</v>
      </c>
      <c r="U45" s="80" t="s">
        <v>349</v>
      </c>
      <c r="W45" s="80" t="s">
        <v>39</v>
      </c>
      <c r="X45" s="80" t="s">
        <v>40</v>
      </c>
      <c r="AE45" t="str">
        <f t="shared" si="34"/>
        <v>HSS-SpHeat_HFO1</v>
      </c>
      <c r="AJ45">
        <f t="shared" si="20"/>
        <v>0.183615708905633</v>
      </c>
      <c r="AK45" s="57" t="s">
        <v>182</v>
      </c>
    </row>
    <row r="46" ht="175" spans="2:37">
      <c r="B46" s="68" t="s">
        <v>350</v>
      </c>
      <c r="C46" s="68" t="s">
        <v>326</v>
      </c>
      <c r="D46" s="68"/>
      <c r="E46" s="68" t="s">
        <v>348</v>
      </c>
      <c r="F46" s="58">
        <v>2021</v>
      </c>
      <c r="G46" s="71">
        <f t="shared" ref="G46:N46" si="43">G40</f>
        <v>0.8</v>
      </c>
      <c r="H46" s="71"/>
      <c r="I46" s="71">
        <f t="shared" si="43"/>
        <v>1</v>
      </c>
      <c r="J46" s="71">
        <f t="shared" si="43"/>
        <v>69.5454545454545</v>
      </c>
      <c r="K46" s="71">
        <f t="shared" si="43"/>
        <v>2.27272727272727</v>
      </c>
      <c r="L46" s="71">
        <f t="shared" si="43"/>
        <v>69.5454545454545</v>
      </c>
      <c r="M46" s="71">
        <f t="shared" si="43"/>
        <v>2.27272727272727</v>
      </c>
      <c r="N46" s="71">
        <f t="shared" si="43"/>
        <v>13</v>
      </c>
      <c r="O46" s="75">
        <v>31.54</v>
      </c>
      <c r="R46" s="61">
        <v>15</v>
      </c>
      <c r="U46" s="80" t="s">
        <v>350</v>
      </c>
      <c r="W46" s="80" t="s">
        <v>39</v>
      </c>
      <c r="X46" s="80" t="s">
        <v>40</v>
      </c>
      <c r="AE46" t="str">
        <f t="shared" si="34"/>
        <v>HSS-SpHeat_STE1</v>
      </c>
      <c r="AJ46">
        <f t="shared" si="20"/>
        <v>0.294153795762057</v>
      </c>
      <c r="AK46" s="57" t="s">
        <v>182</v>
      </c>
    </row>
    <row r="47" ht="175" spans="2:37">
      <c r="B47" s="68" t="s">
        <v>351</v>
      </c>
      <c r="C47" s="68" t="s">
        <v>328</v>
      </c>
      <c r="D47" s="68"/>
      <c r="E47" s="68" t="s">
        <v>348</v>
      </c>
      <c r="F47" s="58">
        <v>2021</v>
      </c>
      <c r="G47" s="71">
        <f t="shared" ref="G47:N47" si="44">G41</f>
        <v>0.8</v>
      </c>
      <c r="H47" s="71"/>
      <c r="I47" s="71">
        <f t="shared" si="44"/>
        <v>1</v>
      </c>
      <c r="J47" s="71">
        <f t="shared" si="44"/>
        <v>69.5454545454545</v>
      </c>
      <c r="K47" s="71">
        <f t="shared" si="44"/>
        <v>2.27272727272727</v>
      </c>
      <c r="L47" s="71">
        <f t="shared" si="44"/>
        <v>69.5454545454545</v>
      </c>
      <c r="M47" s="71">
        <f t="shared" si="44"/>
        <v>2.27272727272727</v>
      </c>
      <c r="N47" s="71">
        <f t="shared" si="44"/>
        <v>13</v>
      </c>
      <c r="O47" s="75">
        <v>31.54</v>
      </c>
      <c r="R47" s="61">
        <v>15</v>
      </c>
      <c r="U47" s="80" t="s">
        <v>351</v>
      </c>
      <c r="W47" s="80" t="s">
        <v>39</v>
      </c>
      <c r="X47" s="80" t="s">
        <v>40</v>
      </c>
      <c r="AE47" t="str">
        <f t="shared" si="34"/>
        <v>HSS-SpHeat_COA1</v>
      </c>
      <c r="AJ47">
        <f t="shared" si="20"/>
        <v>0.619201122080021</v>
      </c>
      <c r="AK47" s="57" t="s">
        <v>182</v>
      </c>
    </row>
    <row r="48" ht="175" spans="2:37">
      <c r="B48" s="68" t="s">
        <v>352</v>
      </c>
      <c r="C48" s="68" t="s">
        <v>330</v>
      </c>
      <c r="D48" s="68"/>
      <c r="E48" s="68" t="s">
        <v>348</v>
      </c>
      <c r="F48" s="58">
        <v>2021</v>
      </c>
      <c r="G48" s="71">
        <f t="shared" ref="G48:N48" si="45">G42</f>
        <v>0.98</v>
      </c>
      <c r="H48" s="71"/>
      <c r="I48" s="71">
        <f t="shared" si="45"/>
        <v>1</v>
      </c>
      <c r="J48" s="71">
        <f t="shared" si="45"/>
        <v>72.4242424242424</v>
      </c>
      <c r="K48" s="71">
        <f t="shared" si="45"/>
        <v>0.787878787878788</v>
      </c>
      <c r="L48" s="71">
        <f t="shared" si="45"/>
        <v>72.4242424242424</v>
      </c>
      <c r="M48" s="71">
        <f t="shared" si="45"/>
        <v>0.787878787878788</v>
      </c>
      <c r="N48" s="71">
        <f t="shared" si="45"/>
        <v>15</v>
      </c>
      <c r="O48" s="75">
        <v>31.54</v>
      </c>
      <c r="R48" s="61">
        <v>15</v>
      </c>
      <c r="U48" s="80" t="s">
        <v>352</v>
      </c>
      <c r="W48" s="80" t="s">
        <v>39</v>
      </c>
      <c r="X48" s="80" t="s">
        <v>40</v>
      </c>
      <c r="AE48" t="str">
        <f t="shared" si="34"/>
        <v>ART-SpHeat_ELE1</v>
      </c>
      <c r="AJ48">
        <f t="shared" si="20"/>
        <v>0.198483654420798</v>
      </c>
      <c r="AK48" s="57" t="s">
        <v>182</v>
      </c>
    </row>
    <row r="49" ht="175" spans="2:37">
      <c r="B49" s="68" t="s">
        <v>353</v>
      </c>
      <c r="C49" s="68" t="s">
        <v>332</v>
      </c>
      <c r="D49" s="68"/>
      <c r="E49" s="68" t="s">
        <v>348</v>
      </c>
      <c r="F49" s="58">
        <v>2021</v>
      </c>
      <c r="G49" s="71">
        <f t="shared" ref="G49:N49" si="46">G43</f>
        <v>0.872</v>
      </c>
      <c r="H49" s="71"/>
      <c r="I49" s="71">
        <f t="shared" si="46"/>
        <v>1</v>
      </c>
      <c r="J49" s="71">
        <f t="shared" si="46"/>
        <v>117.776210379659</v>
      </c>
      <c r="K49" s="71">
        <f t="shared" si="46"/>
        <v>2.72567049808429</v>
      </c>
      <c r="L49" s="71">
        <f t="shared" si="46"/>
        <v>117.776210379659</v>
      </c>
      <c r="M49" s="71">
        <f t="shared" si="46"/>
        <v>2.72567049808429</v>
      </c>
      <c r="N49" s="71">
        <f t="shared" si="46"/>
        <v>12.6</v>
      </c>
      <c r="O49" s="75">
        <v>31.54</v>
      </c>
      <c r="R49" s="61">
        <v>15</v>
      </c>
      <c r="U49" s="80" t="s">
        <v>353</v>
      </c>
      <c r="W49" s="80" t="s">
        <v>39</v>
      </c>
      <c r="X49" s="80" t="s">
        <v>40</v>
      </c>
      <c r="AE49" t="str">
        <f t="shared" si="34"/>
        <v>ART-SpHeat_GAS1</v>
      </c>
      <c r="AJ49">
        <f t="shared" si="20"/>
        <v>0.469468493403833</v>
      </c>
      <c r="AK49" s="57" t="s">
        <v>182</v>
      </c>
    </row>
    <row r="50" ht="175" spans="2:37">
      <c r="B50" s="68" t="s">
        <v>354</v>
      </c>
      <c r="C50" s="68" t="s">
        <v>281</v>
      </c>
      <c r="D50" s="68"/>
      <c r="E50" s="68" t="s">
        <v>355</v>
      </c>
      <c r="F50" s="58">
        <v>2021</v>
      </c>
      <c r="G50" s="71">
        <f t="shared" ref="G50:N50" si="47">G44</f>
        <v>0.98</v>
      </c>
      <c r="H50" s="71"/>
      <c r="I50" s="71">
        <f t="shared" si="47"/>
        <v>1</v>
      </c>
      <c r="J50" s="71">
        <f t="shared" si="47"/>
        <v>260.555555555556</v>
      </c>
      <c r="K50" s="71">
        <f t="shared" si="47"/>
        <v>2.77777777777778</v>
      </c>
      <c r="L50" s="71">
        <f t="shared" si="47"/>
        <v>260.555555555556</v>
      </c>
      <c r="M50" s="71">
        <f t="shared" si="47"/>
        <v>2.77777777777778</v>
      </c>
      <c r="N50" s="71">
        <f t="shared" si="47"/>
        <v>12</v>
      </c>
      <c r="O50" s="75">
        <v>31.54</v>
      </c>
      <c r="R50" s="61">
        <v>15</v>
      </c>
      <c r="U50" s="80" t="s">
        <v>354</v>
      </c>
      <c r="W50" s="80" t="s">
        <v>39</v>
      </c>
      <c r="X50" s="80" t="s">
        <v>40</v>
      </c>
      <c r="AE50" t="str">
        <f t="shared" si="34"/>
        <v>ART-SpHeat_LFO1</v>
      </c>
      <c r="AJ50">
        <f t="shared" si="20"/>
        <v>0.183615708905633</v>
      </c>
      <c r="AK50" s="57" t="s">
        <v>182</v>
      </c>
    </row>
    <row r="51" ht="175" spans="2:37">
      <c r="B51" s="68" t="s">
        <v>356</v>
      </c>
      <c r="C51" s="68" t="s">
        <v>324</v>
      </c>
      <c r="D51" s="68"/>
      <c r="E51" s="68" t="s">
        <v>355</v>
      </c>
      <c r="F51" s="58">
        <v>2021</v>
      </c>
      <c r="G51" s="71">
        <f t="shared" ref="G51:N51" si="48">G45</f>
        <v>0.8</v>
      </c>
      <c r="H51" s="71"/>
      <c r="I51" s="71">
        <f t="shared" si="48"/>
        <v>1</v>
      </c>
      <c r="J51" s="71">
        <f t="shared" si="48"/>
        <v>116.810344827586</v>
      </c>
      <c r="K51" s="71">
        <f t="shared" si="48"/>
        <v>5.51724137931035</v>
      </c>
      <c r="L51" s="71">
        <f t="shared" si="48"/>
        <v>116.810344827586</v>
      </c>
      <c r="M51" s="71">
        <f t="shared" si="48"/>
        <v>5.51724137931035</v>
      </c>
      <c r="N51" s="71">
        <f t="shared" si="48"/>
        <v>10</v>
      </c>
      <c r="O51" s="75">
        <v>31.54</v>
      </c>
      <c r="R51" s="61">
        <v>15</v>
      </c>
      <c r="U51" s="80" t="s">
        <v>356</v>
      </c>
      <c r="W51" s="80" t="s">
        <v>39</v>
      </c>
      <c r="X51" s="80" t="s">
        <v>40</v>
      </c>
      <c r="AE51" t="str">
        <f t="shared" si="34"/>
        <v>ART-SpHeat_HFO1</v>
      </c>
      <c r="AJ51">
        <f t="shared" si="20"/>
        <v>0.183615708905633</v>
      </c>
      <c r="AK51" s="57" t="s">
        <v>182</v>
      </c>
    </row>
    <row r="52" ht="175" spans="2:37">
      <c r="B52" s="68" t="s">
        <v>357</v>
      </c>
      <c r="C52" s="68" t="s">
        <v>326</v>
      </c>
      <c r="D52" s="68"/>
      <c r="E52" s="68" t="s">
        <v>355</v>
      </c>
      <c r="F52" s="58">
        <v>2021</v>
      </c>
      <c r="G52" s="71">
        <f t="shared" ref="G52:N52" si="49">G46</f>
        <v>0.8</v>
      </c>
      <c r="H52" s="71"/>
      <c r="I52" s="71">
        <f t="shared" si="49"/>
        <v>1</v>
      </c>
      <c r="J52" s="71">
        <f t="shared" si="49"/>
        <v>69.5454545454545</v>
      </c>
      <c r="K52" s="71">
        <f t="shared" si="49"/>
        <v>2.27272727272727</v>
      </c>
      <c r="L52" s="71">
        <f t="shared" si="49"/>
        <v>69.5454545454545</v>
      </c>
      <c r="M52" s="71">
        <f t="shared" si="49"/>
        <v>2.27272727272727</v>
      </c>
      <c r="N52" s="71">
        <f t="shared" si="49"/>
        <v>13</v>
      </c>
      <c r="O52" s="75">
        <v>31.54</v>
      </c>
      <c r="R52" s="61">
        <v>15</v>
      </c>
      <c r="U52" s="80" t="s">
        <v>357</v>
      </c>
      <c r="W52" s="80" t="s">
        <v>39</v>
      </c>
      <c r="X52" s="80" t="s">
        <v>40</v>
      </c>
      <c r="AE52" t="str">
        <f t="shared" si="34"/>
        <v>ART-SpHeat_STE1</v>
      </c>
      <c r="AJ52">
        <f t="shared" si="20"/>
        <v>0.294153795762057</v>
      </c>
      <c r="AK52" s="57" t="s">
        <v>182</v>
      </c>
    </row>
    <row r="53" ht="175" spans="2:37">
      <c r="B53" s="68" t="s">
        <v>358</v>
      </c>
      <c r="C53" s="68" t="s">
        <v>328</v>
      </c>
      <c r="D53" s="68"/>
      <c r="E53" s="68" t="s">
        <v>355</v>
      </c>
      <c r="F53" s="58">
        <v>2021</v>
      </c>
      <c r="G53" s="71">
        <f t="shared" ref="G53:N53" si="50">G47</f>
        <v>0.8</v>
      </c>
      <c r="H53" s="71"/>
      <c r="I53" s="71">
        <f t="shared" si="50"/>
        <v>1</v>
      </c>
      <c r="J53" s="71">
        <f t="shared" si="50"/>
        <v>69.5454545454545</v>
      </c>
      <c r="K53" s="71">
        <f t="shared" si="50"/>
        <v>2.27272727272727</v>
      </c>
      <c r="L53" s="71">
        <f t="shared" si="50"/>
        <v>69.5454545454545</v>
      </c>
      <c r="M53" s="71">
        <f t="shared" si="50"/>
        <v>2.27272727272727</v>
      </c>
      <c r="N53" s="71">
        <f t="shared" si="50"/>
        <v>13</v>
      </c>
      <c r="O53" s="75">
        <v>31.54</v>
      </c>
      <c r="R53" s="61">
        <v>15</v>
      </c>
      <c r="U53" s="80" t="s">
        <v>358</v>
      </c>
      <c r="W53" s="80" t="s">
        <v>39</v>
      </c>
      <c r="X53" s="80" t="s">
        <v>40</v>
      </c>
      <c r="AE53" t="str">
        <f t="shared" si="34"/>
        <v>ART-SpHeat_COA1</v>
      </c>
      <c r="AJ53">
        <f t="shared" si="20"/>
        <v>0.619201122080021</v>
      </c>
      <c r="AK53" s="57" t="s">
        <v>182</v>
      </c>
    </row>
    <row r="54" ht="175" spans="2:37">
      <c r="B54" s="68" t="s">
        <v>359</v>
      </c>
      <c r="C54" s="68" t="s">
        <v>330</v>
      </c>
      <c r="D54" s="68"/>
      <c r="E54" s="68" t="s">
        <v>355</v>
      </c>
      <c r="F54" s="58">
        <v>2021</v>
      </c>
      <c r="G54" s="71">
        <f t="shared" ref="G54:N54" si="51">G48</f>
        <v>0.98</v>
      </c>
      <c r="H54" s="71"/>
      <c r="I54" s="71">
        <f t="shared" si="51"/>
        <v>1</v>
      </c>
      <c r="J54" s="71">
        <f t="shared" si="51"/>
        <v>72.4242424242424</v>
      </c>
      <c r="K54" s="71">
        <f t="shared" si="51"/>
        <v>0.787878787878788</v>
      </c>
      <c r="L54" s="71">
        <f t="shared" si="51"/>
        <v>72.4242424242424</v>
      </c>
      <c r="M54" s="71">
        <f t="shared" si="51"/>
        <v>0.787878787878788</v>
      </c>
      <c r="N54" s="71">
        <f t="shared" si="51"/>
        <v>15</v>
      </c>
      <c r="O54" s="75">
        <v>31.54</v>
      </c>
      <c r="R54" s="61">
        <v>15</v>
      </c>
      <c r="U54" s="80" t="s">
        <v>359</v>
      </c>
      <c r="W54" s="80" t="s">
        <v>39</v>
      </c>
      <c r="X54" s="80" t="s">
        <v>40</v>
      </c>
      <c r="AE54" t="str">
        <f t="shared" si="34"/>
        <v>AFM-SpHeat_ELE1</v>
      </c>
      <c r="AJ54">
        <f t="shared" si="20"/>
        <v>0.198483654420798</v>
      </c>
      <c r="AK54" s="57" t="s">
        <v>182</v>
      </c>
    </row>
    <row r="55" ht="175" spans="2:37">
      <c r="B55" s="68" t="s">
        <v>360</v>
      </c>
      <c r="C55" s="68" t="s">
        <v>332</v>
      </c>
      <c r="D55" s="68"/>
      <c r="E55" s="68" t="s">
        <v>355</v>
      </c>
      <c r="F55" s="58">
        <v>2021</v>
      </c>
      <c r="G55" s="71">
        <f t="shared" ref="G55:N55" si="52">G49</f>
        <v>0.872</v>
      </c>
      <c r="H55" s="71"/>
      <c r="I55" s="71">
        <f t="shared" si="52"/>
        <v>1</v>
      </c>
      <c r="J55" s="71">
        <f t="shared" si="52"/>
        <v>117.776210379659</v>
      </c>
      <c r="K55" s="71">
        <f t="shared" si="52"/>
        <v>2.72567049808429</v>
      </c>
      <c r="L55" s="71">
        <f t="shared" si="52"/>
        <v>117.776210379659</v>
      </c>
      <c r="M55" s="71">
        <f t="shared" si="52"/>
        <v>2.72567049808429</v>
      </c>
      <c r="N55" s="71">
        <f t="shared" si="52"/>
        <v>12.6</v>
      </c>
      <c r="O55" s="75">
        <v>31.54</v>
      </c>
      <c r="R55" s="61">
        <v>15</v>
      </c>
      <c r="U55" s="80" t="s">
        <v>360</v>
      </c>
      <c r="W55" s="80" t="s">
        <v>39</v>
      </c>
      <c r="X55" s="80" t="s">
        <v>40</v>
      </c>
      <c r="AE55" t="str">
        <f t="shared" si="34"/>
        <v>AFM-SpHeat_GAS1</v>
      </c>
      <c r="AJ55">
        <f t="shared" si="20"/>
        <v>0.469468493403833</v>
      </c>
      <c r="AK55" s="57" t="s">
        <v>182</v>
      </c>
    </row>
    <row r="56" ht="175" spans="2:37">
      <c r="B56" s="68" t="s">
        <v>361</v>
      </c>
      <c r="C56" s="68" t="s">
        <v>281</v>
      </c>
      <c r="D56" s="68"/>
      <c r="E56" s="68" t="s">
        <v>362</v>
      </c>
      <c r="F56" s="58">
        <v>2021</v>
      </c>
      <c r="G56" s="71">
        <f t="shared" ref="G56:N56" si="53">G50</f>
        <v>0.98</v>
      </c>
      <c r="H56" s="71"/>
      <c r="I56" s="71">
        <f t="shared" si="53"/>
        <v>1</v>
      </c>
      <c r="J56" s="71">
        <f t="shared" si="53"/>
        <v>260.555555555556</v>
      </c>
      <c r="K56" s="71">
        <f t="shared" si="53"/>
        <v>2.77777777777778</v>
      </c>
      <c r="L56" s="71">
        <f t="shared" si="53"/>
        <v>260.555555555556</v>
      </c>
      <c r="M56" s="71">
        <f t="shared" si="53"/>
        <v>2.77777777777778</v>
      </c>
      <c r="N56" s="71">
        <f t="shared" si="53"/>
        <v>12</v>
      </c>
      <c r="O56" s="75">
        <v>31.54</v>
      </c>
      <c r="R56" s="61">
        <v>15</v>
      </c>
      <c r="U56" s="80" t="s">
        <v>361</v>
      </c>
      <c r="W56" s="80" t="s">
        <v>39</v>
      </c>
      <c r="X56" s="80" t="s">
        <v>40</v>
      </c>
      <c r="AE56" t="str">
        <f t="shared" ref="AE56:AE71" si="54">B196</f>
        <v>AFM-SpHeat_LFO1</v>
      </c>
      <c r="AJ56">
        <f t="shared" si="20"/>
        <v>0.183615708905633</v>
      </c>
      <c r="AK56" s="57" t="s">
        <v>182</v>
      </c>
    </row>
    <row r="57" ht="175" spans="2:37">
      <c r="B57" s="68" t="s">
        <v>363</v>
      </c>
      <c r="C57" s="68" t="s">
        <v>324</v>
      </c>
      <c r="D57" s="68"/>
      <c r="E57" s="68" t="s">
        <v>362</v>
      </c>
      <c r="F57" s="58">
        <v>2021</v>
      </c>
      <c r="G57" s="71">
        <f t="shared" ref="G57:N57" si="55">G51</f>
        <v>0.8</v>
      </c>
      <c r="H57" s="71"/>
      <c r="I57" s="71">
        <f t="shared" si="55"/>
        <v>1</v>
      </c>
      <c r="J57" s="71">
        <f t="shared" si="55"/>
        <v>116.810344827586</v>
      </c>
      <c r="K57" s="71">
        <f t="shared" si="55"/>
        <v>5.51724137931035</v>
      </c>
      <c r="L57" s="71">
        <f t="shared" si="55"/>
        <v>116.810344827586</v>
      </c>
      <c r="M57" s="71">
        <f t="shared" si="55"/>
        <v>5.51724137931035</v>
      </c>
      <c r="N57" s="71">
        <f t="shared" si="55"/>
        <v>10</v>
      </c>
      <c r="O57" s="75">
        <v>31.54</v>
      </c>
      <c r="R57" s="61">
        <v>15</v>
      </c>
      <c r="U57" s="80" t="s">
        <v>363</v>
      </c>
      <c r="W57" s="80" t="s">
        <v>39</v>
      </c>
      <c r="X57" s="80" t="s">
        <v>40</v>
      </c>
      <c r="AE57" t="str">
        <f t="shared" si="54"/>
        <v>AFM-SpHeat_HFO1</v>
      </c>
      <c r="AJ57">
        <f t="shared" si="20"/>
        <v>0.183615708905633</v>
      </c>
      <c r="AK57" s="57" t="s">
        <v>182</v>
      </c>
    </row>
    <row r="58" ht="175" spans="2:37">
      <c r="B58" s="68" t="s">
        <v>364</v>
      </c>
      <c r="C58" s="68" t="s">
        <v>326</v>
      </c>
      <c r="D58" s="68"/>
      <c r="E58" s="68" t="s">
        <v>362</v>
      </c>
      <c r="F58" s="58">
        <v>2021</v>
      </c>
      <c r="G58" s="71">
        <f t="shared" ref="G58:N58" si="56">G52</f>
        <v>0.8</v>
      </c>
      <c r="H58" s="71"/>
      <c r="I58" s="71">
        <f t="shared" si="56"/>
        <v>1</v>
      </c>
      <c r="J58" s="71">
        <f t="shared" si="56"/>
        <v>69.5454545454545</v>
      </c>
      <c r="K58" s="71">
        <f t="shared" si="56"/>
        <v>2.27272727272727</v>
      </c>
      <c r="L58" s="71">
        <f t="shared" si="56"/>
        <v>69.5454545454545</v>
      </c>
      <c r="M58" s="71">
        <f t="shared" si="56"/>
        <v>2.27272727272727</v>
      </c>
      <c r="N58" s="71">
        <f t="shared" si="56"/>
        <v>13</v>
      </c>
      <c r="O58" s="75">
        <v>31.54</v>
      </c>
      <c r="R58" s="61">
        <v>15</v>
      </c>
      <c r="U58" s="80" t="s">
        <v>364</v>
      </c>
      <c r="W58" s="80" t="s">
        <v>39</v>
      </c>
      <c r="X58" s="80" t="s">
        <v>40</v>
      </c>
      <c r="AE58" t="str">
        <f t="shared" si="54"/>
        <v>AFM-SpHeat_STE1</v>
      </c>
      <c r="AJ58">
        <f t="shared" si="20"/>
        <v>0.294153795762057</v>
      </c>
      <c r="AK58" s="57" t="s">
        <v>182</v>
      </c>
    </row>
    <row r="59" ht="175" spans="2:37">
      <c r="B59" s="68" t="s">
        <v>365</v>
      </c>
      <c r="C59" s="68" t="s">
        <v>328</v>
      </c>
      <c r="D59" s="68"/>
      <c r="E59" s="68" t="s">
        <v>362</v>
      </c>
      <c r="F59" s="58">
        <v>2021</v>
      </c>
      <c r="G59" s="71">
        <f t="shared" ref="G59:N59" si="57">G53</f>
        <v>0.8</v>
      </c>
      <c r="H59" s="71"/>
      <c r="I59" s="71">
        <f t="shared" si="57"/>
        <v>1</v>
      </c>
      <c r="J59" s="71">
        <f t="shared" si="57"/>
        <v>69.5454545454545</v>
      </c>
      <c r="K59" s="71">
        <f t="shared" si="57"/>
        <v>2.27272727272727</v>
      </c>
      <c r="L59" s="71">
        <f t="shared" si="57"/>
        <v>69.5454545454545</v>
      </c>
      <c r="M59" s="71">
        <f t="shared" si="57"/>
        <v>2.27272727272727</v>
      </c>
      <c r="N59" s="71">
        <f t="shared" si="57"/>
        <v>13</v>
      </c>
      <c r="O59" s="75">
        <v>31.54</v>
      </c>
      <c r="R59" s="61">
        <v>15</v>
      </c>
      <c r="U59" s="80" t="s">
        <v>365</v>
      </c>
      <c r="W59" s="80" t="s">
        <v>39</v>
      </c>
      <c r="X59" s="80" t="s">
        <v>40</v>
      </c>
      <c r="AE59" t="str">
        <f t="shared" si="54"/>
        <v>AFM-SpHeat_COA1</v>
      </c>
      <c r="AJ59">
        <f t="shared" si="20"/>
        <v>0.619201122080021</v>
      </c>
      <c r="AK59" s="57" t="s">
        <v>182</v>
      </c>
    </row>
    <row r="60" ht="175" spans="2:37">
      <c r="B60" s="68" t="s">
        <v>366</v>
      </c>
      <c r="C60" s="68" t="s">
        <v>330</v>
      </c>
      <c r="D60" s="68"/>
      <c r="E60" s="68" t="s">
        <v>362</v>
      </c>
      <c r="F60" s="58">
        <v>2021</v>
      </c>
      <c r="G60" s="71">
        <f t="shared" ref="G60:N60" si="58">G54</f>
        <v>0.98</v>
      </c>
      <c r="H60" s="71"/>
      <c r="I60" s="71">
        <f t="shared" si="58"/>
        <v>1</v>
      </c>
      <c r="J60" s="71">
        <f t="shared" si="58"/>
        <v>72.4242424242424</v>
      </c>
      <c r="K60" s="71">
        <f t="shared" si="58"/>
        <v>0.787878787878788</v>
      </c>
      <c r="L60" s="71">
        <f t="shared" si="58"/>
        <v>72.4242424242424</v>
      </c>
      <c r="M60" s="71">
        <f t="shared" si="58"/>
        <v>0.787878787878788</v>
      </c>
      <c r="N60" s="71">
        <f t="shared" si="58"/>
        <v>15</v>
      </c>
      <c r="O60" s="75">
        <v>31.54</v>
      </c>
      <c r="R60" s="61">
        <v>15</v>
      </c>
      <c r="U60" s="80" t="s">
        <v>366</v>
      </c>
      <c r="W60" s="80" t="s">
        <v>39</v>
      </c>
      <c r="X60" s="80" t="s">
        <v>40</v>
      </c>
      <c r="AE60" t="str">
        <f t="shared" si="54"/>
        <v>OTH-SpHeat_ELE1</v>
      </c>
      <c r="AJ60">
        <f t="shared" si="20"/>
        <v>0.198483654420798</v>
      </c>
      <c r="AK60" s="57" t="s">
        <v>182</v>
      </c>
    </row>
    <row r="61" ht="175" spans="2:37">
      <c r="B61" s="68" t="s">
        <v>367</v>
      </c>
      <c r="C61" s="68" t="s">
        <v>332</v>
      </c>
      <c r="D61" s="68"/>
      <c r="E61" s="68" t="s">
        <v>362</v>
      </c>
      <c r="F61" s="58">
        <v>2021</v>
      </c>
      <c r="G61" s="71">
        <f t="shared" ref="G61:N61" si="59">G55</f>
        <v>0.872</v>
      </c>
      <c r="H61" s="71"/>
      <c r="I61" s="71">
        <f t="shared" si="59"/>
        <v>1</v>
      </c>
      <c r="J61" s="71">
        <f t="shared" si="59"/>
        <v>117.776210379659</v>
      </c>
      <c r="K61" s="71">
        <f t="shared" si="59"/>
        <v>2.72567049808429</v>
      </c>
      <c r="L61" s="71">
        <f t="shared" si="59"/>
        <v>117.776210379659</v>
      </c>
      <c r="M61" s="71">
        <f t="shared" si="59"/>
        <v>2.72567049808429</v>
      </c>
      <c r="N61" s="71">
        <f t="shared" si="59"/>
        <v>12.6</v>
      </c>
      <c r="O61" s="75">
        <v>31.54</v>
      </c>
      <c r="R61" s="61">
        <v>15</v>
      </c>
      <c r="U61" s="80" t="s">
        <v>367</v>
      </c>
      <c r="W61" s="80" t="s">
        <v>39</v>
      </c>
      <c r="X61" s="80" t="s">
        <v>40</v>
      </c>
      <c r="AE61" t="str">
        <f t="shared" si="54"/>
        <v>OTH-SpHeat_GAS1</v>
      </c>
      <c r="AJ61">
        <f t="shared" si="20"/>
        <v>0.469468493403833</v>
      </c>
      <c r="AK61" s="57" t="s">
        <v>182</v>
      </c>
    </row>
    <row r="62" ht="175" spans="2:37">
      <c r="B62" s="68" t="s">
        <v>368</v>
      </c>
      <c r="C62" s="68" t="s">
        <v>281</v>
      </c>
      <c r="D62" s="68"/>
      <c r="E62" s="68" t="s">
        <v>369</v>
      </c>
      <c r="F62" s="58">
        <v>2021</v>
      </c>
      <c r="G62" s="71">
        <f t="shared" ref="G62:N62" si="60">G56</f>
        <v>0.98</v>
      </c>
      <c r="H62" s="71"/>
      <c r="I62" s="71">
        <f t="shared" si="60"/>
        <v>1</v>
      </c>
      <c r="J62" s="71">
        <f t="shared" si="60"/>
        <v>260.555555555556</v>
      </c>
      <c r="K62" s="71">
        <f t="shared" si="60"/>
        <v>2.77777777777778</v>
      </c>
      <c r="L62" s="71">
        <f t="shared" si="60"/>
        <v>260.555555555556</v>
      </c>
      <c r="M62" s="71">
        <f t="shared" si="60"/>
        <v>2.77777777777778</v>
      </c>
      <c r="N62" s="71">
        <f t="shared" si="60"/>
        <v>12</v>
      </c>
      <c r="O62" s="75">
        <v>31.54</v>
      </c>
      <c r="R62" s="61">
        <v>15</v>
      </c>
      <c r="U62" s="80" t="s">
        <v>368</v>
      </c>
      <c r="W62" s="80" t="s">
        <v>39</v>
      </c>
      <c r="X62" s="80" t="s">
        <v>40</v>
      </c>
      <c r="AE62" t="str">
        <f t="shared" si="54"/>
        <v>OTH-SpHeat_LFO1</v>
      </c>
      <c r="AJ62">
        <f t="shared" si="20"/>
        <v>0.183615708905633</v>
      </c>
      <c r="AK62" s="57" t="s">
        <v>182</v>
      </c>
    </row>
    <row r="63" ht="175" spans="2:37">
      <c r="B63" s="68" t="s">
        <v>370</v>
      </c>
      <c r="C63" s="68" t="s">
        <v>324</v>
      </c>
      <c r="D63" s="68"/>
      <c r="E63" s="68" t="s">
        <v>369</v>
      </c>
      <c r="F63" s="58">
        <v>2021</v>
      </c>
      <c r="G63" s="71">
        <f t="shared" ref="G63:N63" si="61">G57</f>
        <v>0.8</v>
      </c>
      <c r="H63" s="71"/>
      <c r="I63" s="71">
        <f t="shared" si="61"/>
        <v>1</v>
      </c>
      <c r="J63" s="71">
        <f t="shared" si="61"/>
        <v>116.810344827586</v>
      </c>
      <c r="K63" s="71">
        <f t="shared" si="61"/>
        <v>5.51724137931035</v>
      </c>
      <c r="L63" s="71">
        <f t="shared" si="61"/>
        <v>116.810344827586</v>
      </c>
      <c r="M63" s="71">
        <f t="shared" si="61"/>
        <v>5.51724137931035</v>
      </c>
      <c r="N63" s="71">
        <f t="shared" si="61"/>
        <v>10</v>
      </c>
      <c r="O63" s="75">
        <v>31.54</v>
      </c>
      <c r="R63" s="61">
        <v>15</v>
      </c>
      <c r="U63" s="80" t="s">
        <v>370</v>
      </c>
      <c r="W63" s="80" t="s">
        <v>39</v>
      </c>
      <c r="X63" s="80" t="s">
        <v>40</v>
      </c>
      <c r="AE63" t="str">
        <f t="shared" si="54"/>
        <v>OTH-SpHeat_HFO1</v>
      </c>
      <c r="AJ63">
        <f t="shared" si="20"/>
        <v>0.183615708905633</v>
      </c>
      <c r="AK63" s="57" t="s">
        <v>182</v>
      </c>
    </row>
    <row r="64" ht="175" spans="2:37">
      <c r="B64" s="68" t="s">
        <v>371</v>
      </c>
      <c r="C64" s="68" t="s">
        <v>326</v>
      </c>
      <c r="D64" s="68"/>
      <c r="E64" s="68" t="s">
        <v>369</v>
      </c>
      <c r="F64" s="58">
        <v>2021</v>
      </c>
      <c r="G64" s="71">
        <f t="shared" ref="G64:N64" si="62">G58</f>
        <v>0.8</v>
      </c>
      <c r="H64" s="71"/>
      <c r="I64" s="71">
        <f t="shared" si="62"/>
        <v>1</v>
      </c>
      <c r="J64" s="71">
        <f t="shared" si="62"/>
        <v>69.5454545454545</v>
      </c>
      <c r="K64" s="71">
        <f t="shared" si="62"/>
        <v>2.27272727272727</v>
      </c>
      <c r="L64" s="71">
        <f t="shared" si="62"/>
        <v>69.5454545454545</v>
      </c>
      <c r="M64" s="71">
        <f t="shared" si="62"/>
        <v>2.27272727272727</v>
      </c>
      <c r="N64" s="71">
        <f t="shared" si="62"/>
        <v>13</v>
      </c>
      <c r="O64" s="75">
        <v>31.54</v>
      </c>
      <c r="R64" s="61">
        <v>15</v>
      </c>
      <c r="U64" s="80" t="s">
        <v>371</v>
      </c>
      <c r="W64" s="80" t="s">
        <v>39</v>
      </c>
      <c r="X64" s="80" t="s">
        <v>40</v>
      </c>
      <c r="AE64" t="str">
        <f t="shared" si="54"/>
        <v>OTH-SpHeat_STE1</v>
      </c>
      <c r="AJ64">
        <f t="shared" si="20"/>
        <v>0.294153795762057</v>
      </c>
      <c r="AK64" s="57" t="s">
        <v>182</v>
      </c>
    </row>
    <row r="65" ht="175" spans="2:37">
      <c r="B65" s="68" t="s">
        <v>372</v>
      </c>
      <c r="C65" s="68" t="s">
        <v>328</v>
      </c>
      <c r="D65" s="68"/>
      <c r="E65" s="68" t="s">
        <v>369</v>
      </c>
      <c r="F65" s="58">
        <v>2021</v>
      </c>
      <c r="G65" s="71">
        <f t="shared" ref="G65:N65" si="63">G59</f>
        <v>0.8</v>
      </c>
      <c r="H65" s="71"/>
      <c r="I65" s="71">
        <f t="shared" si="63"/>
        <v>1</v>
      </c>
      <c r="J65" s="71">
        <f t="shared" si="63"/>
        <v>69.5454545454545</v>
      </c>
      <c r="K65" s="71">
        <f t="shared" si="63"/>
        <v>2.27272727272727</v>
      </c>
      <c r="L65" s="71">
        <f t="shared" si="63"/>
        <v>69.5454545454545</v>
      </c>
      <c r="M65" s="71">
        <f t="shared" si="63"/>
        <v>2.27272727272727</v>
      </c>
      <c r="N65" s="71">
        <f t="shared" si="63"/>
        <v>13</v>
      </c>
      <c r="O65" s="75">
        <v>31.54</v>
      </c>
      <c r="R65" s="61">
        <v>15</v>
      </c>
      <c r="U65" s="80" t="s">
        <v>372</v>
      </c>
      <c r="W65" s="80" t="s">
        <v>39</v>
      </c>
      <c r="X65" s="80" t="s">
        <v>40</v>
      </c>
      <c r="AE65" t="str">
        <f t="shared" si="54"/>
        <v>OTH-SpHeat_COA1</v>
      </c>
      <c r="AJ65">
        <f t="shared" si="20"/>
        <v>0.619201122080021</v>
      </c>
      <c r="AK65" s="57" t="s">
        <v>182</v>
      </c>
    </row>
    <row r="66" ht="137.5" spans="2:37">
      <c r="B66" s="68" t="s">
        <v>373</v>
      </c>
      <c r="C66" s="68" t="s">
        <v>330</v>
      </c>
      <c r="D66" s="68"/>
      <c r="E66" s="68" t="s">
        <v>369</v>
      </c>
      <c r="F66" s="58">
        <v>2021</v>
      </c>
      <c r="G66" s="71">
        <f t="shared" ref="G66:N66" si="64">G60</f>
        <v>0.98</v>
      </c>
      <c r="H66" s="71"/>
      <c r="I66" s="71">
        <f t="shared" si="64"/>
        <v>1</v>
      </c>
      <c r="J66" s="71">
        <f t="shared" si="64"/>
        <v>72.4242424242424</v>
      </c>
      <c r="K66" s="71">
        <f t="shared" si="64"/>
        <v>0.787878787878788</v>
      </c>
      <c r="L66" s="71">
        <f t="shared" si="64"/>
        <v>72.4242424242424</v>
      </c>
      <c r="M66" s="71">
        <f t="shared" si="64"/>
        <v>0.787878787878788</v>
      </c>
      <c r="N66" s="71">
        <f t="shared" si="64"/>
        <v>15</v>
      </c>
      <c r="O66" s="75">
        <v>31.54</v>
      </c>
      <c r="R66" s="61">
        <v>15</v>
      </c>
      <c r="U66" s="80" t="s">
        <v>373</v>
      </c>
      <c r="W66" s="80" t="s">
        <v>39</v>
      </c>
      <c r="X66" s="80" t="s">
        <v>40</v>
      </c>
      <c r="AE66" t="str">
        <f t="shared" si="54"/>
        <v>WST-SpCool_ELE1</v>
      </c>
      <c r="AJ66">
        <f>'[7]TechSpaceCooling-COM'!$U$79</f>
        <v>0.0134159728442635</v>
      </c>
      <c r="AK66" s="57" t="s">
        <v>183</v>
      </c>
    </row>
    <row r="67" ht="137.5" spans="2:37">
      <c r="B67" s="68" t="s">
        <v>374</v>
      </c>
      <c r="C67" s="68" t="s">
        <v>332</v>
      </c>
      <c r="D67" s="68"/>
      <c r="E67" s="68" t="s">
        <v>369</v>
      </c>
      <c r="F67" s="58">
        <v>2021</v>
      </c>
      <c r="G67" s="71">
        <f t="shared" ref="G67:N67" si="65">G61</f>
        <v>0.872</v>
      </c>
      <c r="H67" s="71"/>
      <c r="I67" s="71">
        <f t="shared" si="65"/>
        <v>1</v>
      </c>
      <c r="J67" s="71">
        <f t="shared" si="65"/>
        <v>117.776210379659</v>
      </c>
      <c r="K67" s="71">
        <f t="shared" si="65"/>
        <v>2.72567049808429</v>
      </c>
      <c r="L67" s="71">
        <f t="shared" si="65"/>
        <v>117.776210379659</v>
      </c>
      <c r="M67" s="71">
        <f t="shared" si="65"/>
        <v>2.72567049808429</v>
      </c>
      <c r="N67" s="71">
        <f t="shared" si="65"/>
        <v>12.6</v>
      </c>
      <c r="O67" s="75">
        <v>31.54</v>
      </c>
      <c r="R67" s="61">
        <v>15</v>
      </c>
      <c r="U67" s="80" t="s">
        <v>374</v>
      </c>
      <c r="W67" s="80" t="s">
        <v>39</v>
      </c>
      <c r="X67" s="80" t="s">
        <v>40</v>
      </c>
      <c r="AE67" t="str">
        <f t="shared" si="54"/>
        <v>WST-SpCool_GAS1</v>
      </c>
      <c r="AJ67">
        <f>'[7]TechSpaceCooling-COM'!$U$80</f>
        <v>0.0134159728442635</v>
      </c>
      <c r="AK67" s="57" t="s">
        <v>183</v>
      </c>
    </row>
    <row r="68" ht="137.5" spans="2:37">
      <c r="B68" s="68" t="s">
        <v>375</v>
      </c>
      <c r="C68" s="68" t="s">
        <v>281</v>
      </c>
      <c r="D68" s="68"/>
      <c r="E68" s="68" t="s">
        <v>376</v>
      </c>
      <c r="F68" s="58">
        <v>2021</v>
      </c>
      <c r="G68" s="71">
        <f t="shared" ref="G68:N68" si="66">G62</f>
        <v>0.98</v>
      </c>
      <c r="H68" s="71"/>
      <c r="I68" s="71">
        <f t="shared" si="66"/>
        <v>1</v>
      </c>
      <c r="J68" s="71">
        <f t="shared" si="66"/>
        <v>260.555555555556</v>
      </c>
      <c r="K68" s="71">
        <f t="shared" si="66"/>
        <v>2.77777777777778</v>
      </c>
      <c r="L68" s="71">
        <f t="shared" si="66"/>
        <v>260.555555555556</v>
      </c>
      <c r="M68" s="71">
        <f t="shared" si="66"/>
        <v>2.77777777777778</v>
      </c>
      <c r="N68" s="71">
        <f t="shared" si="66"/>
        <v>12</v>
      </c>
      <c r="O68" s="75">
        <v>31.54</v>
      </c>
      <c r="R68" s="61">
        <v>15</v>
      </c>
      <c r="U68" s="80" t="s">
        <v>375</v>
      </c>
      <c r="W68" s="80" t="s">
        <v>39</v>
      </c>
      <c r="X68" s="80" t="s">
        <v>40</v>
      </c>
      <c r="AE68" t="str">
        <f t="shared" si="54"/>
        <v>RTS-SpCool_ELE1</v>
      </c>
      <c r="AJ68">
        <f>AJ66</f>
        <v>0.0134159728442635</v>
      </c>
      <c r="AK68" s="57" t="s">
        <v>183</v>
      </c>
    </row>
    <row r="69" ht="137.5" spans="2:37">
      <c r="B69" s="68" t="s">
        <v>377</v>
      </c>
      <c r="C69" s="68" t="s">
        <v>324</v>
      </c>
      <c r="D69" s="68"/>
      <c r="E69" s="68" t="s">
        <v>376</v>
      </c>
      <c r="F69" s="58">
        <v>2021</v>
      </c>
      <c r="G69" s="71">
        <f t="shared" ref="G69:N69" si="67">G63</f>
        <v>0.8</v>
      </c>
      <c r="H69" s="71"/>
      <c r="I69" s="71">
        <f t="shared" si="67"/>
        <v>1</v>
      </c>
      <c r="J69" s="71">
        <f t="shared" si="67"/>
        <v>116.810344827586</v>
      </c>
      <c r="K69" s="71">
        <f t="shared" si="67"/>
        <v>5.51724137931035</v>
      </c>
      <c r="L69" s="71">
        <f t="shared" si="67"/>
        <v>116.810344827586</v>
      </c>
      <c r="M69" s="71">
        <f t="shared" si="67"/>
        <v>5.51724137931035</v>
      </c>
      <c r="N69" s="71">
        <f t="shared" si="67"/>
        <v>10</v>
      </c>
      <c r="O69" s="75">
        <v>31.54</v>
      </c>
      <c r="R69" s="61">
        <v>15</v>
      </c>
      <c r="U69" s="80" t="s">
        <v>377</v>
      </c>
      <c r="W69" s="80" t="s">
        <v>39</v>
      </c>
      <c r="X69" s="80" t="s">
        <v>40</v>
      </c>
      <c r="AE69" t="str">
        <f t="shared" si="54"/>
        <v>RTS-SpCool_GAS1</v>
      </c>
      <c r="AJ69">
        <f>AJ67</f>
        <v>0.0134159728442635</v>
      </c>
      <c r="AK69" s="57" t="s">
        <v>183</v>
      </c>
    </row>
    <row r="70" ht="137.5" spans="2:37">
      <c r="B70" s="68" t="s">
        <v>378</v>
      </c>
      <c r="C70" s="68" t="s">
        <v>326</v>
      </c>
      <c r="D70" s="68"/>
      <c r="E70" s="68" t="s">
        <v>376</v>
      </c>
      <c r="F70" s="58">
        <v>2021</v>
      </c>
      <c r="G70" s="71">
        <f t="shared" ref="G70:N70" si="68">G64</f>
        <v>0.8</v>
      </c>
      <c r="H70" s="71"/>
      <c r="I70" s="71">
        <f t="shared" si="68"/>
        <v>1</v>
      </c>
      <c r="J70" s="71">
        <f t="shared" si="68"/>
        <v>69.5454545454545</v>
      </c>
      <c r="K70" s="71">
        <f t="shared" si="68"/>
        <v>2.27272727272727</v>
      </c>
      <c r="L70" s="71">
        <f t="shared" si="68"/>
        <v>69.5454545454545</v>
      </c>
      <c r="M70" s="71">
        <f t="shared" si="68"/>
        <v>2.27272727272727</v>
      </c>
      <c r="N70" s="71">
        <f t="shared" si="68"/>
        <v>13</v>
      </c>
      <c r="O70" s="75">
        <v>31.54</v>
      </c>
      <c r="R70" s="61">
        <v>15</v>
      </c>
      <c r="U70" s="80" t="s">
        <v>378</v>
      </c>
      <c r="W70" s="80" t="s">
        <v>39</v>
      </c>
      <c r="X70" s="80" t="s">
        <v>40</v>
      </c>
      <c r="AE70" t="str">
        <f t="shared" si="54"/>
        <v>TWS-SpCool_ELE1</v>
      </c>
      <c r="AJ70">
        <f t="shared" ref="AJ70:AJ85" si="69">AJ68</f>
        <v>0.0134159728442635</v>
      </c>
      <c r="AK70" s="57" t="s">
        <v>183</v>
      </c>
    </row>
    <row r="71" ht="137.5" spans="2:37">
      <c r="B71" s="68" t="s">
        <v>379</v>
      </c>
      <c r="C71" s="68" t="s">
        <v>328</v>
      </c>
      <c r="D71" s="68"/>
      <c r="E71" s="68" t="s">
        <v>376</v>
      </c>
      <c r="F71" s="58">
        <v>2021</v>
      </c>
      <c r="G71" s="71">
        <f t="shared" ref="G71:N71" si="70">G65</f>
        <v>0.8</v>
      </c>
      <c r="H71" s="71"/>
      <c r="I71" s="71">
        <f t="shared" si="70"/>
        <v>1</v>
      </c>
      <c r="J71" s="71">
        <f t="shared" si="70"/>
        <v>69.5454545454545</v>
      </c>
      <c r="K71" s="71">
        <f t="shared" si="70"/>
        <v>2.27272727272727</v>
      </c>
      <c r="L71" s="71">
        <f t="shared" si="70"/>
        <v>69.5454545454545</v>
      </c>
      <c r="M71" s="71">
        <f t="shared" si="70"/>
        <v>2.27272727272727</v>
      </c>
      <c r="N71" s="71">
        <f t="shared" si="70"/>
        <v>13</v>
      </c>
      <c r="O71" s="75">
        <v>31.54</v>
      </c>
      <c r="R71" s="61">
        <v>15</v>
      </c>
      <c r="U71" s="80" t="s">
        <v>379</v>
      </c>
      <c r="W71" s="80" t="s">
        <v>39</v>
      </c>
      <c r="X71" s="80" t="s">
        <v>40</v>
      </c>
      <c r="AE71" t="str">
        <f t="shared" si="54"/>
        <v>TWS-SpCool_GAS1</v>
      </c>
      <c r="AJ71">
        <f t="shared" si="69"/>
        <v>0.0134159728442635</v>
      </c>
      <c r="AK71" s="57" t="s">
        <v>183</v>
      </c>
    </row>
    <row r="72" ht="137.5" spans="2:37">
      <c r="B72" s="68" t="s">
        <v>380</v>
      </c>
      <c r="C72" s="68" t="s">
        <v>330</v>
      </c>
      <c r="D72" s="68"/>
      <c r="E72" s="68" t="s">
        <v>376</v>
      </c>
      <c r="F72" s="58">
        <v>2021</v>
      </c>
      <c r="G72" s="71">
        <f t="shared" ref="G72:N72" si="71">G66</f>
        <v>0.98</v>
      </c>
      <c r="H72" s="71"/>
      <c r="I72" s="71">
        <f t="shared" si="71"/>
        <v>1</v>
      </c>
      <c r="J72" s="71">
        <f t="shared" si="71"/>
        <v>72.4242424242424</v>
      </c>
      <c r="K72" s="71">
        <f t="shared" si="71"/>
        <v>0.787878787878788</v>
      </c>
      <c r="L72" s="71">
        <f t="shared" si="71"/>
        <v>72.4242424242424</v>
      </c>
      <c r="M72" s="71">
        <f t="shared" si="71"/>
        <v>0.787878787878788</v>
      </c>
      <c r="N72" s="71">
        <f t="shared" si="71"/>
        <v>15</v>
      </c>
      <c r="O72" s="75">
        <v>31.54</v>
      </c>
      <c r="R72" s="61">
        <v>15</v>
      </c>
      <c r="U72" s="80" t="s">
        <v>380</v>
      </c>
      <c r="W72" s="80" t="s">
        <v>39</v>
      </c>
      <c r="X72" s="80" t="s">
        <v>40</v>
      </c>
      <c r="AE72" t="str">
        <f t="shared" ref="AE72:AE85" si="72">B212</f>
        <v>ICS-SpCool_ELE1</v>
      </c>
      <c r="AJ72">
        <f t="shared" si="69"/>
        <v>0.0134159728442635</v>
      </c>
      <c r="AK72" s="57" t="s">
        <v>183</v>
      </c>
    </row>
    <row r="73" ht="137.5" spans="2:37">
      <c r="B73" s="68" t="s">
        <v>381</v>
      </c>
      <c r="C73" s="68" t="s">
        <v>332</v>
      </c>
      <c r="D73" s="68"/>
      <c r="E73" s="68" t="s">
        <v>376</v>
      </c>
      <c r="F73" s="58">
        <v>2021</v>
      </c>
      <c r="G73" s="71">
        <f t="shared" ref="G73:N73" si="73">G67</f>
        <v>0.872</v>
      </c>
      <c r="H73" s="71"/>
      <c r="I73" s="71">
        <f t="shared" si="73"/>
        <v>1</v>
      </c>
      <c r="J73" s="71">
        <f t="shared" si="73"/>
        <v>117.776210379659</v>
      </c>
      <c r="K73" s="71">
        <f t="shared" si="73"/>
        <v>2.72567049808429</v>
      </c>
      <c r="L73" s="71">
        <f t="shared" si="73"/>
        <v>117.776210379659</v>
      </c>
      <c r="M73" s="71">
        <f t="shared" si="73"/>
        <v>2.72567049808429</v>
      </c>
      <c r="N73" s="71">
        <f t="shared" si="73"/>
        <v>12.6</v>
      </c>
      <c r="O73" s="75">
        <v>31.54</v>
      </c>
      <c r="R73" s="61">
        <v>15</v>
      </c>
      <c r="U73" s="80" t="s">
        <v>381</v>
      </c>
      <c r="W73" s="80" t="s">
        <v>39</v>
      </c>
      <c r="X73" s="80" t="s">
        <v>40</v>
      </c>
      <c r="AE73" t="str">
        <f t="shared" si="72"/>
        <v>ICS-SpCool_GAS1</v>
      </c>
      <c r="AJ73">
        <f t="shared" si="69"/>
        <v>0.0134159728442635</v>
      </c>
      <c r="AK73" s="57" t="s">
        <v>183</v>
      </c>
    </row>
    <row r="74" ht="137.5" spans="2:37">
      <c r="B74" s="68" t="s">
        <v>382</v>
      </c>
      <c r="C74" s="68" t="s">
        <v>281</v>
      </c>
      <c r="D74" s="68"/>
      <c r="E74" s="68" t="s">
        <v>383</v>
      </c>
      <c r="F74" s="58">
        <v>2021</v>
      </c>
      <c r="G74" s="71">
        <f t="shared" ref="G74:N74" si="74">G68</f>
        <v>0.98</v>
      </c>
      <c r="H74" s="71"/>
      <c r="I74" s="71">
        <f t="shared" si="74"/>
        <v>1</v>
      </c>
      <c r="J74" s="71">
        <f t="shared" si="74"/>
        <v>260.555555555556</v>
      </c>
      <c r="K74" s="71">
        <f t="shared" si="74"/>
        <v>2.77777777777778</v>
      </c>
      <c r="L74" s="71">
        <f t="shared" si="74"/>
        <v>260.555555555556</v>
      </c>
      <c r="M74" s="71">
        <f t="shared" si="74"/>
        <v>2.77777777777778</v>
      </c>
      <c r="N74" s="71">
        <f t="shared" si="74"/>
        <v>12</v>
      </c>
      <c r="O74" s="75">
        <v>31.54</v>
      </c>
      <c r="R74" s="61">
        <v>15</v>
      </c>
      <c r="U74" s="80" t="s">
        <v>382</v>
      </c>
      <c r="W74" s="80" t="s">
        <v>39</v>
      </c>
      <c r="X74" s="80" t="s">
        <v>40</v>
      </c>
      <c r="AE74" t="str">
        <f t="shared" si="72"/>
        <v>OS-SpCool_ELE1</v>
      </c>
      <c r="AJ74">
        <f t="shared" si="69"/>
        <v>0.0134159728442635</v>
      </c>
      <c r="AK74" s="57" t="s">
        <v>183</v>
      </c>
    </row>
    <row r="75" ht="137.5" spans="2:37">
      <c r="B75" s="68" t="s">
        <v>384</v>
      </c>
      <c r="C75" s="68" t="s">
        <v>324</v>
      </c>
      <c r="D75" s="68"/>
      <c r="E75" s="68" t="s">
        <v>383</v>
      </c>
      <c r="F75" s="58">
        <v>2021</v>
      </c>
      <c r="G75" s="71">
        <f t="shared" ref="G75:N75" si="75">G69</f>
        <v>0.8</v>
      </c>
      <c r="H75" s="71"/>
      <c r="I75" s="71">
        <f t="shared" si="75"/>
        <v>1</v>
      </c>
      <c r="J75" s="71">
        <f t="shared" si="75"/>
        <v>116.810344827586</v>
      </c>
      <c r="K75" s="71">
        <f t="shared" si="75"/>
        <v>5.51724137931035</v>
      </c>
      <c r="L75" s="71">
        <f t="shared" si="75"/>
        <v>116.810344827586</v>
      </c>
      <c r="M75" s="71">
        <f t="shared" si="75"/>
        <v>5.51724137931035</v>
      </c>
      <c r="N75" s="71">
        <f t="shared" si="75"/>
        <v>10</v>
      </c>
      <c r="O75" s="75">
        <v>31.54</v>
      </c>
      <c r="R75" s="61">
        <v>15</v>
      </c>
      <c r="U75" s="80" t="s">
        <v>384</v>
      </c>
      <c r="W75" s="80" t="s">
        <v>39</v>
      </c>
      <c r="X75" s="80" t="s">
        <v>40</v>
      </c>
      <c r="AE75" t="str">
        <f t="shared" si="72"/>
        <v>OS-SpCool_GAS1</v>
      </c>
      <c r="AJ75">
        <f t="shared" si="69"/>
        <v>0.0134159728442635</v>
      </c>
      <c r="AK75" s="57" t="s">
        <v>183</v>
      </c>
    </row>
    <row r="76" ht="137.5" spans="2:37">
      <c r="B76" s="68" t="s">
        <v>385</v>
      </c>
      <c r="C76" s="68" t="s">
        <v>326</v>
      </c>
      <c r="D76" s="68"/>
      <c r="E76" s="68" t="s">
        <v>383</v>
      </c>
      <c r="F76" s="58">
        <v>2021</v>
      </c>
      <c r="G76" s="71">
        <f t="shared" ref="G76:N76" si="76">G70</f>
        <v>0.8</v>
      </c>
      <c r="H76" s="71"/>
      <c r="I76" s="71">
        <f t="shared" si="76"/>
        <v>1</v>
      </c>
      <c r="J76" s="71">
        <f t="shared" si="76"/>
        <v>69.5454545454545</v>
      </c>
      <c r="K76" s="71">
        <f t="shared" si="76"/>
        <v>2.27272727272727</v>
      </c>
      <c r="L76" s="71">
        <f t="shared" si="76"/>
        <v>69.5454545454545</v>
      </c>
      <c r="M76" s="71">
        <f t="shared" si="76"/>
        <v>2.27272727272727</v>
      </c>
      <c r="N76" s="71">
        <f t="shared" si="76"/>
        <v>13</v>
      </c>
      <c r="O76" s="75">
        <v>31.54</v>
      </c>
      <c r="R76" s="61">
        <v>15</v>
      </c>
      <c r="U76" s="80" t="s">
        <v>385</v>
      </c>
      <c r="W76" s="80" t="s">
        <v>39</v>
      </c>
      <c r="X76" s="80" t="s">
        <v>40</v>
      </c>
      <c r="AE76" t="str">
        <f t="shared" si="72"/>
        <v>EDU-SpCool_ELE1</v>
      </c>
      <c r="AJ76">
        <f t="shared" si="69"/>
        <v>0.0134159728442635</v>
      </c>
      <c r="AK76" s="57" t="s">
        <v>183</v>
      </c>
    </row>
    <row r="77" ht="137.5" spans="2:37">
      <c r="B77" s="68" t="s">
        <v>386</v>
      </c>
      <c r="C77" s="68" t="s">
        <v>328</v>
      </c>
      <c r="D77" s="68"/>
      <c r="E77" s="68" t="s">
        <v>383</v>
      </c>
      <c r="F77" s="58">
        <v>2021</v>
      </c>
      <c r="G77" s="71">
        <f t="shared" ref="G77:N77" si="77">G71</f>
        <v>0.8</v>
      </c>
      <c r="H77" s="71"/>
      <c r="I77" s="71">
        <f t="shared" si="77"/>
        <v>1</v>
      </c>
      <c r="J77" s="71">
        <f t="shared" si="77"/>
        <v>69.5454545454545</v>
      </c>
      <c r="K77" s="71">
        <f t="shared" si="77"/>
        <v>2.27272727272727</v>
      </c>
      <c r="L77" s="71">
        <f t="shared" si="77"/>
        <v>69.5454545454545</v>
      </c>
      <c r="M77" s="71">
        <f t="shared" si="77"/>
        <v>2.27272727272727</v>
      </c>
      <c r="N77" s="71">
        <f t="shared" si="77"/>
        <v>13</v>
      </c>
      <c r="O77" s="75">
        <v>31.54</v>
      </c>
      <c r="R77" s="61">
        <v>15</v>
      </c>
      <c r="U77" s="80" t="s">
        <v>386</v>
      </c>
      <c r="W77" s="80" t="s">
        <v>39</v>
      </c>
      <c r="X77" s="80" t="s">
        <v>40</v>
      </c>
      <c r="AE77" t="str">
        <f t="shared" si="72"/>
        <v>EDU-SpCool_GAS1</v>
      </c>
      <c r="AJ77">
        <f t="shared" si="69"/>
        <v>0.0134159728442635</v>
      </c>
      <c r="AK77" s="57" t="s">
        <v>183</v>
      </c>
    </row>
    <row r="78" ht="137.5" spans="2:37">
      <c r="B78" s="68" t="s">
        <v>387</v>
      </c>
      <c r="C78" s="68" t="s">
        <v>330</v>
      </c>
      <c r="D78" s="68"/>
      <c r="E78" s="68" t="s">
        <v>383</v>
      </c>
      <c r="F78" s="58">
        <v>2021</v>
      </c>
      <c r="G78" s="71">
        <f t="shared" ref="G78:N78" si="78">G72</f>
        <v>0.98</v>
      </c>
      <c r="H78" s="71"/>
      <c r="I78" s="71">
        <f t="shared" si="78"/>
        <v>1</v>
      </c>
      <c r="J78" s="71">
        <f t="shared" si="78"/>
        <v>72.4242424242424</v>
      </c>
      <c r="K78" s="71">
        <f t="shared" si="78"/>
        <v>0.787878787878788</v>
      </c>
      <c r="L78" s="71">
        <f t="shared" si="78"/>
        <v>72.4242424242424</v>
      </c>
      <c r="M78" s="71">
        <f t="shared" si="78"/>
        <v>0.787878787878788</v>
      </c>
      <c r="N78" s="71">
        <f t="shared" si="78"/>
        <v>15</v>
      </c>
      <c r="O78" s="75">
        <v>31.54</v>
      </c>
      <c r="R78" s="61">
        <v>15</v>
      </c>
      <c r="U78" s="80" t="s">
        <v>387</v>
      </c>
      <c r="W78" s="80" t="s">
        <v>39</v>
      </c>
      <c r="X78" s="80" t="s">
        <v>40</v>
      </c>
      <c r="AE78" t="str">
        <f t="shared" si="72"/>
        <v>HSS-SpCool_ELE1</v>
      </c>
      <c r="AJ78">
        <f t="shared" si="69"/>
        <v>0.0134159728442635</v>
      </c>
      <c r="AK78" s="57" t="s">
        <v>183</v>
      </c>
    </row>
    <row r="79" ht="137.5" spans="2:37">
      <c r="B79" s="68" t="s">
        <v>388</v>
      </c>
      <c r="C79" s="68" t="s">
        <v>332</v>
      </c>
      <c r="D79" s="68"/>
      <c r="E79" s="68" t="s">
        <v>383</v>
      </c>
      <c r="F79" s="58">
        <v>2021</v>
      </c>
      <c r="G79" s="71">
        <f t="shared" ref="G79:N79" si="79">G73</f>
        <v>0.872</v>
      </c>
      <c r="H79" s="71"/>
      <c r="I79" s="71">
        <f t="shared" si="79"/>
        <v>1</v>
      </c>
      <c r="J79" s="71">
        <f t="shared" si="79"/>
        <v>117.776210379659</v>
      </c>
      <c r="K79" s="71">
        <f t="shared" si="79"/>
        <v>2.72567049808429</v>
      </c>
      <c r="L79" s="71">
        <f t="shared" si="79"/>
        <v>117.776210379659</v>
      </c>
      <c r="M79" s="71">
        <f t="shared" si="79"/>
        <v>2.72567049808429</v>
      </c>
      <c r="N79" s="71">
        <f t="shared" si="79"/>
        <v>12.6</v>
      </c>
      <c r="O79" s="75">
        <v>31.54</v>
      </c>
      <c r="R79" s="61">
        <v>15</v>
      </c>
      <c r="U79" s="80" t="s">
        <v>388</v>
      </c>
      <c r="W79" s="80" t="s">
        <v>39</v>
      </c>
      <c r="X79" s="80" t="s">
        <v>40</v>
      </c>
      <c r="AE79" t="str">
        <f t="shared" si="72"/>
        <v>HSS-SpCool_GAS1</v>
      </c>
      <c r="AJ79">
        <f t="shared" si="69"/>
        <v>0.0134159728442635</v>
      </c>
      <c r="AK79" s="57" t="s">
        <v>183</v>
      </c>
    </row>
    <row r="80" ht="137.5" spans="2:37">
      <c r="B80" s="68" t="s">
        <v>389</v>
      </c>
      <c r="C80" s="68" t="s">
        <v>281</v>
      </c>
      <c r="D80" s="68"/>
      <c r="E80" s="68" t="s">
        <v>390</v>
      </c>
      <c r="F80" s="58">
        <v>2021</v>
      </c>
      <c r="G80" s="71">
        <f t="shared" ref="G80:N80" si="80">G74</f>
        <v>0.98</v>
      </c>
      <c r="H80" s="71"/>
      <c r="I80" s="71">
        <f t="shared" si="80"/>
        <v>1</v>
      </c>
      <c r="J80" s="71">
        <f t="shared" si="80"/>
        <v>260.555555555556</v>
      </c>
      <c r="K80" s="71">
        <f t="shared" si="80"/>
        <v>2.77777777777778</v>
      </c>
      <c r="L80" s="71">
        <f t="shared" si="80"/>
        <v>260.555555555556</v>
      </c>
      <c r="M80" s="71">
        <f t="shared" si="80"/>
        <v>2.77777777777778</v>
      </c>
      <c r="N80" s="71">
        <f t="shared" si="80"/>
        <v>12</v>
      </c>
      <c r="O80" s="75">
        <v>31.54</v>
      </c>
      <c r="R80" s="61">
        <v>15</v>
      </c>
      <c r="U80" s="80" t="s">
        <v>389</v>
      </c>
      <c r="W80" s="80" t="s">
        <v>39</v>
      </c>
      <c r="X80" s="80" t="s">
        <v>40</v>
      </c>
      <c r="AE80" t="str">
        <f t="shared" si="72"/>
        <v>ART-SpCool_ELE1</v>
      </c>
      <c r="AJ80">
        <f t="shared" si="69"/>
        <v>0.0134159728442635</v>
      </c>
      <c r="AK80" s="57" t="s">
        <v>183</v>
      </c>
    </row>
    <row r="81" ht="137.5" spans="2:37">
      <c r="B81" s="68" t="s">
        <v>391</v>
      </c>
      <c r="C81" s="68" t="s">
        <v>324</v>
      </c>
      <c r="D81" s="68"/>
      <c r="E81" s="68" t="s">
        <v>390</v>
      </c>
      <c r="F81" s="58">
        <v>2021</v>
      </c>
      <c r="G81" s="71">
        <f t="shared" ref="G81:N81" si="81">G75</f>
        <v>0.8</v>
      </c>
      <c r="H81" s="71"/>
      <c r="I81" s="71">
        <f t="shared" si="81"/>
        <v>1</v>
      </c>
      <c r="J81" s="71">
        <f t="shared" si="81"/>
        <v>116.810344827586</v>
      </c>
      <c r="K81" s="71">
        <f t="shared" si="81"/>
        <v>5.51724137931035</v>
      </c>
      <c r="L81" s="71">
        <f t="shared" si="81"/>
        <v>116.810344827586</v>
      </c>
      <c r="M81" s="71">
        <f t="shared" si="81"/>
        <v>5.51724137931035</v>
      </c>
      <c r="N81" s="71">
        <f t="shared" si="81"/>
        <v>10</v>
      </c>
      <c r="O81" s="75">
        <v>31.54</v>
      </c>
      <c r="R81" s="61">
        <v>15</v>
      </c>
      <c r="U81" s="80" t="s">
        <v>391</v>
      </c>
      <c r="W81" s="80" t="s">
        <v>39</v>
      </c>
      <c r="X81" s="80" t="s">
        <v>40</v>
      </c>
      <c r="AE81" t="str">
        <f t="shared" si="72"/>
        <v>ART-SpCool_GAS1</v>
      </c>
      <c r="AJ81">
        <f t="shared" si="69"/>
        <v>0.0134159728442635</v>
      </c>
      <c r="AK81" s="57" t="s">
        <v>183</v>
      </c>
    </row>
    <row r="82" ht="137.5" spans="2:37">
      <c r="B82" s="68" t="s">
        <v>392</v>
      </c>
      <c r="C82" s="68" t="s">
        <v>326</v>
      </c>
      <c r="D82" s="68"/>
      <c r="E82" s="68" t="s">
        <v>390</v>
      </c>
      <c r="F82" s="58">
        <v>2021</v>
      </c>
      <c r="G82" s="71">
        <f t="shared" ref="G82:N82" si="82">G76</f>
        <v>0.8</v>
      </c>
      <c r="H82" s="71"/>
      <c r="I82" s="71">
        <f t="shared" si="82"/>
        <v>1</v>
      </c>
      <c r="J82" s="71">
        <f t="shared" si="82"/>
        <v>69.5454545454545</v>
      </c>
      <c r="K82" s="71">
        <f t="shared" si="82"/>
        <v>2.27272727272727</v>
      </c>
      <c r="L82" s="71">
        <f t="shared" si="82"/>
        <v>69.5454545454545</v>
      </c>
      <c r="M82" s="71">
        <f t="shared" si="82"/>
        <v>2.27272727272727</v>
      </c>
      <c r="N82" s="71">
        <f t="shared" si="82"/>
        <v>13</v>
      </c>
      <c r="O82" s="75">
        <v>31.54</v>
      </c>
      <c r="R82" s="61">
        <v>15</v>
      </c>
      <c r="U82" s="80" t="s">
        <v>392</v>
      </c>
      <c r="W82" s="80" t="s">
        <v>39</v>
      </c>
      <c r="X82" s="80" t="s">
        <v>40</v>
      </c>
      <c r="AE82" t="str">
        <f t="shared" si="72"/>
        <v>AFM-SpCool_ELE1</v>
      </c>
      <c r="AJ82">
        <f t="shared" si="69"/>
        <v>0.0134159728442635</v>
      </c>
      <c r="AK82" s="57" t="s">
        <v>183</v>
      </c>
    </row>
    <row r="83" ht="137.5" spans="2:37">
      <c r="B83" s="68" t="s">
        <v>393</v>
      </c>
      <c r="C83" s="68" t="s">
        <v>328</v>
      </c>
      <c r="D83" s="68"/>
      <c r="E83" s="68" t="s">
        <v>390</v>
      </c>
      <c r="F83" s="58">
        <v>2021</v>
      </c>
      <c r="G83" s="71">
        <f t="shared" ref="G83:N83" si="83">G77</f>
        <v>0.8</v>
      </c>
      <c r="H83" s="71"/>
      <c r="I83" s="71">
        <f t="shared" si="83"/>
        <v>1</v>
      </c>
      <c r="J83" s="71">
        <f t="shared" si="83"/>
        <v>69.5454545454545</v>
      </c>
      <c r="K83" s="71">
        <f t="shared" si="83"/>
        <v>2.27272727272727</v>
      </c>
      <c r="L83" s="71">
        <f t="shared" si="83"/>
        <v>69.5454545454545</v>
      </c>
      <c r="M83" s="71">
        <f t="shared" si="83"/>
        <v>2.27272727272727</v>
      </c>
      <c r="N83" s="71">
        <f t="shared" si="83"/>
        <v>13</v>
      </c>
      <c r="O83" s="75">
        <v>31.54</v>
      </c>
      <c r="R83" s="61">
        <v>15</v>
      </c>
      <c r="U83" s="80" t="s">
        <v>393</v>
      </c>
      <c r="W83" s="80" t="s">
        <v>39</v>
      </c>
      <c r="X83" s="80" t="s">
        <v>40</v>
      </c>
      <c r="AE83" t="str">
        <f t="shared" si="72"/>
        <v>AFM-SpCool_GAS1</v>
      </c>
      <c r="AJ83">
        <f t="shared" si="69"/>
        <v>0.0134159728442635</v>
      </c>
      <c r="AK83" s="57" t="s">
        <v>183</v>
      </c>
    </row>
    <row r="84" ht="137.5" spans="2:37">
      <c r="B84" s="68" t="s">
        <v>394</v>
      </c>
      <c r="C84" s="68" t="s">
        <v>330</v>
      </c>
      <c r="D84" s="68"/>
      <c r="E84" s="68" t="s">
        <v>390</v>
      </c>
      <c r="F84" s="58">
        <v>2021</v>
      </c>
      <c r="G84" s="71">
        <f t="shared" ref="G84:N85" si="84">G78</f>
        <v>0.98</v>
      </c>
      <c r="H84" s="71"/>
      <c r="I84" s="71">
        <f t="shared" si="84"/>
        <v>1</v>
      </c>
      <c r="J84" s="71">
        <f t="shared" si="84"/>
        <v>72.4242424242424</v>
      </c>
      <c r="K84" s="71">
        <f t="shared" si="84"/>
        <v>0.787878787878788</v>
      </c>
      <c r="L84" s="71">
        <f t="shared" si="84"/>
        <v>72.4242424242424</v>
      </c>
      <c r="M84" s="71">
        <f t="shared" si="84"/>
        <v>0.787878787878788</v>
      </c>
      <c r="N84" s="71">
        <f t="shared" si="84"/>
        <v>15</v>
      </c>
      <c r="O84" s="75">
        <v>31.54</v>
      </c>
      <c r="R84" s="61">
        <v>15</v>
      </c>
      <c r="U84" s="80" t="s">
        <v>394</v>
      </c>
      <c r="W84" s="80" t="s">
        <v>39</v>
      </c>
      <c r="X84" s="80" t="s">
        <v>40</v>
      </c>
      <c r="AE84" t="str">
        <f t="shared" si="72"/>
        <v>OTH-SpCool_ELE1</v>
      </c>
      <c r="AJ84">
        <f t="shared" si="69"/>
        <v>0.0134159728442635</v>
      </c>
      <c r="AK84" s="57" t="s">
        <v>183</v>
      </c>
    </row>
    <row r="85" ht="137.5" spans="2:37">
      <c r="B85" s="68" t="s">
        <v>395</v>
      </c>
      <c r="C85" s="68" t="s">
        <v>332</v>
      </c>
      <c r="D85" s="68"/>
      <c r="E85" s="68" t="s">
        <v>390</v>
      </c>
      <c r="F85" s="58">
        <v>2021</v>
      </c>
      <c r="G85" s="71">
        <f t="shared" si="84"/>
        <v>0.872</v>
      </c>
      <c r="H85" s="71"/>
      <c r="I85" s="71">
        <f t="shared" si="84"/>
        <v>1</v>
      </c>
      <c r="J85" s="71">
        <f t="shared" si="84"/>
        <v>117.776210379659</v>
      </c>
      <c r="K85" s="71">
        <f t="shared" si="84"/>
        <v>2.72567049808429</v>
      </c>
      <c r="L85" s="71">
        <f t="shared" si="84"/>
        <v>117.776210379659</v>
      </c>
      <c r="M85" s="71">
        <f t="shared" si="84"/>
        <v>2.72567049808429</v>
      </c>
      <c r="N85" s="71">
        <f t="shared" si="84"/>
        <v>12.6</v>
      </c>
      <c r="O85" s="75">
        <v>31.54</v>
      </c>
      <c r="R85" s="61">
        <v>15</v>
      </c>
      <c r="U85" s="80" t="s">
        <v>395</v>
      </c>
      <c r="W85" s="80" t="s">
        <v>39</v>
      </c>
      <c r="X85" s="80" t="s">
        <v>40</v>
      </c>
      <c r="AE85" t="str">
        <f t="shared" si="72"/>
        <v>OTH-SpCool_GAS1</v>
      </c>
      <c r="AJ85">
        <f t="shared" si="69"/>
        <v>0.0134159728442635</v>
      </c>
      <c r="AK85" s="57" t="s">
        <v>183</v>
      </c>
    </row>
    <row r="86" ht="175" spans="2:37">
      <c r="B86" s="68" t="s">
        <v>396</v>
      </c>
      <c r="C86" s="68" t="s">
        <v>281</v>
      </c>
      <c r="D86" s="68"/>
      <c r="E86" s="68" t="s">
        <v>397</v>
      </c>
      <c r="F86" s="58">
        <v>2021</v>
      </c>
      <c r="G86" s="71">
        <f>0.98</f>
        <v>0.98</v>
      </c>
      <c r="H86" s="83"/>
      <c r="I86" s="71">
        <f>'[6]TechWaterHeat-COM'!$O$199</f>
        <v>0.198483654420798</v>
      </c>
      <c r="J86" s="71">
        <f>4690/18*1</f>
        <v>260.555555555556</v>
      </c>
      <c r="K86" s="71">
        <f>50/18*1</f>
        <v>2.77777777777778</v>
      </c>
      <c r="L86" s="71">
        <f t="shared" ref="L86:L90" si="85">J86</f>
        <v>260.555555555556</v>
      </c>
      <c r="M86" s="71">
        <f t="shared" ref="M86:M90" si="86">K86</f>
        <v>2.77777777777778</v>
      </c>
      <c r="N86" s="85">
        <v>12</v>
      </c>
      <c r="O86" s="75">
        <v>31.54</v>
      </c>
      <c r="R86" s="61">
        <v>15</v>
      </c>
      <c r="U86" s="80" t="s">
        <v>396</v>
      </c>
      <c r="W86" s="80" t="s">
        <v>39</v>
      </c>
      <c r="X86" s="80" t="s">
        <v>40</v>
      </c>
      <c r="AE86" s="42" t="s">
        <v>398</v>
      </c>
      <c r="AF86" s="87" t="s">
        <v>281</v>
      </c>
      <c r="AG86" s="87"/>
      <c r="AJ86">
        <f>AVERAGE(AJ6:AJ11)</f>
        <v>0.324756413912996</v>
      </c>
      <c r="AK86" s="57" t="s">
        <v>182</v>
      </c>
    </row>
    <row r="87" spans="2:33">
      <c r="B87" s="68" t="s">
        <v>399</v>
      </c>
      <c r="C87" s="68" t="s">
        <v>324</v>
      </c>
      <c r="D87" s="68"/>
      <c r="E87" s="68" t="s">
        <v>397</v>
      </c>
      <c r="F87" s="58">
        <v>2021</v>
      </c>
      <c r="G87" s="71">
        <v>0.8</v>
      </c>
      <c r="H87" s="71"/>
      <c r="I87" s="71">
        <f>'[6]TechWaterHeat-COM'!$O$200</f>
        <v>0.469468493403833</v>
      </c>
      <c r="J87" s="71">
        <f>(5140+8410)/2/58*1</f>
        <v>116.810344827586</v>
      </c>
      <c r="K87" s="71">
        <f>320/58*1</f>
        <v>5.51724137931035</v>
      </c>
      <c r="L87" s="71">
        <f t="shared" si="85"/>
        <v>116.810344827586</v>
      </c>
      <c r="M87" s="71">
        <f t="shared" si="86"/>
        <v>5.51724137931035</v>
      </c>
      <c r="N87" s="71">
        <v>10</v>
      </c>
      <c r="O87" s="75">
        <v>31.54</v>
      </c>
      <c r="R87" s="61">
        <v>15</v>
      </c>
      <c r="U87" s="80" t="s">
        <v>399</v>
      </c>
      <c r="W87" s="80" t="s">
        <v>39</v>
      </c>
      <c r="X87" s="80" t="s">
        <v>40</v>
      </c>
      <c r="AE87" s="42"/>
      <c r="AF87" s="42"/>
      <c r="AG87" s="89" t="s">
        <v>184</v>
      </c>
    </row>
    <row r="88" ht="175" spans="2:37">
      <c r="B88" s="68" t="s">
        <v>400</v>
      </c>
      <c r="C88" s="68" t="s">
        <v>326</v>
      </c>
      <c r="D88" s="68"/>
      <c r="E88" s="68" t="s">
        <v>397</v>
      </c>
      <c r="F88" s="58">
        <v>2021</v>
      </c>
      <c r="G88" s="71">
        <v>0.8</v>
      </c>
      <c r="H88" s="71"/>
      <c r="I88" s="71">
        <f>'[6]TechWaterHeat-COM'!$O$201</f>
        <v>0.183615708905633</v>
      </c>
      <c r="J88" s="71">
        <f>6120/88*1</f>
        <v>69.5454545454545</v>
      </c>
      <c r="K88" s="71">
        <f>200/88*1</f>
        <v>2.27272727272727</v>
      </c>
      <c r="L88" s="71">
        <f t="shared" si="85"/>
        <v>69.5454545454545</v>
      </c>
      <c r="M88" s="71">
        <f t="shared" si="86"/>
        <v>2.27272727272727</v>
      </c>
      <c r="N88" s="71">
        <v>13</v>
      </c>
      <c r="O88" s="75">
        <v>31.54</v>
      </c>
      <c r="R88" s="61">
        <v>15</v>
      </c>
      <c r="U88" s="80" t="s">
        <v>400</v>
      </c>
      <c r="W88" s="80" t="s">
        <v>39</v>
      </c>
      <c r="X88" s="80" t="s">
        <v>40</v>
      </c>
      <c r="AE88" s="41" t="s">
        <v>401</v>
      </c>
      <c r="AF88" s="88" t="s">
        <v>281</v>
      </c>
      <c r="AG88" s="88"/>
      <c r="AJ88">
        <f>AJ86</f>
        <v>0.324756413912996</v>
      </c>
      <c r="AK88" s="57" t="s">
        <v>182</v>
      </c>
    </row>
    <row r="89" spans="2:33">
      <c r="B89" s="68" t="s">
        <v>402</v>
      </c>
      <c r="C89" s="68" t="s">
        <v>328</v>
      </c>
      <c r="D89" s="68"/>
      <c r="E89" s="68" t="s">
        <v>397</v>
      </c>
      <c r="F89" s="58">
        <v>2021</v>
      </c>
      <c r="G89" s="71">
        <v>0.8</v>
      </c>
      <c r="H89" s="71"/>
      <c r="I89" s="71">
        <f>'[6]TechWaterHeat-COM'!$O$202</f>
        <v>0.183615708905633</v>
      </c>
      <c r="J89" s="71">
        <f t="shared" ref="J89" si="87">J88</f>
        <v>69.5454545454545</v>
      </c>
      <c r="K89" s="71">
        <f t="shared" ref="K89" si="88">K88</f>
        <v>2.27272727272727</v>
      </c>
      <c r="L89" s="71">
        <f t="shared" si="85"/>
        <v>69.5454545454545</v>
      </c>
      <c r="M89" s="71">
        <f t="shared" si="86"/>
        <v>2.27272727272727</v>
      </c>
      <c r="N89" s="71">
        <v>13</v>
      </c>
      <c r="O89" s="75">
        <v>31.54</v>
      </c>
      <c r="R89" s="61">
        <v>15</v>
      </c>
      <c r="U89" s="80" t="s">
        <v>402</v>
      </c>
      <c r="W89" s="80" t="s">
        <v>39</v>
      </c>
      <c r="X89" s="80" t="s">
        <v>40</v>
      </c>
      <c r="AE89" s="41"/>
      <c r="AF89" s="41"/>
      <c r="AG89" s="90" t="s">
        <v>184</v>
      </c>
    </row>
    <row r="90" ht="175" spans="2:37">
      <c r="B90" s="68" t="s">
        <v>403</v>
      </c>
      <c r="C90" s="68" t="s">
        <v>330</v>
      </c>
      <c r="D90" s="68"/>
      <c r="E90" s="68" t="s">
        <v>397</v>
      </c>
      <c r="F90" s="58">
        <v>2021</v>
      </c>
      <c r="G90" s="84">
        <v>0.98</v>
      </c>
      <c r="H90" s="71"/>
      <c r="I90" s="71">
        <f>'[6]TechWaterHeat-COM'!$O$203</f>
        <v>0.294153795762057</v>
      </c>
      <c r="J90" s="71">
        <f>11950/165*1</f>
        <v>72.4242424242424</v>
      </c>
      <c r="K90" s="71">
        <f>130/165*1</f>
        <v>0.787878787878788</v>
      </c>
      <c r="L90" s="71">
        <f t="shared" si="85"/>
        <v>72.4242424242424</v>
      </c>
      <c r="M90" s="71">
        <f t="shared" si="86"/>
        <v>0.787878787878788</v>
      </c>
      <c r="N90" s="71">
        <v>15</v>
      </c>
      <c r="O90" s="75">
        <v>31.54</v>
      </c>
      <c r="R90" s="61">
        <v>15</v>
      </c>
      <c r="U90" s="80" t="s">
        <v>403</v>
      </c>
      <c r="W90" s="80" t="s">
        <v>39</v>
      </c>
      <c r="X90" s="80" t="s">
        <v>40</v>
      </c>
      <c r="AE90" s="41" t="s">
        <v>404</v>
      </c>
      <c r="AF90" s="88" t="s">
        <v>281</v>
      </c>
      <c r="AG90" s="88"/>
      <c r="AJ90">
        <f>AJ88</f>
        <v>0.324756413912996</v>
      </c>
      <c r="AK90" s="57" t="s">
        <v>182</v>
      </c>
    </row>
    <row r="91" spans="2:33">
      <c r="B91" s="68" t="s">
        <v>405</v>
      </c>
      <c r="C91" s="68" t="s">
        <v>332</v>
      </c>
      <c r="D91" s="68"/>
      <c r="E91" s="68" t="s">
        <v>397</v>
      </c>
      <c r="F91" s="58">
        <v>2021</v>
      </c>
      <c r="G91" s="71">
        <f>AVERAGE(G86:G90)</f>
        <v>0.872</v>
      </c>
      <c r="H91" s="71"/>
      <c r="I91" s="71">
        <f>'[6]TechWaterHeat-COM'!$O$204</f>
        <v>0.619201122080021</v>
      </c>
      <c r="J91" s="71">
        <f t="shared" ref="J91:N91" si="89">AVERAGE(J86:J90)</f>
        <v>117.776210379659</v>
      </c>
      <c r="K91" s="71">
        <f t="shared" si="89"/>
        <v>2.72567049808429</v>
      </c>
      <c r="L91" s="71">
        <f t="shared" si="89"/>
        <v>117.776210379659</v>
      </c>
      <c r="M91" s="71">
        <f t="shared" si="89"/>
        <v>2.72567049808429</v>
      </c>
      <c r="N91" s="86">
        <f t="shared" si="89"/>
        <v>12.6</v>
      </c>
      <c r="O91" s="75">
        <v>31.54</v>
      </c>
      <c r="R91" s="61">
        <v>15</v>
      </c>
      <c r="U91" s="80" t="s">
        <v>405</v>
      </c>
      <c r="W91" s="80" t="s">
        <v>39</v>
      </c>
      <c r="X91" s="80" t="s">
        <v>40</v>
      </c>
      <c r="AE91" s="41"/>
      <c r="AF91" s="41"/>
      <c r="AG91" s="90" t="s">
        <v>184</v>
      </c>
    </row>
    <row r="92" ht="175" spans="2:37">
      <c r="B92" s="68" t="s">
        <v>406</v>
      </c>
      <c r="C92" s="68" t="s">
        <v>281</v>
      </c>
      <c r="D92" s="68"/>
      <c r="E92" s="68" t="s">
        <v>407</v>
      </c>
      <c r="F92" s="58">
        <v>2021</v>
      </c>
      <c r="G92" s="71">
        <f>G86</f>
        <v>0.98</v>
      </c>
      <c r="H92" s="71"/>
      <c r="I92" s="71">
        <f t="shared" ref="I92:N92" si="90">I86</f>
        <v>0.198483654420798</v>
      </c>
      <c r="J92" s="71">
        <f t="shared" si="90"/>
        <v>260.555555555556</v>
      </c>
      <c r="K92" s="71">
        <f t="shared" si="90"/>
        <v>2.77777777777778</v>
      </c>
      <c r="L92" s="71">
        <f t="shared" si="90"/>
        <v>260.555555555556</v>
      </c>
      <c r="M92" s="71">
        <f t="shared" si="90"/>
        <v>2.77777777777778</v>
      </c>
      <c r="N92" s="71">
        <f t="shared" si="90"/>
        <v>12</v>
      </c>
      <c r="O92" s="75">
        <v>31.54</v>
      </c>
      <c r="R92" s="61">
        <v>15</v>
      </c>
      <c r="U92" s="80" t="s">
        <v>406</v>
      </c>
      <c r="W92" s="80" t="s">
        <v>39</v>
      </c>
      <c r="X92" s="80" t="s">
        <v>40</v>
      </c>
      <c r="AE92" s="41" t="s">
        <v>408</v>
      </c>
      <c r="AF92" s="88" t="s">
        <v>281</v>
      </c>
      <c r="AG92" s="88"/>
      <c r="AJ92">
        <f>AJ90</f>
        <v>0.324756413912996</v>
      </c>
      <c r="AK92" s="57" t="s">
        <v>182</v>
      </c>
    </row>
    <row r="93" spans="2:33">
      <c r="B93" s="68" t="s">
        <v>409</v>
      </c>
      <c r="C93" s="68" t="s">
        <v>324</v>
      </c>
      <c r="D93" s="68"/>
      <c r="E93" s="68" t="s">
        <v>407</v>
      </c>
      <c r="F93" s="58">
        <v>2021</v>
      </c>
      <c r="G93" s="71">
        <f t="shared" ref="G93:G98" si="91">G87</f>
        <v>0.8</v>
      </c>
      <c r="H93" s="71"/>
      <c r="I93" s="71">
        <f t="shared" ref="I93:N93" si="92">I87</f>
        <v>0.469468493403833</v>
      </c>
      <c r="J93" s="71">
        <f t="shared" si="92"/>
        <v>116.810344827586</v>
      </c>
      <c r="K93" s="71">
        <f t="shared" si="92"/>
        <v>5.51724137931035</v>
      </c>
      <c r="L93" s="71">
        <f t="shared" si="92"/>
        <v>116.810344827586</v>
      </c>
      <c r="M93" s="71">
        <f t="shared" si="92"/>
        <v>5.51724137931035</v>
      </c>
      <c r="N93" s="71">
        <f t="shared" si="92"/>
        <v>10</v>
      </c>
      <c r="O93" s="75">
        <v>31.54</v>
      </c>
      <c r="R93" s="61">
        <v>15</v>
      </c>
      <c r="U93" s="80" t="s">
        <v>409</v>
      </c>
      <c r="W93" s="80" t="s">
        <v>39</v>
      </c>
      <c r="X93" s="80" t="s">
        <v>40</v>
      </c>
      <c r="AE93" s="41"/>
      <c r="AF93" s="41"/>
      <c r="AG93" s="90" t="s">
        <v>184</v>
      </c>
    </row>
    <row r="94" ht="175" spans="2:37">
      <c r="B94" s="68" t="s">
        <v>410</v>
      </c>
      <c r="C94" s="68" t="s">
        <v>326</v>
      </c>
      <c r="D94" s="68"/>
      <c r="E94" s="68" t="s">
        <v>407</v>
      </c>
      <c r="F94" s="58">
        <v>2021</v>
      </c>
      <c r="G94" s="71">
        <f t="shared" si="91"/>
        <v>0.8</v>
      </c>
      <c r="H94" s="71"/>
      <c r="I94" s="71">
        <f t="shared" ref="I94:N94" si="93">I88</f>
        <v>0.183615708905633</v>
      </c>
      <c r="J94" s="71">
        <f t="shared" si="93"/>
        <v>69.5454545454545</v>
      </c>
      <c r="K94" s="71">
        <f t="shared" si="93"/>
        <v>2.27272727272727</v>
      </c>
      <c r="L94" s="71">
        <f t="shared" si="93"/>
        <v>69.5454545454545</v>
      </c>
      <c r="M94" s="71">
        <f t="shared" si="93"/>
        <v>2.27272727272727</v>
      </c>
      <c r="N94" s="71">
        <f t="shared" si="93"/>
        <v>13</v>
      </c>
      <c r="O94" s="75">
        <v>31.54</v>
      </c>
      <c r="R94" s="61">
        <v>15</v>
      </c>
      <c r="U94" s="80" t="s">
        <v>410</v>
      </c>
      <c r="W94" s="80" t="s">
        <v>39</v>
      </c>
      <c r="X94" s="80" t="s">
        <v>40</v>
      </c>
      <c r="AE94" s="41" t="s">
        <v>411</v>
      </c>
      <c r="AF94" s="88" t="s">
        <v>281</v>
      </c>
      <c r="AG94" s="88"/>
      <c r="AJ94">
        <f>AJ92</f>
        <v>0.324756413912996</v>
      </c>
      <c r="AK94" s="57" t="s">
        <v>182</v>
      </c>
    </row>
    <row r="95" spans="2:33">
      <c r="B95" s="68" t="s">
        <v>412</v>
      </c>
      <c r="C95" s="68" t="s">
        <v>328</v>
      </c>
      <c r="D95" s="68"/>
      <c r="E95" s="68" t="s">
        <v>407</v>
      </c>
      <c r="F95" s="58">
        <v>2021</v>
      </c>
      <c r="G95" s="71">
        <f t="shared" si="91"/>
        <v>0.8</v>
      </c>
      <c r="H95" s="71"/>
      <c r="I95" s="71">
        <f t="shared" ref="I95:N95" si="94">I89</f>
        <v>0.183615708905633</v>
      </c>
      <c r="J95" s="71">
        <f t="shared" si="94"/>
        <v>69.5454545454545</v>
      </c>
      <c r="K95" s="71">
        <f t="shared" si="94"/>
        <v>2.27272727272727</v>
      </c>
      <c r="L95" s="71">
        <f t="shared" si="94"/>
        <v>69.5454545454545</v>
      </c>
      <c r="M95" s="71">
        <f t="shared" si="94"/>
        <v>2.27272727272727</v>
      </c>
      <c r="N95" s="71">
        <f t="shared" si="94"/>
        <v>13</v>
      </c>
      <c r="O95" s="75">
        <v>31.54</v>
      </c>
      <c r="R95" s="61">
        <v>15</v>
      </c>
      <c r="U95" s="80" t="s">
        <v>412</v>
      </c>
      <c r="W95" s="80" t="s">
        <v>39</v>
      </c>
      <c r="X95" s="80" t="s">
        <v>40</v>
      </c>
      <c r="AE95" s="41"/>
      <c r="AF95" s="41"/>
      <c r="AG95" s="90" t="s">
        <v>184</v>
      </c>
    </row>
    <row r="96" ht="175" spans="2:37">
      <c r="B96" s="68" t="s">
        <v>413</v>
      </c>
      <c r="C96" s="68" t="s">
        <v>330</v>
      </c>
      <c r="D96" s="68"/>
      <c r="E96" s="68" t="s">
        <v>407</v>
      </c>
      <c r="F96" s="58">
        <v>2021</v>
      </c>
      <c r="G96" s="71">
        <f t="shared" si="91"/>
        <v>0.98</v>
      </c>
      <c r="H96" s="71"/>
      <c r="I96" s="71">
        <f t="shared" ref="I96:N96" si="95">I90</f>
        <v>0.294153795762057</v>
      </c>
      <c r="J96" s="71">
        <f t="shared" si="95"/>
        <v>72.4242424242424</v>
      </c>
      <c r="K96" s="71">
        <f t="shared" si="95"/>
        <v>0.787878787878788</v>
      </c>
      <c r="L96" s="71">
        <f t="shared" si="95"/>
        <v>72.4242424242424</v>
      </c>
      <c r="M96" s="71">
        <f t="shared" si="95"/>
        <v>0.787878787878788</v>
      </c>
      <c r="N96" s="71">
        <f t="shared" si="95"/>
        <v>15</v>
      </c>
      <c r="O96" s="75">
        <v>31.54</v>
      </c>
      <c r="R96" s="61">
        <v>15</v>
      </c>
      <c r="U96" s="80" t="s">
        <v>413</v>
      </c>
      <c r="W96" s="80" t="s">
        <v>39</v>
      </c>
      <c r="X96" s="80" t="s">
        <v>40</v>
      </c>
      <c r="AE96" s="41" t="s">
        <v>414</v>
      </c>
      <c r="AF96" s="88" t="s">
        <v>281</v>
      </c>
      <c r="AG96" s="88"/>
      <c r="AJ96">
        <f>AJ94</f>
        <v>0.324756413912996</v>
      </c>
      <c r="AK96" s="57" t="s">
        <v>182</v>
      </c>
    </row>
    <row r="97" spans="2:33">
      <c r="B97" s="68" t="s">
        <v>415</v>
      </c>
      <c r="C97" s="68" t="s">
        <v>332</v>
      </c>
      <c r="D97" s="68"/>
      <c r="E97" s="68" t="s">
        <v>407</v>
      </c>
      <c r="F97" s="58">
        <v>2021</v>
      </c>
      <c r="G97" s="71">
        <f t="shared" si="91"/>
        <v>0.872</v>
      </c>
      <c r="H97" s="71"/>
      <c r="I97" s="71">
        <f t="shared" ref="I97:N97" si="96">I91</f>
        <v>0.619201122080021</v>
      </c>
      <c r="J97" s="71">
        <f t="shared" si="96"/>
        <v>117.776210379659</v>
      </c>
      <c r="K97" s="71">
        <f t="shared" si="96"/>
        <v>2.72567049808429</v>
      </c>
      <c r="L97" s="71">
        <f t="shared" si="96"/>
        <v>117.776210379659</v>
      </c>
      <c r="M97" s="71">
        <f t="shared" si="96"/>
        <v>2.72567049808429</v>
      </c>
      <c r="N97" s="71">
        <f t="shared" si="96"/>
        <v>12.6</v>
      </c>
      <c r="O97" s="75">
        <v>31.54</v>
      </c>
      <c r="R97" s="61">
        <v>15</v>
      </c>
      <c r="U97" s="80" t="s">
        <v>415</v>
      </c>
      <c r="W97" s="80" t="s">
        <v>39</v>
      </c>
      <c r="X97" s="80" t="s">
        <v>40</v>
      </c>
      <c r="AE97" s="41"/>
      <c r="AF97" s="41"/>
      <c r="AG97" s="90" t="s">
        <v>184</v>
      </c>
    </row>
    <row r="98" ht="175" spans="2:37">
      <c r="B98" s="68" t="s">
        <v>416</v>
      </c>
      <c r="C98" s="68" t="s">
        <v>281</v>
      </c>
      <c r="D98" s="68"/>
      <c r="E98" s="68" t="s">
        <v>417</v>
      </c>
      <c r="F98" s="58">
        <v>2021</v>
      </c>
      <c r="G98" s="71">
        <f t="shared" si="91"/>
        <v>0.98</v>
      </c>
      <c r="H98" s="71"/>
      <c r="I98" s="71">
        <f t="shared" ref="I98:N98" si="97">I92</f>
        <v>0.198483654420798</v>
      </c>
      <c r="J98" s="71">
        <f t="shared" si="97"/>
        <v>260.555555555556</v>
      </c>
      <c r="K98" s="71">
        <f t="shared" si="97"/>
        <v>2.77777777777778</v>
      </c>
      <c r="L98" s="71">
        <f t="shared" si="97"/>
        <v>260.555555555556</v>
      </c>
      <c r="M98" s="71">
        <f t="shared" si="97"/>
        <v>2.77777777777778</v>
      </c>
      <c r="N98" s="71">
        <f t="shared" si="97"/>
        <v>12</v>
      </c>
      <c r="O98" s="75">
        <v>31.54</v>
      </c>
      <c r="R98" s="61">
        <v>15</v>
      </c>
      <c r="U98" s="80" t="s">
        <v>416</v>
      </c>
      <c r="W98" s="80" t="s">
        <v>39</v>
      </c>
      <c r="X98" s="80" t="s">
        <v>40</v>
      </c>
      <c r="AE98" s="41" t="s">
        <v>418</v>
      </c>
      <c r="AF98" s="88" t="s">
        <v>281</v>
      </c>
      <c r="AG98" s="88"/>
      <c r="AJ98">
        <f>AJ96</f>
        <v>0.324756413912996</v>
      </c>
      <c r="AK98" s="57" t="s">
        <v>182</v>
      </c>
    </row>
    <row r="99" spans="2:33">
      <c r="B99" s="68" t="s">
        <v>419</v>
      </c>
      <c r="C99" s="68" t="s">
        <v>324</v>
      </c>
      <c r="D99" s="68"/>
      <c r="E99" s="68" t="s">
        <v>417</v>
      </c>
      <c r="F99" s="58">
        <v>2021</v>
      </c>
      <c r="G99" s="71">
        <f t="shared" ref="G99:G104" si="98">G93</f>
        <v>0.8</v>
      </c>
      <c r="H99" s="71"/>
      <c r="I99" s="71">
        <f t="shared" ref="I99:N99" si="99">I93</f>
        <v>0.469468493403833</v>
      </c>
      <c r="J99" s="71">
        <f t="shared" si="99"/>
        <v>116.810344827586</v>
      </c>
      <c r="K99" s="71">
        <f t="shared" si="99"/>
        <v>5.51724137931035</v>
      </c>
      <c r="L99" s="71">
        <f t="shared" si="99"/>
        <v>116.810344827586</v>
      </c>
      <c r="M99" s="71">
        <f t="shared" si="99"/>
        <v>5.51724137931035</v>
      </c>
      <c r="N99" s="71">
        <f t="shared" si="99"/>
        <v>10</v>
      </c>
      <c r="O99" s="75">
        <v>31.54</v>
      </c>
      <c r="R99" s="61">
        <v>15</v>
      </c>
      <c r="U99" s="80" t="s">
        <v>419</v>
      </c>
      <c r="W99" s="80" t="s">
        <v>39</v>
      </c>
      <c r="X99" s="80" t="s">
        <v>40</v>
      </c>
      <c r="AE99" s="41"/>
      <c r="AF99" s="41"/>
      <c r="AG99" s="90" t="s">
        <v>184</v>
      </c>
    </row>
    <row r="100" ht="175" spans="2:37">
      <c r="B100" s="68" t="s">
        <v>420</v>
      </c>
      <c r="C100" s="68" t="s">
        <v>326</v>
      </c>
      <c r="D100" s="68"/>
      <c r="E100" s="68" t="s">
        <v>417</v>
      </c>
      <c r="F100" s="58">
        <v>2021</v>
      </c>
      <c r="G100" s="71">
        <f t="shared" si="98"/>
        <v>0.8</v>
      </c>
      <c r="H100" s="71"/>
      <c r="I100" s="71">
        <f t="shared" ref="I100:N100" si="100">I94</f>
        <v>0.183615708905633</v>
      </c>
      <c r="J100" s="71">
        <f t="shared" si="100"/>
        <v>69.5454545454545</v>
      </c>
      <c r="K100" s="71">
        <f t="shared" si="100"/>
        <v>2.27272727272727</v>
      </c>
      <c r="L100" s="71">
        <f t="shared" si="100"/>
        <v>69.5454545454545</v>
      </c>
      <c r="M100" s="71">
        <f t="shared" si="100"/>
        <v>2.27272727272727</v>
      </c>
      <c r="N100" s="71">
        <f t="shared" si="100"/>
        <v>13</v>
      </c>
      <c r="O100" s="75">
        <v>31.54</v>
      </c>
      <c r="R100" s="61">
        <v>15</v>
      </c>
      <c r="U100" s="80" t="s">
        <v>420</v>
      </c>
      <c r="W100" s="80" t="s">
        <v>39</v>
      </c>
      <c r="X100" s="80" t="s">
        <v>40</v>
      </c>
      <c r="AE100" s="41" t="s">
        <v>421</v>
      </c>
      <c r="AF100" s="88" t="s">
        <v>281</v>
      </c>
      <c r="AG100" s="88"/>
      <c r="AJ100">
        <f>AJ98</f>
        <v>0.324756413912996</v>
      </c>
      <c r="AK100" s="57" t="s">
        <v>182</v>
      </c>
    </row>
    <row r="101" spans="2:33">
      <c r="B101" s="68" t="s">
        <v>422</v>
      </c>
      <c r="C101" s="68" t="s">
        <v>328</v>
      </c>
      <c r="D101" s="68"/>
      <c r="E101" s="68" t="s">
        <v>417</v>
      </c>
      <c r="F101" s="58">
        <v>2021</v>
      </c>
      <c r="G101" s="71">
        <f t="shared" si="98"/>
        <v>0.8</v>
      </c>
      <c r="H101" s="71"/>
      <c r="I101" s="71">
        <f t="shared" ref="I101:N101" si="101">I95</f>
        <v>0.183615708905633</v>
      </c>
      <c r="J101" s="71">
        <f t="shared" si="101"/>
        <v>69.5454545454545</v>
      </c>
      <c r="K101" s="71">
        <f t="shared" si="101"/>
        <v>2.27272727272727</v>
      </c>
      <c r="L101" s="71">
        <f t="shared" si="101"/>
        <v>69.5454545454545</v>
      </c>
      <c r="M101" s="71">
        <f t="shared" si="101"/>
        <v>2.27272727272727</v>
      </c>
      <c r="N101" s="71">
        <f t="shared" si="101"/>
        <v>13</v>
      </c>
      <c r="O101" s="75">
        <v>31.54</v>
      </c>
      <c r="R101" s="61">
        <v>15</v>
      </c>
      <c r="U101" s="80" t="s">
        <v>422</v>
      </c>
      <c r="W101" s="80" t="s">
        <v>39</v>
      </c>
      <c r="X101" s="80" t="s">
        <v>40</v>
      </c>
      <c r="AE101" s="41"/>
      <c r="AF101" s="41"/>
      <c r="AG101" s="90" t="s">
        <v>184</v>
      </c>
    </row>
    <row r="102" ht="175" spans="2:37">
      <c r="B102" s="68" t="s">
        <v>423</v>
      </c>
      <c r="C102" s="68" t="s">
        <v>330</v>
      </c>
      <c r="D102" s="68"/>
      <c r="E102" s="68" t="s">
        <v>417</v>
      </c>
      <c r="F102" s="58">
        <v>2021</v>
      </c>
      <c r="G102" s="71">
        <f t="shared" si="98"/>
        <v>0.98</v>
      </c>
      <c r="H102" s="71"/>
      <c r="I102" s="71">
        <f t="shared" ref="I102:N102" si="102">I96</f>
        <v>0.294153795762057</v>
      </c>
      <c r="J102" s="71">
        <f t="shared" si="102"/>
        <v>72.4242424242424</v>
      </c>
      <c r="K102" s="71">
        <f t="shared" si="102"/>
        <v>0.787878787878788</v>
      </c>
      <c r="L102" s="71">
        <f t="shared" si="102"/>
        <v>72.4242424242424</v>
      </c>
      <c r="M102" s="71">
        <f t="shared" si="102"/>
        <v>0.787878787878788</v>
      </c>
      <c r="N102" s="71">
        <f t="shared" si="102"/>
        <v>15</v>
      </c>
      <c r="O102" s="75">
        <v>31.54</v>
      </c>
      <c r="R102" s="61">
        <v>15</v>
      </c>
      <c r="U102" s="80" t="s">
        <v>423</v>
      </c>
      <c r="W102" s="80" t="s">
        <v>39</v>
      </c>
      <c r="X102" s="80" t="s">
        <v>40</v>
      </c>
      <c r="AE102" s="41" t="s">
        <v>424</v>
      </c>
      <c r="AF102" s="88" t="s">
        <v>281</v>
      </c>
      <c r="AG102" s="88"/>
      <c r="AJ102">
        <f>AJ100</f>
        <v>0.324756413912996</v>
      </c>
      <c r="AK102" s="57" t="s">
        <v>182</v>
      </c>
    </row>
    <row r="103" spans="2:33">
      <c r="B103" s="68" t="s">
        <v>425</v>
      </c>
      <c r="C103" s="68" t="s">
        <v>332</v>
      </c>
      <c r="D103" s="68"/>
      <c r="E103" s="68" t="s">
        <v>417</v>
      </c>
      <c r="F103" s="58">
        <v>2021</v>
      </c>
      <c r="G103" s="71">
        <f t="shared" si="98"/>
        <v>0.872</v>
      </c>
      <c r="H103" s="71"/>
      <c r="I103" s="71">
        <f t="shared" ref="I103:N103" si="103">I97</f>
        <v>0.619201122080021</v>
      </c>
      <c r="J103" s="71">
        <f t="shared" si="103"/>
        <v>117.776210379659</v>
      </c>
      <c r="K103" s="71">
        <f t="shared" si="103"/>
        <v>2.72567049808429</v>
      </c>
      <c r="L103" s="71">
        <f t="shared" si="103"/>
        <v>117.776210379659</v>
      </c>
      <c r="M103" s="71">
        <f t="shared" si="103"/>
        <v>2.72567049808429</v>
      </c>
      <c r="N103" s="71">
        <f t="shared" si="103"/>
        <v>12.6</v>
      </c>
      <c r="O103" s="75">
        <v>31.54</v>
      </c>
      <c r="R103" s="61">
        <v>15</v>
      </c>
      <c r="U103" s="80" t="s">
        <v>425</v>
      </c>
      <c r="W103" s="80" t="s">
        <v>39</v>
      </c>
      <c r="X103" s="80" t="s">
        <v>40</v>
      </c>
      <c r="AE103" s="41"/>
      <c r="AF103" s="41"/>
      <c r="AG103" s="90" t="s">
        <v>184</v>
      </c>
    </row>
    <row r="104" ht="175" spans="2:37">
      <c r="B104" s="68" t="s">
        <v>426</v>
      </c>
      <c r="C104" s="68" t="s">
        <v>281</v>
      </c>
      <c r="D104" s="68"/>
      <c r="E104" s="68" t="s">
        <v>427</v>
      </c>
      <c r="F104" s="58">
        <v>2021</v>
      </c>
      <c r="G104" s="71">
        <f t="shared" si="98"/>
        <v>0.98</v>
      </c>
      <c r="H104" s="71"/>
      <c r="I104" s="71">
        <f t="shared" ref="I104:N104" si="104">I98</f>
        <v>0.198483654420798</v>
      </c>
      <c r="J104" s="71">
        <f t="shared" si="104"/>
        <v>260.555555555556</v>
      </c>
      <c r="K104" s="71">
        <f t="shared" si="104"/>
        <v>2.77777777777778</v>
      </c>
      <c r="L104" s="71">
        <f t="shared" si="104"/>
        <v>260.555555555556</v>
      </c>
      <c r="M104" s="71">
        <f t="shared" si="104"/>
        <v>2.77777777777778</v>
      </c>
      <c r="N104" s="71">
        <f t="shared" si="104"/>
        <v>12</v>
      </c>
      <c r="O104" s="75">
        <v>31.54</v>
      </c>
      <c r="R104" s="61">
        <v>15</v>
      </c>
      <c r="U104" s="80" t="s">
        <v>426</v>
      </c>
      <c r="W104" s="80" t="s">
        <v>39</v>
      </c>
      <c r="X104" s="80" t="s">
        <v>40</v>
      </c>
      <c r="AE104" s="41" t="s">
        <v>428</v>
      </c>
      <c r="AF104" s="88" t="s">
        <v>281</v>
      </c>
      <c r="AG104" s="88"/>
      <c r="AJ104">
        <f>AJ102</f>
        <v>0.324756413912996</v>
      </c>
      <c r="AK104" s="57" t="s">
        <v>182</v>
      </c>
    </row>
    <row r="105" spans="2:33">
      <c r="B105" s="68" t="s">
        <v>429</v>
      </c>
      <c r="C105" s="68" t="s">
        <v>324</v>
      </c>
      <c r="D105" s="68"/>
      <c r="E105" s="68" t="s">
        <v>427</v>
      </c>
      <c r="F105" s="58">
        <v>2021</v>
      </c>
      <c r="G105" s="71">
        <f t="shared" ref="G105:G110" si="105">G99</f>
        <v>0.8</v>
      </c>
      <c r="H105" s="71"/>
      <c r="I105" s="71">
        <f t="shared" ref="I105:N105" si="106">I99</f>
        <v>0.469468493403833</v>
      </c>
      <c r="J105" s="71">
        <f t="shared" si="106"/>
        <v>116.810344827586</v>
      </c>
      <c r="K105" s="71">
        <f t="shared" si="106"/>
        <v>5.51724137931035</v>
      </c>
      <c r="L105" s="71">
        <f t="shared" si="106"/>
        <v>116.810344827586</v>
      </c>
      <c r="M105" s="71">
        <f t="shared" si="106"/>
        <v>5.51724137931035</v>
      </c>
      <c r="N105" s="71">
        <f t="shared" si="106"/>
        <v>10</v>
      </c>
      <c r="O105" s="75">
        <v>31.54</v>
      </c>
      <c r="R105" s="61">
        <v>15</v>
      </c>
      <c r="U105" s="80" t="s">
        <v>429</v>
      </c>
      <c r="W105" s="80" t="s">
        <v>39</v>
      </c>
      <c r="X105" s="80" t="s">
        <v>40</v>
      </c>
      <c r="AE105" s="41"/>
      <c r="AF105" s="41"/>
      <c r="AG105" s="90" t="s">
        <v>184</v>
      </c>
    </row>
    <row r="106" ht="137.5" spans="2:37">
      <c r="B106" s="68" t="s">
        <v>430</v>
      </c>
      <c r="C106" s="68" t="s">
        <v>326</v>
      </c>
      <c r="D106" s="68"/>
      <c r="E106" s="68" t="s">
        <v>427</v>
      </c>
      <c r="F106" s="58">
        <v>2021</v>
      </c>
      <c r="G106" s="71">
        <f t="shared" si="105"/>
        <v>0.8</v>
      </c>
      <c r="H106" s="71"/>
      <c r="I106" s="71">
        <f t="shared" ref="I106:N106" si="107">I100</f>
        <v>0.183615708905633</v>
      </c>
      <c r="J106" s="71">
        <f t="shared" si="107"/>
        <v>69.5454545454545</v>
      </c>
      <c r="K106" s="71">
        <f t="shared" si="107"/>
        <v>2.27272727272727</v>
      </c>
      <c r="L106" s="71">
        <f t="shared" si="107"/>
        <v>69.5454545454545</v>
      </c>
      <c r="M106" s="71">
        <f t="shared" si="107"/>
        <v>2.27272727272727</v>
      </c>
      <c r="N106" s="71">
        <f t="shared" si="107"/>
        <v>13</v>
      </c>
      <c r="O106" s="75">
        <v>31.54</v>
      </c>
      <c r="R106" s="61">
        <v>15</v>
      </c>
      <c r="U106" s="80" t="s">
        <v>430</v>
      </c>
      <c r="W106" s="80" t="s">
        <v>39</v>
      </c>
      <c r="X106" s="80" t="s">
        <v>40</v>
      </c>
      <c r="AE106" t="s">
        <v>431</v>
      </c>
      <c r="AF106" t="s">
        <v>281</v>
      </c>
      <c r="AH106" t="s">
        <v>432</v>
      </c>
      <c r="AJ106">
        <f>AVERAGE(AJ82,AJ83)</f>
        <v>0.0134159728442635</v>
      </c>
      <c r="AK106" s="57" t="s">
        <v>183</v>
      </c>
    </row>
    <row r="107" spans="2:33">
      <c r="B107" s="68" t="s">
        <v>433</v>
      </c>
      <c r="C107" s="68" t="s">
        <v>328</v>
      </c>
      <c r="D107" s="68"/>
      <c r="E107" s="68" t="s">
        <v>427</v>
      </c>
      <c r="F107" s="58">
        <v>2021</v>
      </c>
      <c r="G107" s="71">
        <f t="shared" si="105"/>
        <v>0.8</v>
      </c>
      <c r="H107" s="71"/>
      <c r="I107" s="71">
        <f t="shared" ref="I107:N107" si="108">I101</f>
        <v>0.183615708905633</v>
      </c>
      <c r="J107" s="71">
        <f t="shared" si="108"/>
        <v>69.5454545454545</v>
      </c>
      <c r="K107" s="71">
        <f t="shared" si="108"/>
        <v>2.27272727272727</v>
      </c>
      <c r="L107" s="71">
        <f t="shared" si="108"/>
        <v>69.5454545454545</v>
      </c>
      <c r="M107" s="71">
        <f t="shared" si="108"/>
        <v>2.27272727272727</v>
      </c>
      <c r="N107" s="71">
        <f t="shared" si="108"/>
        <v>13</v>
      </c>
      <c r="O107" s="75">
        <v>31.54</v>
      </c>
      <c r="R107" s="61">
        <v>15</v>
      </c>
      <c r="U107" s="80" t="s">
        <v>433</v>
      </c>
      <c r="W107" s="80" t="s">
        <v>39</v>
      </c>
      <c r="X107" s="80" t="s">
        <v>40</v>
      </c>
      <c r="AG107" t="s">
        <v>184</v>
      </c>
    </row>
    <row r="108" ht="137.5" spans="2:37">
      <c r="B108" s="68" t="s">
        <v>434</v>
      </c>
      <c r="C108" s="68" t="s">
        <v>330</v>
      </c>
      <c r="D108" s="68"/>
      <c r="E108" s="68" t="s">
        <v>427</v>
      </c>
      <c r="F108" s="58">
        <v>2021</v>
      </c>
      <c r="G108" s="71">
        <f t="shared" si="105"/>
        <v>0.98</v>
      </c>
      <c r="H108" s="71"/>
      <c r="I108" s="71">
        <f t="shared" ref="I108:N108" si="109">I102</f>
        <v>0.294153795762057</v>
      </c>
      <c r="J108" s="71">
        <f t="shared" si="109"/>
        <v>72.4242424242424</v>
      </c>
      <c r="K108" s="71">
        <f t="shared" si="109"/>
        <v>0.787878787878788</v>
      </c>
      <c r="L108" s="71">
        <f t="shared" si="109"/>
        <v>72.4242424242424</v>
      </c>
      <c r="M108" s="71">
        <f t="shared" si="109"/>
        <v>0.787878787878788</v>
      </c>
      <c r="N108" s="71">
        <f t="shared" si="109"/>
        <v>15</v>
      </c>
      <c r="O108" s="75">
        <v>31.54</v>
      </c>
      <c r="R108" s="61">
        <v>15</v>
      </c>
      <c r="U108" s="80" t="s">
        <v>434</v>
      </c>
      <c r="W108" s="80" t="s">
        <v>39</v>
      </c>
      <c r="X108" s="80" t="s">
        <v>40</v>
      </c>
      <c r="AE108" t="s">
        <v>435</v>
      </c>
      <c r="AF108" t="s">
        <v>281</v>
      </c>
      <c r="AH108" t="s">
        <v>436</v>
      </c>
      <c r="AJ108">
        <f t="shared" ref="AJ108:AJ112" si="110">AJ106</f>
        <v>0.0134159728442635</v>
      </c>
      <c r="AK108" s="57" t="s">
        <v>183</v>
      </c>
    </row>
    <row r="109" spans="2:33">
      <c r="B109" s="68" t="s">
        <v>437</v>
      </c>
      <c r="C109" s="68" t="s">
        <v>332</v>
      </c>
      <c r="D109" s="68"/>
      <c r="E109" s="68" t="s">
        <v>427</v>
      </c>
      <c r="F109" s="58">
        <v>2021</v>
      </c>
      <c r="G109" s="71">
        <f t="shared" si="105"/>
        <v>0.872</v>
      </c>
      <c r="H109" s="71"/>
      <c r="I109" s="71">
        <f t="shared" ref="I109:N109" si="111">I103</f>
        <v>0.619201122080021</v>
      </c>
      <c r="J109" s="71">
        <f t="shared" si="111"/>
        <v>117.776210379659</v>
      </c>
      <c r="K109" s="71">
        <f t="shared" si="111"/>
        <v>2.72567049808429</v>
      </c>
      <c r="L109" s="71">
        <f t="shared" si="111"/>
        <v>117.776210379659</v>
      </c>
      <c r="M109" s="71">
        <f t="shared" si="111"/>
        <v>2.72567049808429</v>
      </c>
      <c r="N109" s="71">
        <f t="shared" si="111"/>
        <v>12.6</v>
      </c>
      <c r="O109" s="75">
        <v>31.54</v>
      </c>
      <c r="R109" s="61">
        <v>15</v>
      </c>
      <c r="U109" s="80" t="s">
        <v>437</v>
      </c>
      <c r="W109" s="80" t="s">
        <v>39</v>
      </c>
      <c r="X109" s="80" t="s">
        <v>40</v>
      </c>
      <c r="AG109" t="s">
        <v>184</v>
      </c>
    </row>
    <row r="110" ht="137.5" spans="2:37">
      <c r="B110" s="68" t="s">
        <v>438</v>
      </c>
      <c r="C110" s="68" t="s">
        <v>281</v>
      </c>
      <c r="D110" s="68"/>
      <c r="E110" s="68" t="s">
        <v>439</v>
      </c>
      <c r="F110" s="58">
        <v>2021</v>
      </c>
      <c r="G110" s="71">
        <f t="shared" si="105"/>
        <v>0.98</v>
      </c>
      <c r="H110" s="71"/>
      <c r="I110" s="71">
        <f t="shared" ref="I110:N110" si="112">I104</f>
        <v>0.198483654420798</v>
      </c>
      <c r="J110" s="71">
        <f t="shared" si="112"/>
        <v>260.555555555556</v>
      </c>
      <c r="K110" s="71">
        <f t="shared" si="112"/>
        <v>2.77777777777778</v>
      </c>
      <c r="L110" s="71">
        <f t="shared" si="112"/>
        <v>260.555555555556</v>
      </c>
      <c r="M110" s="71">
        <f t="shared" si="112"/>
        <v>2.77777777777778</v>
      </c>
      <c r="N110" s="71">
        <f t="shared" si="112"/>
        <v>12</v>
      </c>
      <c r="O110" s="75">
        <v>31.54</v>
      </c>
      <c r="R110" s="61">
        <v>15</v>
      </c>
      <c r="U110" s="80" t="s">
        <v>438</v>
      </c>
      <c r="W110" s="80" t="s">
        <v>39</v>
      </c>
      <c r="X110" s="80" t="s">
        <v>40</v>
      </c>
      <c r="AE110" t="s">
        <v>440</v>
      </c>
      <c r="AF110" t="s">
        <v>281</v>
      </c>
      <c r="AH110" t="s">
        <v>441</v>
      </c>
      <c r="AJ110">
        <f t="shared" si="110"/>
        <v>0.0134159728442635</v>
      </c>
      <c r="AK110" s="57" t="s">
        <v>183</v>
      </c>
    </row>
    <row r="111" spans="2:33">
      <c r="B111" s="68" t="s">
        <v>442</v>
      </c>
      <c r="C111" s="68" t="s">
        <v>324</v>
      </c>
      <c r="D111" s="68"/>
      <c r="E111" s="68" t="s">
        <v>439</v>
      </c>
      <c r="F111" s="58">
        <v>2021</v>
      </c>
      <c r="G111" s="71">
        <f t="shared" ref="G111:G116" si="113">G105</f>
        <v>0.8</v>
      </c>
      <c r="H111" s="71"/>
      <c r="I111" s="71">
        <f t="shared" ref="I111:N111" si="114">I105</f>
        <v>0.469468493403833</v>
      </c>
      <c r="J111" s="71">
        <f t="shared" si="114"/>
        <v>116.810344827586</v>
      </c>
      <c r="K111" s="71">
        <f t="shared" si="114"/>
        <v>5.51724137931035</v>
      </c>
      <c r="L111" s="71">
        <f t="shared" si="114"/>
        <v>116.810344827586</v>
      </c>
      <c r="M111" s="71">
        <f t="shared" si="114"/>
        <v>5.51724137931035</v>
      </c>
      <c r="N111" s="71">
        <f t="shared" si="114"/>
        <v>10</v>
      </c>
      <c r="O111" s="75">
        <v>31.54</v>
      </c>
      <c r="R111" s="61">
        <v>15</v>
      </c>
      <c r="U111" s="80" t="s">
        <v>442</v>
      </c>
      <c r="W111" s="80" t="s">
        <v>39</v>
      </c>
      <c r="X111" s="80" t="s">
        <v>40</v>
      </c>
      <c r="AG111" t="s">
        <v>184</v>
      </c>
    </row>
    <row r="112" ht="137.5" spans="2:37">
      <c r="B112" s="68" t="s">
        <v>443</v>
      </c>
      <c r="C112" s="68" t="s">
        <v>326</v>
      </c>
      <c r="D112" s="68"/>
      <c r="E112" s="68" t="s">
        <v>439</v>
      </c>
      <c r="F112" s="58">
        <v>2021</v>
      </c>
      <c r="G112" s="71">
        <f t="shared" si="113"/>
        <v>0.8</v>
      </c>
      <c r="H112" s="71"/>
      <c r="I112" s="71">
        <f t="shared" ref="I112:N112" si="115">I106</f>
        <v>0.183615708905633</v>
      </c>
      <c r="J112" s="71">
        <f t="shared" si="115"/>
        <v>69.5454545454545</v>
      </c>
      <c r="K112" s="71">
        <f t="shared" si="115"/>
        <v>2.27272727272727</v>
      </c>
      <c r="L112" s="71">
        <f t="shared" si="115"/>
        <v>69.5454545454545</v>
      </c>
      <c r="M112" s="71">
        <f t="shared" si="115"/>
        <v>2.27272727272727</v>
      </c>
      <c r="N112" s="71">
        <f t="shared" si="115"/>
        <v>13</v>
      </c>
      <c r="O112" s="75">
        <v>31.54</v>
      </c>
      <c r="R112" s="61">
        <v>15</v>
      </c>
      <c r="U112" s="80" t="s">
        <v>443</v>
      </c>
      <c r="W112" s="80" t="s">
        <v>39</v>
      </c>
      <c r="X112" s="80" t="s">
        <v>40</v>
      </c>
      <c r="AE112" t="s">
        <v>444</v>
      </c>
      <c r="AF112" t="s">
        <v>281</v>
      </c>
      <c r="AH112" t="s">
        <v>445</v>
      </c>
      <c r="AJ112">
        <f t="shared" si="110"/>
        <v>0.0134159728442635</v>
      </c>
      <c r="AK112" s="57" t="s">
        <v>183</v>
      </c>
    </row>
    <row r="113" spans="2:33">
      <c r="B113" s="68" t="s">
        <v>446</v>
      </c>
      <c r="C113" s="68" t="s">
        <v>328</v>
      </c>
      <c r="D113" s="68"/>
      <c r="E113" s="68" t="s">
        <v>439</v>
      </c>
      <c r="F113" s="58">
        <v>2021</v>
      </c>
      <c r="G113" s="71">
        <f t="shared" si="113"/>
        <v>0.8</v>
      </c>
      <c r="H113" s="71"/>
      <c r="I113" s="71">
        <f t="shared" ref="I113:N113" si="116">I107</f>
        <v>0.183615708905633</v>
      </c>
      <c r="J113" s="71">
        <f t="shared" si="116"/>
        <v>69.5454545454545</v>
      </c>
      <c r="K113" s="71">
        <f t="shared" si="116"/>
        <v>2.27272727272727</v>
      </c>
      <c r="L113" s="71">
        <f t="shared" si="116"/>
        <v>69.5454545454545</v>
      </c>
      <c r="M113" s="71">
        <f t="shared" si="116"/>
        <v>2.27272727272727</v>
      </c>
      <c r="N113" s="71">
        <f t="shared" si="116"/>
        <v>13</v>
      </c>
      <c r="O113" s="75">
        <v>31.54</v>
      </c>
      <c r="R113" s="61">
        <v>15</v>
      </c>
      <c r="U113" s="80" t="s">
        <v>446</v>
      </c>
      <c r="W113" s="80" t="s">
        <v>39</v>
      </c>
      <c r="X113" s="80" t="s">
        <v>40</v>
      </c>
      <c r="AG113" t="s">
        <v>184</v>
      </c>
    </row>
    <row r="114" ht="137.5" spans="2:37">
      <c r="B114" s="68" t="s">
        <v>447</v>
      </c>
      <c r="C114" s="68" t="s">
        <v>330</v>
      </c>
      <c r="D114" s="68"/>
      <c r="E114" s="68" t="s">
        <v>439</v>
      </c>
      <c r="F114" s="58">
        <v>2021</v>
      </c>
      <c r="G114" s="71">
        <f t="shared" si="113"/>
        <v>0.98</v>
      </c>
      <c r="H114" s="71"/>
      <c r="I114" s="71">
        <f t="shared" ref="I114:N114" si="117">I108</f>
        <v>0.294153795762057</v>
      </c>
      <c r="J114" s="71">
        <f t="shared" si="117"/>
        <v>72.4242424242424</v>
      </c>
      <c r="K114" s="71">
        <f t="shared" si="117"/>
        <v>0.787878787878788</v>
      </c>
      <c r="L114" s="71">
        <f t="shared" si="117"/>
        <v>72.4242424242424</v>
      </c>
      <c r="M114" s="71">
        <f t="shared" si="117"/>
        <v>0.787878787878788</v>
      </c>
      <c r="N114" s="71">
        <f t="shared" si="117"/>
        <v>15</v>
      </c>
      <c r="O114" s="75">
        <v>31.54</v>
      </c>
      <c r="R114" s="61">
        <v>15</v>
      </c>
      <c r="U114" s="80" t="s">
        <v>447</v>
      </c>
      <c r="W114" s="80" t="s">
        <v>39</v>
      </c>
      <c r="X114" s="80" t="s">
        <v>40</v>
      </c>
      <c r="AE114" t="s">
        <v>448</v>
      </c>
      <c r="AF114" t="s">
        <v>281</v>
      </c>
      <c r="AH114" t="s">
        <v>449</v>
      </c>
      <c r="AJ114">
        <f t="shared" ref="AJ114:AJ118" si="118">AJ112</f>
        <v>0.0134159728442635</v>
      </c>
      <c r="AK114" s="57" t="s">
        <v>183</v>
      </c>
    </row>
    <row r="115" spans="2:33">
      <c r="B115" s="68" t="s">
        <v>450</v>
      </c>
      <c r="C115" s="68" t="s">
        <v>332</v>
      </c>
      <c r="D115" s="68"/>
      <c r="E115" s="68" t="s">
        <v>439</v>
      </c>
      <c r="F115" s="58">
        <v>2021</v>
      </c>
      <c r="G115" s="71">
        <f t="shared" si="113"/>
        <v>0.872</v>
      </c>
      <c r="H115" s="71"/>
      <c r="I115" s="71">
        <f t="shared" ref="I115:N115" si="119">I109</f>
        <v>0.619201122080021</v>
      </c>
      <c r="J115" s="71">
        <f t="shared" si="119"/>
        <v>117.776210379659</v>
      </c>
      <c r="K115" s="71">
        <f t="shared" si="119"/>
        <v>2.72567049808429</v>
      </c>
      <c r="L115" s="71">
        <f t="shared" si="119"/>
        <v>117.776210379659</v>
      </c>
      <c r="M115" s="71">
        <f t="shared" si="119"/>
        <v>2.72567049808429</v>
      </c>
      <c r="N115" s="71">
        <f t="shared" si="119"/>
        <v>12.6</v>
      </c>
      <c r="O115" s="75">
        <v>31.54</v>
      </c>
      <c r="R115" s="61">
        <v>15</v>
      </c>
      <c r="U115" s="80" t="s">
        <v>450</v>
      </c>
      <c r="W115" s="80" t="s">
        <v>39</v>
      </c>
      <c r="X115" s="80" t="s">
        <v>40</v>
      </c>
      <c r="AG115" t="s">
        <v>184</v>
      </c>
    </row>
    <row r="116" ht="137.5" spans="2:37">
      <c r="B116" s="68" t="s">
        <v>451</v>
      </c>
      <c r="C116" s="68" t="s">
        <v>281</v>
      </c>
      <c r="D116" s="68"/>
      <c r="E116" s="68" t="s">
        <v>452</v>
      </c>
      <c r="F116" s="58">
        <v>2021</v>
      </c>
      <c r="G116" s="71">
        <f t="shared" si="113"/>
        <v>0.98</v>
      </c>
      <c r="H116" s="71"/>
      <c r="I116" s="71">
        <f t="shared" ref="I116:N116" si="120">I110</f>
        <v>0.198483654420798</v>
      </c>
      <c r="J116" s="71">
        <f t="shared" si="120"/>
        <v>260.555555555556</v>
      </c>
      <c r="K116" s="71">
        <f t="shared" si="120"/>
        <v>2.77777777777778</v>
      </c>
      <c r="L116" s="71">
        <f t="shared" si="120"/>
        <v>260.555555555556</v>
      </c>
      <c r="M116" s="71">
        <f t="shared" si="120"/>
        <v>2.77777777777778</v>
      </c>
      <c r="N116" s="71">
        <f t="shared" si="120"/>
        <v>12</v>
      </c>
      <c r="O116" s="75">
        <v>31.54</v>
      </c>
      <c r="R116" s="61">
        <v>15</v>
      </c>
      <c r="U116" s="80" t="s">
        <v>451</v>
      </c>
      <c r="W116" s="80" t="s">
        <v>39</v>
      </c>
      <c r="X116" s="80" t="s">
        <v>40</v>
      </c>
      <c r="AE116" t="s">
        <v>453</v>
      </c>
      <c r="AF116" t="s">
        <v>281</v>
      </c>
      <c r="AH116" t="s">
        <v>454</v>
      </c>
      <c r="AJ116">
        <f t="shared" si="118"/>
        <v>0.0134159728442635</v>
      </c>
      <c r="AK116" s="57" t="s">
        <v>183</v>
      </c>
    </row>
    <row r="117" spans="2:33">
      <c r="B117" s="68" t="s">
        <v>455</v>
      </c>
      <c r="C117" s="68" t="s">
        <v>324</v>
      </c>
      <c r="D117" s="68"/>
      <c r="E117" s="68" t="s">
        <v>452</v>
      </c>
      <c r="F117" s="58">
        <v>2021</v>
      </c>
      <c r="G117" s="71">
        <f t="shared" ref="G117:G122" si="121">G111</f>
        <v>0.8</v>
      </c>
      <c r="H117" s="71"/>
      <c r="I117" s="71">
        <f t="shared" ref="I117:N117" si="122">I111</f>
        <v>0.469468493403833</v>
      </c>
      <c r="J117" s="71">
        <f t="shared" si="122"/>
        <v>116.810344827586</v>
      </c>
      <c r="K117" s="71">
        <f t="shared" si="122"/>
        <v>5.51724137931035</v>
      </c>
      <c r="L117" s="71">
        <f t="shared" si="122"/>
        <v>116.810344827586</v>
      </c>
      <c r="M117" s="71">
        <f t="shared" si="122"/>
        <v>5.51724137931035</v>
      </c>
      <c r="N117" s="71">
        <f t="shared" si="122"/>
        <v>10</v>
      </c>
      <c r="O117" s="75">
        <v>31.54</v>
      </c>
      <c r="R117" s="61">
        <v>15</v>
      </c>
      <c r="U117" s="80" t="s">
        <v>455</v>
      </c>
      <c r="W117" s="80" t="s">
        <v>39</v>
      </c>
      <c r="X117" s="80" t="s">
        <v>40</v>
      </c>
      <c r="AG117" t="s">
        <v>184</v>
      </c>
    </row>
    <row r="118" ht="137.5" spans="2:37">
      <c r="B118" s="68" t="s">
        <v>456</v>
      </c>
      <c r="C118" s="68" t="s">
        <v>326</v>
      </c>
      <c r="D118" s="68"/>
      <c r="E118" s="68" t="s">
        <v>452</v>
      </c>
      <c r="F118" s="58">
        <v>2021</v>
      </c>
      <c r="G118" s="71">
        <f t="shared" si="121"/>
        <v>0.8</v>
      </c>
      <c r="H118" s="71"/>
      <c r="I118" s="71">
        <f t="shared" ref="I118:N118" si="123">I112</f>
        <v>0.183615708905633</v>
      </c>
      <c r="J118" s="71">
        <f t="shared" si="123"/>
        <v>69.5454545454545</v>
      </c>
      <c r="K118" s="71">
        <f t="shared" si="123"/>
        <v>2.27272727272727</v>
      </c>
      <c r="L118" s="71">
        <f t="shared" si="123"/>
        <v>69.5454545454545</v>
      </c>
      <c r="M118" s="71">
        <f t="shared" si="123"/>
        <v>2.27272727272727</v>
      </c>
      <c r="N118" s="71">
        <f t="shared" si="123"/>
        <v>13</v>
      </c>
      <c r="O118" s="75">
        <v>31.54</v>
      </c>
      <c r="R118" s="61">
        <v>15</v>
      </c>
      <c r="U118" s="80" t="s">
        <v>456</v>
      </c>
      <c r="W118" s="80" t="s">
        <v>39</v>
      </c>
      <c r="X118" s="80" t="s">
        <v>40</v>
      </c>
      <c r="AE118" t="s">
        <v>457</v>
      </c>
      <c r="AF118" t="s">
        <v>281</v>
      </c>
      <c r="AH118" t="s">
        <v>458</v>
      </c>
      <c r="AJ118">
        <f t="shared" si="118"/>
        <v>0.0134159728442635</v>
      </c>
      <c r="AK118" s="57" t="s">
        <v>183</v>
      </c>
    </row>
    <row r="119" spans="2:33">
      <c r="B119" s="68" t="s">
        <v>459</v>
      </c>
      <c r="C119" s="68" t="s">
        <v>328</v>
      </c>
      <c r="D119" s="68"/>
      <c r="E119" s="68" t="s">
        <v>452</v>
      </c>
      <c r="F119" s="58">
        <v>2021</v>
      </c>
      <c r="G119" s="71">
        <f t="shared" si="121"/>
        <v>0.8</v>
      </c>
      <c r="H119" s="71"/>
      <c r="I119" s="71">
        <f t="shared" ref="I119:N119" si="124">I113</f>
        <v>0.183615708905633</v>
      </c>
      <c r="J119" s="71">
        <f t="shared" si="124"/>
        <v>69.5454545454545</v>
      </c>
      <c r="K119" s="71">
        <f t="shared" si="124"/>
        <v>2.27272727272727</v>
      </c>
      <c r="L119" s="71">
        <f t="shared" si="124"/>
        <v>69.5454545454545</v>
      </c>
      <c r="M119" s="71">
        <f t="shared" si="124"/>
        <v>2.27272727272727</v>
      </c>
      <c r="N119" s="71">
        <f t="shared" si="124"/>
        <v>13</v>
      </c>
      <c r="O119" s="75">
        <v>31.54</v>
      </c>
      <c r="R119" s="61">
        <v>15</v>
      </c>
      <c r="U119" s="80" t="s">
        <v>459</v>
      </c>
      <c r="W119" s="80" t="s">
        <v>39</v>
      </c>
      <c r="X119" s="80" t="s">
        <v>40</v>
      </c>
      <c r="AG119" t="s">
        <v>184</v>
      </c>
    </row>
    <row r="120" ht="137.5" spans="2:37">
      <c r="B120" s="68" t="s">
        <v>460</v>
      </c>
      <c r="C120" s="68" t="s">
        <v>330</v>
      </c>
      <c r="D120" s="68"/>
      <c r="E120" s="68" t="s">
        <v>452</v>
      </c>
      <c r="F120" s="58">
        <v>2021</v>
      </c>
      <c r="G120" s="71">
        <f t="shared" si="121"/>
        <v>0.98</v>
      </c>
      <c r="H120" s="71"/>
      <c r="I120" s="71">
        <f t="shared" ref="I120:N120" si="125">I114</f>
        <v>0.294153795762057</v>
      </c>
      <c r="J120" s="71">
        <f t="shared" si="125"/>
        <v>72.4242424242424</v>
      </c>
      <c r="K120" s="71">
        <f t="shared" si="125"/>
        <v>0.787878787878788</v>
      </c>
      <c r="L120" s="71">
        <f t="shared" si="125"/>
        <v>72.4242424242424</v>
      </c>
      <c r="M120" s="71">
        <f t="shared" si="125"/>
        <v>0.787878787878788</v>
      </c>
      <c r="N120" s="71">
        <f t="shared" si="125"/>
        <v>15</v>
      </c>
      <c r="O120" s="75">
        <v>31.54</v>
      </c>
      <c r="R120" s="61">
        <v>15</v>
      </c>
      <c r="U120" s="80" t="s">
        <v>460</v>
      </c>
      <c r="W120" s="80" t="s">
        <v>39</v>
      </c>
      <c r="X120" s="80" t="s">
        <v>40</v>
      </c>
      <c r="AE120" t="s">
        <v>461</v>
      </c>
      <c r="AF120" t="s">
        <v>281</v>
      </c>
      <c r="AH120" t="s">
        <v>462</v>
      </c>
      <c r="AJ120">
        <f t="shared" ref="AJ120:AJ124" si="126">AJ118</f>
        <v>0.0134159728442635</v>
      </c>
      <c r="AK120" s="57" t="s">
        <v>183</v>
      </c>
    </row>
    <row r="121" spans="2:33">
      <c r="B121" s="68" t="s">
        <v>463</v>
      </c>
      <c r="C121" s="68" t="s">
        <v>332</v>
      </c>
      <c r="D121" s="68"/>
      <c r="E121" s="68" t="s">
        <v>452</v>
      </c>
      <c r="F121" s="58">
        <v>2021</v>
      </c>
      <c r="G121" s="71">
        <f t="shared" si="121"/>
        <v>0.872</v>
      </c>
      <c r="H121" s="71"/>
      <c r="I121" s="71">
        <f t="shared" ref="I121:N121" si="127">I115</f>
        <v>0.619201122080021</v>
      </c>
      <c r="J121" s="71">
        <f t="shared" si="127"/>
        <v>117.776210379659</v>
      </c>
      <c r="K121" s="71">
        <f t="shared" si="127"/>
        <v>2.72567049808429</v>
      </c>
      <c r="L121" s="71">
        <f t="shared" si="127"/>
        <v>117.776210379659</v>
      </c>
      <c r="M121" s="71">
        <f t="shared" si="127"/>
        <v>2.72567049808429</v>
      </c>
      <c r="N121" s="71">
        <f t="shared" si="127"/>
        <v>12.6</v>
      </c>
      <c r="O121" s="75">
        <v>31.54</v>
      </c>
      <c r="R121" s="61">
        <v>15</v>
      </c>
      <c r="U121" s="80" t="s">
        <v>463</v>
      </c>
      <c r="W121" s="80" t="s">
        <v>39</v>
      </c>
      <c r="X121" s="80" t="s">
        <v>40</v>
      </c>
      <c r="AG121" t="s">
        <v>184</v>
      </c>
    </row>
    <row r="122" ht="137.5" spans="2:37">
      <c r="B122" s="68" t="s">
        <v>464</v>
      </c>
      <c r="C122" s="68" t="s">
        <v>281</v>
      </c>
      <c r="D122" s="68"/>
      <c r="E122" s="68" t="s">
        <v>465</v>
      </c>
      <c r="F122" s="58">
        <v>2021</v>
      </c>
      <c r="G122" s="71">
        <f t="shared" si="121"/>
        <v>0.98</v>
      </c>
      <c r="H122" s="71"/>
      <c r="I122" s="71">
        <f t="shared" ref="I122:N122" si="128">I116</f>
        <v>0.198483654420798</v>
      </c>
      <c r="J122" s="71">
        <f t="shared" si="128"/>
        <v>260.555555555556</v>
      </c>
      <c r="K122" s="71">
        <f t="shared" si="128"/>
        <v>2.77777777777778</v>
      </c>
      <c r="L122" s="71">
        <f t="shared" si="128"/>
        <v>260.555555555556</v>
      </c>
      <c r="M122" s="71">
        <f t="shared" si="128"/>
        <v>2.77777777777778</v>
      </c>
      <c r="N122" s="71">
        <f t="shared" si="128"/>
        <v>12</v>
      </c>
      <c r="O122" s="75">
        <v>31.54</v>
      </c>
      <c r="R122" s="61">
        <v>15</v>
      </c>
      <c r="U122" s="80" t="s">
        <v>464</v>
      </c>
      <c r="W122" s="80" t="s">
        <v>39</v>
      </c>
      <c r="X122" s="80" t="s">
        <v>40</v>
      </c>
      <c r="AE122" t="s">
        <v>466</v>
      </c>
      <c r="AF122" t="s">
        <v>281</v>
      </c>
      <c r="AH122" t="s">
        <v>467</v>
      </c>
      <c r="AJ122">
        <f t="shared" si="126"/>
        <v>0.0134159728442635</v>
      </c>
      <c r="AK122" s="57" t="s">
        <v>183</v>
      </c>
    </row>
    <row r="123" spans="2:33">
      <c r="B123" s="68" t="s">
        <v>468</v>
      </c>
      <c r="C123" s="68" t="s">
        <v>324</v>
      </c>
      <c r="D123" s="68"/>
      <c r="E123" s="68" t="s">
        <v>465</v>
      </c>
      <c r="F123" s="58">
        <v>2021</v>
      </c>
      <c r="G123" s="71">
        <f t="shared" ref="G123:G128" si="129">G117</f>
        <v>0.8</v>
      </c>
      <c r="H123" s="71"/>
      <c r="I123" s="71">
        <f t="shared" ref="I123:N123" si="130">I117</f>
        <v>0.469468493403833</v>
      </c>
      <c r="J123" s="71">
        <f t="shared" si="130"/>
        <v>116.810344827586</v>
      </c>
      <c r="K123" s="71">
        <f t="shared" si="130"/>
        <v>5.51724137931035</v>
      </c>
      <c r="L123" s="71">
        <f t="shared" si="130"/>
        <v>116.810344827586</v>
      </c>
      <c r="M123" s="71">
        <f t="shared" si="130"/>
        <v>5.51724137931035</v>
      </c>
      <c r="N123" s="71">
        <f t="shared" si="130"/>
        <v>10</v>
      </c>
      <c r="O123" s="75">
        <v>31.54</v>
      </c>
      <c r="R123" s="61">
        <v>15</v>
      </c>
      <c r="U123" s="80" t="s">
        <v>468</v>
      </c>
      <c r="W123" s="80" t="s">
        <v>39</v>
      </c>
      <c r="X123" s="80" t="s">
        <v>40</v>
      </c>
      <c r="AG123" t="s">
        <v>184</v>
      </c>
    </row>
    <row r="124" ht="137.5" spans="2:37">
      <c r="B124" s="68" t="s">
        <v>469</v>
      </c>
      <c r="C124" s="68" t="s">
        <v>326</v>
      </c>
      <c r="D124" s="68"/>
      <c r="E124" s="68" t="s">
        <v>465</v>
      </c>
      <c r="F124" s="58">
        <v>2021</v>
      </c>
      <c r="G124" s="71">
        <f t="shared" si="129"/>
        <v>0.8</v>
      </c>
      <c r="H124" s="71"/>
      <c r="I124" s="71">
        <f t="shared" ref="I124:N124" si="131">I118</f>
        <v>0.183615708905633</v>
      </c>
      <c r="J124" s="71">
        <f t="shared" si="131"/>
        <v>69.5454545454545</v>
      </c>
      <c r="K124" s="71">
        <f t="shared" si="131"/>
        <v>2.27272727272727</v>
      </c>
      <c r="L124" s="71">
        <f t="shared" si="131"/>
        <v>69.5454545454545</v>
      </c>
      <c r="M124" s="71">
        <f t="shared" si="131"/>
        <v>2.27272727272727</v>
      </c>
      <c r="N124" s="71">
        <f t="shared" si="131"/>
        <v>13</v>
      </c>
      <c r="O124" s="75">
        <v>31.54</v>
      </c>
      <c r="R124" s="61">
        <v>15</v>
      </c>
      <c r="U124" s="80" t="s">
        <v>469</v>
      </c>
      <c r="W124" s="80" t="s">
        <v>39</v>
      </c>
      <c r="X124" s="80" t="s">
        <v>40</v>
      </c>
      <c r="AE124" t="s">
        <v>470</v>
      </c>
      <c r="AF124" t="s">
        <v>281</v>
      </c>
      <c r="AH124" t="s">
        <v>471</v>
      </c>
      <c r="AJ124">
        <f t="shared" si="126"/>
        <v>0.0134159728442635</v>
      </c>
      <c r="AK124" s="57" t="s">
        <v>183</v>
      </c>
    </row>
    <row r="125" spans="2:33">
      <c r="B125" s="68" t="s">
        <v>472</v>
      </c>
      <c r="C125" s="68" t="s">
        <v>328</v>
      </c>
      <c r="D125" s="68"/>
      <c r="E125" s="68" t="s">
        <v>465</v>
      </c>
      <c r="F125" s="58">
        <v>2021</v>
      </c>
      <c r="G125" s="71">
        <f t="shared" si="129"/>
        <v>0.8</v>
      </c>
      <c r="H125" s="71"/>
      <c r="I125" s="71">
        <f t="shared" ref="I125:N125" si="132">I119</f>
        <v>0.183615708905633</v>
      </c>
      <c r="J125" s="71">
        <f t="shared" si="132"/>
        <v>69.5454545454545</v>
      </c>
      <c r="K125" s="71">
        <f t="shared" si="132"/>
        <v>2.27272727272727</v>
      </c>
      <c r="L125" s="71">
        <f t="shared" si="132"/>
        <v>69.5454545454545</v>
      </c>
      <c r="M125" s="71">
        <f t="shared" si="132"/>
        <v>2.27272727272727</v>
      </c>
      <c r="N125" s="71">
        <f t="shared" si="132"/>
        <v>13</v>
      </c>
      <c r="O125" s="75">
        <v>31.54</v>
      </c>
      <c r="R125" s="61">
        <v>15</v>
      </c>
      <c r="U125" s="80" t="s">
        <v>472</v>
      </c>
      <c r="W125" s="80" t="s">
        <v>39</v>
      </c>
      <c r="X125" s="80" t="s">
        <v>40</v>
      </c>
      <c r="AG125" t="s">
        <v>184</v>
      </c>
    </row>
    <row r="126" spans="2:24">
      <c r="B126" s="68" t="s">
        <v>473</v>
      </c>
      <c r="C126" s="68" t="s">
        <v>330</v>
      </c>
      <c r="D126" s="68"/>
      <c r="E126" s="68" t="s">
        <v>465</v>
      </c>
      <c r="F126" s="58">
        <v>2021</v>
      </c>
      <c r="G126" s="71">
        <f t="shared" si="129"/>
        <v>0.98</v>
      </c>
      <c r="H126" s="71"/>
      <c r="I126" s="71">
        <f t="shared" ref="I126:N126" si="133">I120</f>
        <v>0.294153795762057</v>
      </c>
      <c r="J126" s="71">
        <f t="shared" si="133"/>
        <v>72.4242424242424</v>
      </c>
      <c r="K126" s="71">
        <f t="shared" si="133"/>
        <v>0.787878787878788</v>
      </c>
      <c r="L126" s="71">
        <f t="shared" si="133"/>
        <v>72.4242424242424</v>
      </c>
      <c r="M126" s="71">
        <f t="shared" si="133"/>
        <v>0.787878787878788</v>
      </c>
      <c r="N126" s="71">
        <f t="shared" si="133"/>
        <v>15</v>
      </c>
      <c r="O126" s="75">
        <v>31.54</v>
      </c>
      <c r="R126" s="61">
        <v>15</v>
      </c>
      <c r="U126" s="80" t="s">
        <v>473</v>
      </c>
      <c r="W126" s="80" t="s">
        <v>39</v>
      </c>
      <c r="X126" s="80" t="s">
        <v>40</v>
      </c>
    </row>
    <row r="127" spans="2:24">
      <c r="B127" s="68" t="s">
        <v>474</v>
      </c>
      <c r="C127" s="68" t="s">
        <v>332</v>
      </c>
      <c r="D127" s="68"/>
      <c r="E127" s="68" t="s">
        <v>465</v>
      </c>
      <c r="F127" s="58">
        <v>2021</v>
      </c>
      <c r="G127" s="71">
        <f t="shared" si="129"/>
        <v>0.872</v>
      </c>
      <c r="H127" s="71"/>
      <c r="I127" s="71">
        <f t="shared" ref="I127:N127" si="134">I121</f>
        <v>0.619201122080021</v>
      </c>
      <c r="J127" s="71">
        <f t="shared" si="134"/>
        <v>117.776210379659</v>
      </c>
      <c r="K127" s="71">
        <f t="shared" si="134"/>
        <v>2.72567049808429</v>
      </c>
      <c r="L127" s="71">
        <f t="shared" si="134"/>
        <v>117.776210379659</v>
      </c>
      <c r="M127" s="71">
        <f t="shared" si="134"/>
        <v>2.72567049808429</v>
      </c>
      <c r="N127" s="71">
        <f t="shared" si="134"/>
        <v>12.6</v>
      </c>
      <c r="O127" s="75">
        <v>31.54</v>
      </c>
      <c r="R127" s="61">
        <v>15</v>
      </c>
      <c r="U127" s="80" t="s">
        <v>474</v>
      </c>
      <c r="W127" s="80" t="s">
        <v>39</v>
      </c>
      <c r="X127" s="80" t="s">
        <v>40</v>
      </c>
    </row>
    <row r="128" spans="2:24">
      <c r="B128" s="68" t="s">
        <v>475</v>
      </c>
      <c r="C128" s="68" t="s">
        <v>281</v>
      </c>
      <c r="D128" s="68"/>
      <c r="E128" s="68" t="s">
        <v>476</v>
      </c>
      <c r="F128" s="58">
        <v>2021</v>
      </c>
      <c r="G128" s="71">
        <f t="shared" si="129"/>
        <v>0.98</v>
      </c>
      <c r="H128" s="71"/>
      <c r="I128" s="71">
        <f t="shared" ref="I128:N128" si="135">I122</f>
        <v>0.198483654420798</v>
      </c>
      <c r="J128" s="71">
        <f t="shared" si="135"/>
        <v>260.555555555556</v>
      </c>
      <c r="K128" s="71">
        <f t="shared" si="135"/>
        <v>2.77777777777778</v>
      </c>
      <c r="L128" s="71">
        <f t="shared" si="135"/>
        <v>260.555555555556</v>
      </c>
      <c r="M128" s="71">
        <f t="shared" si="135"/>
        <v>2.77777777777778</v>
      </c>
      <c r="N128" s="71">
        <f t="shared" si="135"/>
        <v>12</v>
      </c>
      <c r="O128" s="75">
        <v>31.54</v>
      </c>
      <c r="R128" s="61">
        <v>15</v>
      </c>
      <c r="U128" s="80" t="s">
        <v>475</v>
      </c>
      <c r="W128" s="80" t="s">
        <v>39</v>
      </c>
      <c r="X128" s="80" t="s">
        <v>40</v>
      </c>
    </row>
    <row r="129" spans="2:24">
      <c r="B129" s="68" t="s">
        <v>477</v>
      </c>
      <c r="C129" s="68" t="s">
        <v>324</v>
      </c>
      <c r="D129" s="68"/>
      <c r="E129" s="68" t="s">
        <v>476</v>
      </c>
      <c r="F129" s="58">
        <v>2021</v>
      </c>
      <c r="G129" s="71">
        <f t="shared" ref="G129:G134" si="136">G123</f>
        <v>0.8</v>
      </c>
      <c r="H129" s="71"/>
      <c r="I129" s="71">
        <f t="shared" ref="I129:N129" si="137">I123</f>
        <v>0.469468493403833</v>
      </c>
      <c r="J129" s="71">
        <f t="shared" si="137"/>
        <v>116.810344827586</v>
      </c>
      <c r="K129" s="71">
        <f t="shared" si="137"/>
        <v>5.51724137931035</v>
      </c>
      <c r="L129" s="71">
        <f t="shared" si="137"/>
        <v>116.810344827586</v>
      </c>
      <c r="M129" s="71">
        <f t="shared" si="137"/>
        <v>5.51724137931035</v>
      </c>
      <c r="N129" s="71">
        <f t="shared" si="137"/>
        <v>10</v>
      </c>
      <c r="O129" s="75">
        <v>31.54</v>
      </c>
      <c r="R129" s="61">
        <v>15</v>
      </c>
      <c r="U129" s="80" t="s">
        <v>477</v>
      </c>
      <c r="W129" s="80" t="s">
        <v>39</v>
      </c>
      <c r="X129" s="80" t="s">
        <v>40</v>
      </c>
    </row>
    <row r="130" spans="2:24">
      <c r="B130" s="68" t="s">
        <v>478</v>
      </c>
      <c r="C130" s="68" t="s">
        <v>326</v>
      </c>
      <c r="D130" s="68"/>
      <c r="E130" s="68" t="s">
        <v>476</v>
      </c>
      <c r="F130" s="58">
        <v>2021</v>
      </c>
      <c r="G130" s="71">
        <f t="shared" si="136"/>
        <v>0.8</v>
      </c>
      <c r="H130" s="71"/>
      <c r="I130" s="71">
        <f t="shared" ref="I130:N130" si="138">I124</f>
        <v>0.183615708905633</v>
      </c>
      <c r="J130" s="71">
        <f t="shared" si="138"/>
        <v>69.5454545454545</v>
      </c>
      <c r="K130" s="71">
        <f t="shared" si="138"/>
        <v>2.27272727272727</v>
      </c>
      <c r="L130" s="71">
        <f t="shared" si="138"/>
        <v>69.5454545454545</v>
      </c>
      <c r="M130" s="71">
        <f t="shared" si="138"/>
        <v>2.27272727272727</v>
      </c>
      <c r="N130" s="71">
        <f t="shared" si="138"/>
        <v>13</v>
      </c>
      <c r="O130" s="75">
        <v>31.54</v>
      </c>
      <c r="R130" s="61">
        <v>15</v>
      </c>
      <c r="U130" s="80" t="s">
        <v>478</v>
      </c>
      <c r="W130" s="80" t="s">
        <v>39</v>
      </c>
      <c r="X130" s="80" t="s">
        <v>40</v>
      </c>
    </row>
    <row r="131" spans="2:24">
      <c r="B131" s="68" t="s">
        <v>479</v>
      </c>
      <c r="C131" s="68" t="s">
        <v>328</v>
      </c>
      <c r="D131" s="68"/>
      <c r="E131" s="68" t="s">
        <v>476</v>
      </c>
      <c r="F131" s="58">
        <v>2021</v>
      </c>
      <c r="G131" s="71">
        <f t="shared" si="136"/>
        <v>0.8</v>
      </c>
      <c r="H131" s="71"/>
      <c r="I131" s="71">
        <f t="shared" ref="I131:N131" si="139">I125</f>
        <v>0.183615708905633</v>
      </c>
      <c r="J131" s="71">
        <f t="shared" si="139"/>
        <v>69.5454545454545</v>
      </c>
      <c r="K131" s="71">
        <f t="shared" si="139"/>
        <v>2.27272727272727</v>
      </c>
      <c r="L131" s="71">
        <f t="shared" si="139"/>
        <v>69.5454545454545</v>
      </c>
      <c r="M131" s="71">
        <f t="shared" si="139"/>
        <v>2.27272727272727</v>
      </c>
      <c r="N131" s="71">
        <f t="shared" si="139"/>
        <v>13</v>
      </c>
      <c r="O131" s="75">
        <v>31.54</v>
      </c>
      <c r="R131" s="61">
        <v>15</v>
      </c>
      <c r="U131" s="80" t="s">
        <v>479</v>
      </c>
      <c r="W131" s="80" t="s">
        <v>39</v>
      </c>
      <c r="X131" s="80" t="s">
        <v>40</v>
      </c>
    </row>
    <row r="132" spans="2:24">
      <c r="B132" s="68" t="s">
        <v>480</v>
      </c>
      <c r="C132" s="68" t="s">
        <v>330</v>
      </c>
      <c r="D132" s="68"/>
      <c r="E132" s="68" t="s">
        <v>476</v>
      </c>
      <c r="F132" s="58">
        <v>2021</v>
      </c>
      <c r="G132" s="71">
        <f t="shared" si="136"/>
        <v>0.98</v>
      </c>
      <c r="H132" s="71"/>
      <c r="I132" s="71">
        <f t="shared" ref="I132:N132" si="140">I126</f>
        <v>0.294153795762057</v>
      </c>
      <c r="J132" s="71">
        <f t="shared" si="140"/>
        <v>72.4242424242424</v>
      </c>
      <c r="K132" s="71">
        <f t="shared" si="140"/>
        <v>0.787878787878788</v>
      </c>
      <c r="L132" s="71">
        <f t="shared" si="140"/>
        <v>72.4242424242424</v>
      </c>
      <c r="M132" s="71">
        <f t="shared" si="140"/>
        <v>0.787878787878788</v>
      </c>
      <c r="N132" s="71">
        <f t="shared" si="140"/>
        <v>15</v>
      </c>
      <c r="O132" s="75">
        <v>31.54</v>
      </c>
      <c r="R132" s="61">
        <v>15</v>
      </c>
      <c r="U132" s="80" t="s">
        <v>480</v>
      </c>
      <c r="W132" s="80" t="s">
        <v>39</v>
      </c>
      <c r="X132" s="80" t="s">
        <v>40</v>
      </c>
    </row>
    <row r="133" spans="2:24">
      <c r="B133" s="68" t="s">
        <v>481</v>
      </c>
      <c r="C133" s="68" t="s">
        <v>332</v>
      </c>
      <c r="D133" s="68"/>
      <c r="E133" s="68" t="s">
        <v>476</v>
      </c>
      <c r="F133" s="58">
        <v>2021</v>
      </c>
      <c r="G133" s="71">
        <f t="shared" si="136"/>
        <v>0.872</v>
      </c>
      <c r="H133" s="71"/>
      <c r="I133" s="71">
        <f t="shared" ref="I133:N133" si="141">I127</f>
        <v>0.619201122080021</v>
      </c>
      <c r="J133" s="71">
        <f t="shared" si="141"/>
        <v>117.776210379659</v>
      </c>
      <c r="K133" s="71">
        <f t="shared" si="141"/>
        <v>2.72567049808429</v>
      </c>
      <c r="L133" s="71">
        <f t="shared" si="141"/>
        <v>117.776210379659</v>
      </c>
      <c r="M133" s="71">
        <f t="shared" si="141"/>
        <v>2.72567049808429</v>
      </c>
      <c r="N133" s="71">
        <f t="shared" si="141"/>
        <v>12.6</v>
      </c>
      <c r="O133" s="75">
        <v>31.54</v>
      </c>
      <c r="R133" s="61">
        <v>15</v>
      </c>
      <c r="U133" s="80" t="s">
        <v>481</v>
      </c>
      <c r="W133" s="80" t="s">
        <v>39</v>
      </c>
      <c r="X133" s="80" t="s">
        <v>40</v>
      </c>
    </row>
    <row r="134" spans="2:24">
      <c r="B134" s="68" t="s">
        <v>482</v>
      </c>
      <c r="C134" s="68" t="s">
        <v>281</v>
      </c>
      <c r="D134" s="68"/>
      <c r="E134" s="68" t="s">
        <v>483</v>
      </c>
      <c r="F134" s="58">
        <v>2021</v>
      </c>
      <c r="G134" s="71">
        <f t="shared" si="136"/>
        <v>0.98</v>
      </c>
      <c r="H134" s="71"/>
      <c r="I134" s="71">
        <f t="shared" ref="I134:N134" si="142">I128</f>
        <v>0.198483654420798</v>
      </c>
      <c r="J134" s="71">
        <f t="shared" si="142"/>
        <v>260.555555555556</v>
      </c>
      <c r="K134" s="71">
        <f t="shared" si="142"/>
        <v>2.77777777777778</v>
      </c>
      <c r="L134" s="71">
        <f t="shared" si="142"/>
        <v>260.555555555556</v>
      </c>
      <c r="M134" s="71">
        <f t="shared" si="142"/>
        <v>2.77777777777778</v>
      </c>
      <c r="N134" s="71">
        <f t="shared" si="142"/>
        <v>12</v>
      </c>
      <c r="O134" s="75">
        <v>31.54</v>
      </c>
      <c r="R134" s="61">
        <v>15</v>
      </c>
      <c r="U134" s="80" t="s">
        <v>482</v>
      </c>
      <c r="W134" s="80" t="s">
        <v>39</v>
      </c>
      <c r="X134" s="80" t="s">
        <v>40</v>
      </c>
    </row>
    <row r="135" spans="2:24">
      <c r="B135" s="68" t="s">
        <v>484</v>
      </c>
      <c r="C135" s="68" t="s">
        <v>324</v>
      </c>
      <c r="D135" s="68"/>
      <c r="E135" s="68" t="s">
        <v>483</v>
      </c>
      <c r="F135" s="58">
        <v>2021</v>
      </c>
      <c r="G135" s="71">
        <f t="shared" ref="G135:G140" si="143">G129</f>
        <v>0.8</v>
      </c>
      <c r="H135" s="71"/>
      <c r="I135" s="71">
        <f t="shared" ref="I135:N135" si="144">I129</f>
        <v>0.469468493403833</v>
      </c>
      <c r="J135" s="71">
        <f t="shared" si="144"/>
        <v>116.810344827586</v>
      </c>
      <c r="K135" s="71">
        <f t="shared" si="144"/>
        <v>5.51724137931035</v>
      </c>
      <c r="L135" s="71">
        <f t="shared" si="144"/>
        <v>116.810344827586</v>
      </c>
      <c r="M135" s="71">
        <f t="shared" si="144"/>
        <v>5.51724137931035</v>
      </c>
      <c r="N135" s="71">
        <f t="shared" si="144"/>
        <v>10</v>
      </c>
      <c r="O135" s="75">
        <v>31.54</v>
      </c>
      <c r="R135" s="61">
        <v>15</v>
      </c>
      <c r="U135" s="80" t="s">
        <v>484</v>
      </c>
      <c r="W135" s="80" t="s">
        <v>39</v>
      </c>
      <c r="X135" s="80" t="s">
        <v>40</v>
      </c>
    </row>
    <row r="136" spans="2:24">
      <c r="B136" s="68" t="s">
        <v>485</v>
      </c>
      <c r="C136" s="68" t="s">
        <v>326</v>
      </c>
      <c r="D136" s="68"/>
      <c r="E136" s="68" t="s">
        <v>483</v>
      </c>
      <c r="F136" s="58">
        <v>2021</v>
      </c>
      <c r="G136" s="71">
        <f t="shared" si="143"/>
        <v>0.8</v>
      </c>
      <c r="H136" s="71"/>
      <c r="I136" s="71">
        <f t="shared" ref="I136:N136" si="145">I130</f>
        <v>0.183615708905633</v>
      </c>
      <c r="J136" s="71">
        <f t="shared" si="145"/>
        <v>69.5454545454545</v>
      </c>
      <c r="K136" s="71">
        <f t="shared" si="145"/>
        <v>2.27272727272727</v>
      </c>
      <c r="L136" s="71">
        <f t="shared" si="145"/>
        <v>69.5454545454545</v>
      </c>
      <c r="M136" s="71">
        <f t="shared" si="145"/>
        <v>2.27272727272727</v>
      </c>
      <c r="N136" s="71">
        <f t="shared" si="145"/>
        <v>13</v>
      </c>
      <c r="O136" s="75">
        <v>31.54</v>
      </c>
      <c r="R136" s="61">
        <v>15</v>
      </c>
      <c r="U136" s="80" t="s">
        <v>485</v>
      </c>
      <c r="W136" s="80" t="s">
        <v>39</v>
      </c>
      <c r="X136" s="80" t="s">
        <v>40</v>
      </c>
    </row>
    <row r="137" spans="2:24">
      <c r="B137" s="68" t="s">
        <v>486</v>
      </c>
      <c r="C137" s="68" t="s">
        <v>328</v>
      </c>
      <c r="D137" s="68"/>
      <c r="E137" s="68" t="s">
        <v>483</v>
      </c>
      <c r="F137" s="58">
        <v>2021</v>
      </c>
      <c r="G137" s="71">
        <f t="shared" si="143"/>
        <v>0.8</v>
      </c>
      <c r="H137" s="71"/>
      <c r="I137" s="71">
        <f t="shared" ref="I137:N137" si="146">I131</f>
        <v>0.183615708905633</v>
      </c>
      <c r="J137" s="71">
        <f t="shared" si="146"/>
        <v>69.5454545454545</v>
      </c>
      <c r="K137" s="71">
        <f t="shared" si="146"/>
        <v>2.27272727272727</v>
      </c>
      <c r="L137" s="71">
        <f t="shared" si="146"/>
        <v>69.5454545454545</v>
      </c>
      <c r="M137" s="71">
        <f t="shared" si="146"/>
        <v>2.27272727272727</v>
      </c>
      <c r="N137" s="71">
        <f t="shared" si="146"/>
        <v>13</v>
      </c>
      <c r="O137" s="75">
        <v>31.54</v>
      </c>
      <c r="R137" s="61">
        <v>15</v>
      </c>
      <c r="U137" s="80" t="s">
        <v>486</v>
      </c>
      <c r="W137" s="80" t="s">
        <v>39</v>
      </c>
      <c r="X137" s="80" t="s">
        <v>40</v>
      </c>
    </row>
    <row r="138" spans="2:24">
      <c r="B138" s="68" t="s">
        <v>487</v>
      </c>
      <c r="C138" s="68" t="s">
        <v>330</v>
      </c>
      <c r="D138" s="68"/>
      <c r="E138" s="68" t="s">
        <v>483</v>
      </c>
      <c r="F138" s="58">
        <v>2021</v>
      </c>
      <c r="G138" s="71">
        <f t="shared" si="143"/>
        <v>0.98</v>
      </c>
      <c r="H138" s="71"/>
      <c r="I138" s="71">
        <f t="shared" ref="I138:N138" si="147">I132</f>
        <v>0.294153795762057</v>
      </c>
      <c r="J138" s="71">
        <f t="shared" si="147"/>
        <v>72.4242424242424</v>
      </c>
      <c r="K138" s="71">
        <f t="shared" si="147"/>
        <v>0.787878787878788</v>
      </c>
      <c r="L138" s="71">
        <f t="shared" si="147"/>
        <v>72.4242424242424</v>
      </c>
      <c r="M138" s="71">
        <f t="shared" si="147"/>
        <v>0.787878787878788</v>
      </c>
      <c r="N138" s="71">
        <f t="shared" si="147"/>
        <v>15</v>
      </c>
      <c r="O138" s="75">
        <v>31.54</v>
      </c>
      <c r="R138" s="61">
        <v>15</v>
      </c>
      <c r="U138" s="80" t="s">
        <v>487</v>
      </c>
      <c r="W138" s="80" t="s">
        <v>39</v>
      </c>
      <c r="X138" s="80" t="s">
        <v>40</v>
      </c>
    </row>
    <row r="139" spans="2:24">
      <c r="B139" s="68" t="s">
        <v>488</v>
      </c>
      <c r="C139" s="68" t="s">
        <v>332</v>
      </c>
      <c r="D139" s="68"/>
      <c r="E139" s="68" t="s">
        <v>483</v>
      </c>
      <c r="F139" s="58">
        <v>2021</v>
      </c>
      <c r="G139" s="71">
        <f t="shared" si="143"/>
        <v>0.872</v>
      </c>
      <c r="H139" s="71"/>
      <c r="I139" s="71">
        <f t="shared" ref="I139:N139" si="148">I133</f>
        <v>0.619201122080021</v>
      </c>
      <c r="J139" s="71">
        <f t="shared" si="148"/>
        <v>117.776210379659</v>
      </c>
      <c r="K139" s="71">
        <f t="shared" si="148"/>
        <v>2.72567049808429</v>
      </c>
      <c r="L139" s="71">
        <f t="shared" si="148"/>
        <v>117.776210379659</v>
      </c>
      <c r="M139" s="71">
        <f t="shared" si="148"/>
        <v>2.72567049808429</v>
      </c>
      <c r="N139" s="71">
        <f t="shared" si="148"/>
        <v>12.6</v>
      </c>
      <c r="O139" s="75">
        <v>31.54</v>
      </c>
      <c r="R139" s="61">
        <v>15</v>
      </c>
      <c r="U139" s="80" t="s">
        <v>488</v>
      </c>
      <c r="W139" s="80" t="s">
        <v>39</v>
      </c>
      <c r="X139" s="80" t="s">
        <v>40</v>
      </c>
    </row>
    <row r="140" spans="2:24">
      <c r="B140" s="68" t="s">
        <v>489</v>
      </c>
      <c r="C140" s="68" t="s">
        <v>281</v>
      </c>
      <c r="D140" s="68"/>
      <c r="E140" s="68" t="s">
        <v>490</v>
      </c>
      <c r="F140" s="58">
        <v>2021</v>
      </c>
      <c r="G140" s="71">
        <f t="shared" si="143"/>
        <v>0.98</v>
      </c>
      <c r="H140" s="71"/>
      <c r="I140" s="71">
        <f t="shared" ref="I140:N140" si="149">I134</f>
        <v>0.198483654420798</v>
      </c>
      <c r="J140" s="71">
        <f t="shared" si="149"/>
        <v>260.555555555556</v>
      </c>
      <c r="K140" s="71">
        <f t="shared" si="149"/>
        <v>2.77777777777778</v>
      </c>
      <c r="L140" s="71">
        <f t="shared" si="149"/>
        <v>260.555555555556</v>
      </c>
      <c r="M140" s="71">
        <f t="shared" si="149"/>
        <v>2.77777777777778</v>
      </c>
      <c r="N140" s="71">
        <f t="shared" si="149"/>
        <v>12</v>
      </c>
      <c r="O140" s="75">
        <v>31.54</v>
      </c>
      <c r="R140" s="61">
        <v>15</v>
      </c>
      <c r="U140" s="80" t="s">
        <v>489</v>
      </c>
      <c r="W140" s="80" t="s">
        <v>39</v>
      </c>
      <c r="X140" s="80" t="s">
        <v>40</v>
      </c>
    </row>
    <row r="141" spans="2:24">
      <c r="B141" s="68" t="s">
        <v>491</v>
      </c>
      <c r="C141" s="68" t="s">
        <v>324</v>
      </c>
      <c r="D141" s="68"/>
      <c r="E141" s="68" t="s">
        <v>490</v>
      </c>
      <c r="F141" s="58">
        <v>2021</v>
      </c>
      <c r="G141" s="71">
        <f t="shared" ref="G141:G145" si="150">G135</f>
        <v>0.8</v>
      </c>
      <c r="H141" s="71"/>
      <c r="I141" s="71">
        <f t="shared" ref="I141:N141" si="151">I135</f>
        <v>0.469468493403833</v>
      </c>
      <c r="J141" s="71">
        <f t="shared" si="151"/>
        <v>116.810344827586</v>
      </c>
      <c r="K141" s="71">
        <f t="shared" si="151"/>
        <v>5.51724137931035</v>
      </c>
      <c r="L141" s="71">
        <f t="shared" si="151"/>
        <v>116.810344827586</v>
      </c>
      <c r="M141" s="71">
        <f t="shared" si="151"/>
        <v>5.51724137931035</v>
      </c>
      <c r="N141" s="71">
        <f t="shared" si="151"/>
        <v>10</v>
      </c>
      <c r="O141" s="75">
        <v>31.54</v>
      </c>
      <c r="R141" s="61">
        <v>15</v>
      </c>
      <c r="U141" s="80" t="s">
        <v>491</v>
      </c>
      <c r="W141" s="80" t="s">
        <v>39</v>
      </c>
      <c r="X141" s="80" t="s">
        <v>40</v>
      </c>
    </row>
    <row r="142" spans="2:24">
      <c r="B142" s="68" t="s">
        <v>492</v>
      </c>
      <c r="C142" s="68" t="s">
        <v>326</v>
      </c>
      <c r="D142" s="68"/>
      <c r="E142" s="68" t="s">
        <v>490</v>
      </c>
      <c r="F142" s="58">
        <v>2021</v>
      </c>
      <c r="G142" s="71">
        <f t="shared" si="150"/>
        <v>0.8</v>
      </c>
      <c r="H142" s="71"/>
      <c r="I142" s="71">
        <f t="shared" ref="I142:N142" si="152">I136</f>
        <v>0.183615708905633</v>
      </c>
      <c r="J142" s="71">
        <f t="shared" si="152"/>
        <v>69.5454545454545</v>
      </c>
      <c r="K142" s="71">
        <f t="shared" si="152"/>
        <v>2.27272727272727</v>
      </c>
      <c r="L142" s="71">
        <f t="shared" si="152"/>
        <v>69.5454545454545</v>
      </c>
      <c r="M142" s="71">
        <f t="shared" si="152"/>
        <v>2.27272727272727</v>
      </c>
      <c r="N142" s="71">
        <f t="shared" si="152"/>
        <v>13</v>
      </c>
      <c r="O142" s="75">
        <v>31.54</v>
      </c>
      <c r="R142" s="61">
        <v>15</v>
      </c>
      <c r="U142" s="80" t="s">
        <v>492</v>
      </c>
      <c r="W142" s="80" t="s">
        <v>39</v>
      </c>
      <c r="X142" s="80" t="s">
        <v>40</v>
      </c>
    </row>
    <row r="143" spans="2:24">
      <c r="B143" s="68" t="s">
        <v>493</v>
      </c>
      <c r="C143" s="68" t="s">
        <v>328</v>
      </c>
      <c r="D143" s="68"/>
      <c r="E143" s="68" t="s">
        <v>490</v>
      </c>
      <c r="F143" s="58">
        <v>2021</v>
      </c>
      <c r="G143" s="71">
        <f t="shared" si="150"/>
        <v>0.8</v>
      </c>
      <c r="H143" s="71"/>
      <c r="I143" s="71">
        <f t="shared" ref="I143:N143" si="153">I137</f>
        <v>0.183615708905633</v>
      </c>
      <c r="J143" s="71">
        <f t="shared" si="153"/>
        <v>69.5454545454545</v>
      </c>
      <c r="K143" s="71">
        <f t="shared" si="153"/>
        <v>2.27272727272727</v>
      </c>
      <c r="L143" s="71">
        <f t="shared" si="153"/>
        <v>69.5454545454545</v>
      </c>
      <c r="M143" s="71">
        <f t="shared" si="153"/>
        <v>2.27272727272727</v>
      </c>
      <c r="N143" s="71">
        <f t="shared" si="153"/>
        <v>13</v>
      </c>
      <c r="O143" s="75">
        <v>31.54</v>
      </c>
      <c r="R143" s="61">
        <v>15</v>
      </c>
      <c r="U143" s="80" t="s">
        <v>493</v>
      </c>
      <c r="W143" s="80" t="s">
        <v>39</v>
      </c>
      <c r="X143" s="80" t="s">
        <v>40</v>
      </c>
    </row>
    <row r="144" spans="2:24">
      <c r="B144" s="68" t="s">
        <v>494</v>
      </c>
      <c r="C144" s="68" t="s">
        <v>330</v>
      </c>
      <c r="D144" s="68"/>
      <c r="E144" s="68" t="s">
        <v>490</v>
      </c>
      <c r="F144" s="58">
        <v>2021</v>
      </c>
      <c r="G144" s="71">
        <f t="shared" si="150"/>
        <v>0.98</v>
      </c>
      <c r="H144" s="71"/>
      <c r="I144" s="71">
        <f t="shared" ref="I144:N144" si="154">I138</f>
        <v>0.294153795762057</v>
      </c>
      <c r="J144" s="71">
        <f t="shared" si="154"/>
        <v>72.4242424242424</v>
      </c>
      <c r="K144" s="71">
        <f t="shared" si="154"/>
        <v>0.787878787878788</v>
      </c>
      <c r="L144" s="71">
        <f t="shared" si="154"/>
        <v>72.4242424242424</v>
      </c>
      <c r="M144" s="71">
        <f t="shared" si="154"/>
        <v>0.787878787878788</v>
      </c>
      <c r="N144" s="71">
        <f t="shared" si="154"/>
        <v>15</v>
      </c>
      <c r="O144" s="75">
        <v>31.54</v>
      </c>
      <c r="R144" s="61">
        <v>15</v>
      </c>
      <c r="U144" s="80" t="s">
        <v>494</v>
      </c>
      <c r="W144" s="80" t="s">
        <v>39</v>
      </c>
      <c r="X144" s="80" t="s">
        <v>40</v>
      </c>
    </row>
    <row r="145" spans="2:24">
      <c r="B145" s="68" t="s">
        <v>495</v>
      </c>
      <c r="C145" s="68" t="s">
        <v>332</v>
      </c>
      <c r="D145" s="68"/>
      <c r="E145" s="68" t="s">
        <v>490</v>
      </c>
      <c r="F145" s="58">
        <v>2021</v>
      </c>
      <c r="G145" s="71">
        <f t="shared" si="150"/>
        <v>0.872</v>
      </c>
      <c r="H145" s="71"/>
      <c r="I145" s="71">
        <f t="shared" ref="I145:N145" si="155">I139</f>
        <v>0.619201122080021</v>
      </c>
      <c r="J145" s="71">
        <f t="shared" si="155"/>
        <v>117.776210379659</v>
      </c>
      <c r="K145" s="71">
        <f t="shared" si="155"/>
        <v>2.72567049808429</v>
      </c>
      <c r="L145" s="71">
        <f t="shared" si="155"/>
        <v>117.776210379659</v>
      </c>
      <c r="M145" s="71">
        <f t="shared" si="155"/>
        <v>2.72567049808429</v>
      </c>
      <c r="N145" s="71">
        <f t="shared" si="155"/>
        <v>12.6</v>
      </c>
      <c r="O145" s="75">
        <v>31.54</v>
      </c>
      <c r="R145" s="61">
        <v>15</v>
      </c>
      <c r="U145" s="80" t="s">
        <v>495</v>
      </c>
      <c r="W145" s="80" t="s">
        <v>39</v>
      </c>
      <c r="X145" s="80" t="s">
        <v>40</v>
      </c>
    </row>
    <row r="146" spans="2:24">
      <c r="B146" s="68" t="s">
        <v>496</v>
      </c>
      <c r="C146" s="68" t="s">
        <v>281</v>
      </c>
      <c r="D146" s="68"/>
      <c r="E146" s="68" t="s">
        <v>497</v>
      </c>
      <c r="F146" s="58">
        <v>2021</v>
      </c>
      <c r="G146" s="71">
        <v>1</v>
      </c>
      <c r="H146" s="71"/>
      <c r="I146" s="71"/>
      <c r="J146" s="71">
        <f>5470/(170/3.412)*1</f>
        <v>109.786117647059</v>
      </c>
      <c r="K146" s="71">
        <f>32/(170/3.412)*1</f>
        <v>0.642258823529412</v>
      </c>
      <c r="L146" s="71">
        <f t="shared" ref="L146:L207" si="156">J146</f>
        <v>109.786117647059</v>
      </c>
      <c r="M146" s="71">
        <f t="shared" ref="M146:M207" si="157">K146</f>
        <v>0.642258823529412</v>
      </c>
      <c r="N146" s="71">
        <v>18</v>
      </c>
      <c r="O146" s="75">
        <v>31.54</v>
      </c>
      <c r="R146" s="61">
        <v>15</v>
      </c>
      <c r="U146" s="80" t="s">
        <v>496</v>
      </c>
      <c r="W146" s="80" t="s">
        <v>39</v>
      </c>
      <c r="X146" s="80" t="s">
        <v>40</v>
      </c>
    </row>
    <row r="147" spans="2:24">
      <c r="B147" s="68" t="s">
        <v>498</v>
      </c>
      <c r="C147" s="68" t="s">
        <v>324</v>
      </c>
      <c r="D147" s="68"/>
      <c r="E147" s="68" t="s">
        <v>497</v>
      </c>
      <c r="F147" s="58">
        <v>2021</v>
      </c>
      <c r="G147" s="71">
        <v>0.8</v>
      </c>
      <c r="H147" s="71"/>
      <c r="I147" s="71"/>
      <c r="J147" s="71">
        <f>2540/73*1</f>
        <v>34.7945205479452</v>
      </c>
      <c r="K147" s="71">
        <f>200/73*1</f>
        <v>2.73972602739726</v>
      </c>
      <c r="L147" s="71">
        <f t="shared" si="156"/>
        <v>34.7945205479452</v>
      </c>
      <c r="M147" s="71">
        <f t="shared" si="157"/>
        <v>2.73972602739726</v>
      </c>
      <c r="N147" s="71">
        <v>23</v>
      </c>
      <c r="O147" s="75">
        <v>31.54</v>
      </c>
      <c r="R147" s="61">
        <v>15</v>
      </c>
      <c r="U147" s="80" t="s">
        <v>498</v>
      </c>
      <c r="W147" s="80" t="s">
        <v>39</v>
      </c>
      <c r="X147" s="80" t="s">
        <v>40</v>
      </c>
    </row>
    <row r="148" spans="2:24">
      <c r="B148" s="68" t="s">
        <v>499</v>
      </c>
      <c r="C148" s="68" t="s">
        <v>326</v>
      </c>
      <c r="D148" s="68"/>
      <c r="E148" s="68" t="s">
        <v>497</v>
      </c>
      <c r="F148" s="58">
        <v>2021</v>
      </c>
      <c r="G148" s="71">
        <v>0.81</v>
      </c>
      <c r="H148" s="71"/>
      <c r="I148" s="71"/>
      <c r="J148" s="71">
        <f>7740/73*1</f>
        <v>106.027397260274</v>
      </c>
      <c r="K148" s="71">
        <f>360/73*1</f>
        <v>4.93150684931507</v>
      </c>
      <c r="L148" s="71">
        <f t="shared" si="156"/>
        <v>106.027397260274</v>
      </c>
      <c r="M148" s="71">
        <f t="shared" si="157"/>
        <v>4.93150684931507</v>
      </c>
      <c r="N148" s="85">
        <v>23</v>
      </c>
      <c r="O148" s="75">
        <v>31.54</v>
      </c>
      <c r="R148" s="61">
        <v>15</v>
      </c>
      <c r="U148" s="80" t="s">
        <v>499</v>
      </c>
      <c r="W148" s="80" t="s">
        <v>39</v>
      </c>
      <c r="X148" s="80" t="s">
        <v>40</v>
      </c>
    </row>
    <row r="149" spans="2:24">
      <c r="B149" s="68" t="s">
        <v>500</v>
      </c>
      <c r="C149" s="68" t="s">
        <v>328</v>
      </c>
      <c r="D149" s="68"/>
      <c r="E149" s="68" t="s">
        <v>497</v>
      </c>
      <c r="F149" s="58">
        <v>2021</v>
      </c>
      <c r="G149" s="71">
        <f>G148</f>
        <v>0.81</v>
      </c>
      <c r="H149" s="71"/>
      <c r="I149" s="71"/>
      <c r="J149" s="71">
        <f t="shared" ref="J149:N149" si="158">J148</f>
        <v>106.027397260274</v>
      </c>
      <c r="K149" s="71">
        <f t="shared" si="158"/>
        <v>4.93150684931507</v>
      </c>
      <c r="L149" s="71">
        <f t="shared" si="158"/>
        <v>106.027397260274</v>
      </c>
      <c r="M149" s="71">
        <f t="shared" si="158"/>
        <v>4.93150684931507</v>
      </c>
      <c r="N149" s="71">
        <f t="shared" si="158"/>
        <v>23</v>
      </c>
      <c r="O149" s="75">
        <v>31.54</v>
      </c>
      <c r="R149" s="61">
        <v>15</v>
      </c>
      <c r="U149" s="80" t="s">
        <v>500</v>
      </c>
      <c r="W149" s="80" t="s">
        <v>39</v>
      </c>
      <c r="X149" s="80" t="s">
        <v>40</v>
      </c>
    </row>
    <row r="150" spans="2:24">
      <c r="B150" s="68" t="s">
        <v>501</v>
      </c>
      <c r="C150" s="68" t="s">
        <v>330</v>
      </c>
      <c r="D150" s="68"/>
      <c r="E150" s="68" t="s">
        <v>497</v>
      </c>
      <c r="F150" s="58">
        <v>2021</v>
      </c>
      <c r="G150" s="91">
        <f>G90</f>
        <v>0.98</v>
      </c>
      <c r="H150" s="91"/>
      <c r="I150" s="91"/>
      <c r="J150" s="91">
        <f t="shared" ref="J150:N150" si="159">J90</f>
        <v>72.4242424242424</v>
      </c>
      <c r="K150" s="91">
        <f t="shared" si="159"/>
        <v>0.787878787878788</v>
      </c>
      <c r="L150" s="91">
        <f t="shared" si="159"/>
        <v>72.4242424242424</v>
      </c>
      <c r="M150" s="91">
        <f t="shared" si="159"/>
        <v>0.787878787878788</v>
      </c>
      <c r="N150" s="91">
        <f t="shared" si="159"/>
        <v>15</v>
      </c>
      <c r="O150" s="75">
        <v>31.54</v>
      </c>
      <c r="R150" s="61">
        <v>15</v>
      </c>
      <c r="U150" s="80" t="s">
        <v>501</v>
      </c>
      <c r="W150" s="80" t="s">
        <v>39</v>
      </c>
      <c r="X150" s="80" t="s">
        <v>40</v>
      </c>
    </row>
    <row r="151" spans="2:24">
      <c r="B151" s="68" t="s">
        <v>502</v>
      </c>
      <c r="C151" s="68" t="s">
        <v>332</v>
      </c>
      <c r="D151" s="68"/>
      <c r="E151" s="68" t="s">
        <v>497</v>
      </c>
      <c r="F151" s="58">
        <v>2021</v>
      </c>
      <c r="G151" s="71">
        <f>AVERAGE(G146:G150)</f>
        <v>0.88</v>
      </c>
      <c r="H151" s="71"/>
      <c r="I151" s="71"/>
      <c r="J151" s="71">
        <f t="shared" ref="J151:N151" si="160">AVERAGE(J146:J150)</f>
        <v>85.8119350279589</v>
      </c>
      <c r="K151" s="71">
        <f t="shared" si="160"/>
        <v>2.80657546748712</v>
      </c>
      <c r="L151" s="71">
        <f t="shared" si="160"/>
        <v>85.8119350279589</v>
      </c>
      <c r="M151" s="71">
        <f t="shared" si="160"/>
        <v>2.80657546748712</v>
      </c>
      <c r="N151" s="71">
        <f t="shared" si="160"/>
        <v>20.4</v>
      </c>
      <c r="O151" s="75">
        <v>31.54</v>
      </c>
      <c r="R151" s="61">
        <v>15</v>
      </c>
      <c r="U151" s="80" t="s">
        <v>502</v>
      </c>
      <c r="W151" s="80" t="s">
        <v>39</v>
      </c>
      <c r="X151" s="80" t="s">
        <v>40</v>
      </c>
    </row>
    <row r="152" spans="2:24">
      <c r="B152" s="68" t="s">
        <v>503</v>
      </c>
      <c r="C152" s="68" t="s">
        <v>281</v>
      </c>
      <c r="D152" s="68"/>
      <c r="E152" s="68" t="s">
        <v>504</v>
      </c>
      <c r="F152" s="58">
        <v>2021</v>
      </c>
      <c r="G152" s="71">
        <f>G146</f>
        <v>1</v>
      </c>
      <c r="H152" s="71"/>
      <c r="I152" s="71"/>
      <c r="J152" s="71">
        <f t="shared" ref="J152:N152" si="161">J146</f>
        <v>109.786117647059</v>
      </c>
      <c r="K152" s="71">
        <f t="shared" si="161"/>
        <v>0.642258823529412</v>
      </c>
      <c r="L152" s="71">
        <f t="shared" si="161"/>
        <v>109.786117647059</v>
      </c>
      <c r="M152" s="71">
        <f t="shared" si="161"/>
        <v>0.642258823529412</v>
      </c>
      <c r="N152" s="71">
        <f t="shared" si="161"/>
        <v>18</v>
      </c>
      <c r="O152" s="75">
        <v>31.54</v>
      </c>
      <c r="R152" s="61">
        <v>15</v>
      </c>
      <c r="U152" s="80" t="s">
        <v>503</v>
      </c>
      <c r="W152" s="80" t="s">
        <v>39</v>
      </c>
      <c r="X152" s="80" t="s">
        <v>40</v>
      </c>
    </row>
    <row r="153" spans="2:24">
      <c r="B153" s="68" t="s">
        <v>505</v>
      </c>
      <c r="C153" s="68" t="s">
        <v>324</v>
      </c>
      <c r="D153" s="68"/>
      <c r="E153" s="68" t="s">
        <v>504</v>
      </c>
      <c r="F153" s="58">
        <v>2021</v>
      </c>
      <c r="G153" s="71">
        <f t="shared" ref="G153:N153" si="162">G147</f>
        <v>0.8</v>
      </c>
      <c r="H153" s="71"/>
      <c r="I153" s="71"/>
      <c r="J153" s="71">
        <f t="shared" si="162"/>
        <v>34.7945205479452</v>
      </c>
      <c r="K153" s="71">
        <f t="shared" si="162"/>
        <v>2.73972602739726</v>
      </c>
      <c r="L153" s="71">
        <f t="shared" si="162"/>
        <v>34.7945205479452</v>
      </c>
      <c r="M153" s="71">
        <f t="shared" si="162"/>
        <v>2.73972602739726</v>
      </c>
      <c r="N153" s="71">
        <f t="shared" si="162"/>
        <v>23</v>
      </c>
      <c r="O153" s="75">
        <v>31.54</v>
      </c>
      <c r="R153" s="61">
        <v>15</v>
      </c>
      <c r="U153" s="80" t="s">
        <v>505</v>
      </c>
      <c r="W153" s="80" t="s">
        <v>39</v>
      </c>
      <c r="X153" s="80" t="s">
        <v>40</v>
      </c>
    </row>
    <row r="154" spans="2:24">
      <c r="B154" s="68" t="s">
        <v>506</v>
      </c>
      <c r="C154" s="68" t="s">
        <v>326</v>
      </c>
      <c r="D154" s="68"/>
      <c r="E154" s="68" t="s">
        <v>504</v>
      </c>
      <c r="F154" s="58">
        <v>2021</v>
      </c>
      <c r="G154" s="71">
        <f t="shared" ref="G154:N154" si="163">G148</f>
        <v>0.81</v>
      </c>
      <c r="H154" s="71"/>
      <c r="I154" s="71"/>
      <c r="J154" s="71">
        <f t="shared" si="163"/>
        <v>106.027397260274</v>
      </c>
      <c r="K154" s="71">
        <f t="shared" si="163"/>
        <v>4.93150684931507</v>
      </c>
      <c r="L154" s="71">
        <f t="shared" si="163"/>
        <v>106.027397260274</v>
      </c>
      <c r="M154" s="71">
        <f t="shared" si="163"/>
        <v>4.93150684931507</v>
      </c>
      <c r="N154" s="71">
        <f t="shared" si="163"/>
        <v>23</v>
      </c>
      <c r="O154" s="75">
        <v>31.54</v>
      </c>
      <c r="R154" s="61">
        <v>15</v>
      </c>
      <c r="U154" s="80" t="s">
        <v>506</v>
      </c>
      <c r="W154" s="80" t="s">
        <v>39</v>
      </c>
      <c r="X154" s="80" t="s">
        <v>40</v>
      </c>
    </row>
    <row r="155" spans="2:24">
      <c r="B155" s="68" t="s">
        <v>507</v>
      </c>
      <c r="C155" s="68" t="s">
        <v>328</v>
      </c>
      <c r="D155" s="68"/>
      <c r="E155" s="68" t="s">
        <v>504</v>
      </c>
      <c r="F155" s="58">
        <v>2021</v>
      </c>
      <c r="G155" s="71">
        <f t="shared" ref="G155:N155" si="164">G149</f>
        <v>0.81</v>
      </c>
      <c r="H155" s="71"/>
      <c r="I155" s="71"/>
      <c r="J155" s="71">
        <f t="shared" si="164"/>
        <v>106.027397260274</v>
      </c>
      <c r="K155" s="71">
        <f t="shared" si="164"/>
        <v>4.93150684931507</v>
      </c>
      <c r="L155" s="71">
        <f t="shared" si="164"/>
        <v>106.027397260274</v>
      </c>
      <c r="M155" s="71">
        <f t="shared" si="164"/>
        <v>4.93150684931507</v>
      </c>
      <c r="N155" s="71">
        <f t="shared" si="164"/>
        <v>23</v>
      </c>
      <c r="O155" s="75">
        <v>31.54</v>
      </c>
      <c r="R155" s="61">
        <v>15</v>
      </c>
      <c r="U155" s="80" t="s">
        <v>507</v>
      </c>
      <c r="W155" s="80" t="s">
        <v>39</v>
      </c>
      <c r="X155" s="80" t="s">
        <v>40</v>
      </c>
    </row>
    <row r="156" spans="2:24">
      <c r="B156" s="68" t="s">
        <v>508</v>
      </c>
      <c r="C156" s="68" t="s">
        <v>330</v>
      </c>
      <c r="D156" s="68"/>
      <c r="E156" s="68" t="s">
        <v>504</v>
      </c>
      <c r="F156" s="58">
        <v>2021</v>
      </c>
      <c r="G156" s="71">
        <f t="shared" ref="G156:N156" si="165">G150</f>
        <v>0.98</v>
      </c>
      <c r="H156" s="71"/>
      <c r="I156" s="71"/>
      <c r="J156" s="71">
        <f t="shared" si="165"/>
        <v>72.4242424242424</v>
      </c>
      <c r="K156" s="71">
        <f t="shared" si="165"/>
        <v>0.787878787878788</v>
      </c>
      <c r="L156" s="71">
        <f t="shared" si="165"/>
        <v>72.4242424242424</v>
      </c>
      <c r="M156" s="71">
        <f t="shared" si="165"/>
        <v>0.787878787878788</v>
      </c>
      <c r="N156" s="71">
        <f t="shared" si="165"/>
        <v>15</v>
      </c>
      <c r="O156" s="75">
        <v>31.54</v>
      </c>
      <c r="R156" s="61">
        <v>15</v>
      </c>
      <c r="U156" s="80" t="s">
        <v>508</v>
      </c>
      <c r="W156" s="80" t="s">
        <v>39</v>
      </c>
      <c r="X156" s="80" t="s">
        <v>40</v>
      </c>
    </row>
    <row r="157" spans="2:24">
      <c r="B157" s="68" t="s">
        <v>509</v>
      </c>
      <c r="C157" s="68" t="s">
        <v>332</v>
      </c>
      <c r="D157" s="68"/>
      <c r="E157" s="68" t="s">
        <v>504</v>
      </c>
      <c r="F157" s="58">
        <v>2021</v>
      </c>
      <c r="G157" s="71">
        <f t="shared" ref="G157:N157" si="166">G151</f>
        <v>0.88</v>
      </c>
      <c r="H157" s="71"/>
      <c r="I157" s="71"/>
      <c r="J157" s="71">
        <f t="shared" si="166"/>
        <v>85.8119350279589</v>
      </c>
      <c r="K157" s="71">
        <f t="shared" si="166"/>
        <v>2.80657546748712</v>
      </c>
      <c r="L157" s="71">
        <f t="shared" si="166"/>
        <v>85.8119350279589</v>
      </c>
      <c r="M157" s="71">
        <f t="shared" si="166"/>
        <v>2.80657546748712</v>
      </c>
      <c r="N157" s="71">
        <f t="shared" si="166"/>
        <v>20.4</v>
      </c>
      <c r="O157" s="75">
        <v>31.54</v>
      </c>
      <c r="R157" s="61">
        <v>15</v>
      </c>
      <c r="U157" s="80" t="s">
        <v>509</v>
      </c>
      <c r="W157" s="80" t="s">
        <v>39</v>
      </c>
      <c r="X157" s="80" t="s">
        <v>40</v>
      </c>
    </row>
    <row r="158" spans="2:24">
      <c r="B158" s="68" t="s">
        <v>510</v>
      </c>
      <c r="C158" s="68" t="s">
        <v>281</v>
      </c>
      <c r="D158" s="68"/>
      <c r="E158" s="68" t="s">
        <v>511</v>
      </c>
      <c r="F158" s="58">
        <v>2021</v>
      </c>
      <c r="G158" s="71">
        <f>G152</f>
        <v>1</v>
      </c>
      <c r="H158" s="71"/>
      <c r="I158" s="71"/>
      <c r="J158" s="71">
        <f t="shared" ref="J158:N158" si="167">J152</f>
        <v>109.786117647059</v>
      </c>
      <c r="K158" s="71">
        <f t="shared" si="167"/>
        <v>0.642258823529412</v>
      </c>
      <c r="L158" s="71">
        <f t="shared" si="167"/>
        <v>109.786117647059</v>
      </c>
      <c r="M158" s="71">
        <f t="shared" si="167"/>
        <v>0.642258823529412</v>
      </c>
      <c r="N158" s="71">
        <f t="shared" si="167"/>
        <v>18</v>
      </c>
      <c r="O158" s="75">
        <v>31.54</v>
      </c>
      <c r="R158" s="61">
        <v>15</v>
      </c>
      <c r="U158" s="80" t="s">
        <v>510</v>
      </c>
      <c r="W158" s="80" t="s">
        <v>39</v>
      </c>
      <c r="X158" s="80" t="s">
        <v>40</v>
      </c>
    </row>
    <row r="159" spans="2:24">
      <c r="B159" s="68" t="s">
        <v>512</v>
      </c>
      <c r="C159" s="68" t="s">
        <v>324</v>
      </c>
      <c r="D159" s="68"/>
      <c r="E159" s="68" t="s">
        <v>511</v>
      </c>
      <c r="F159" s="58">
        <v>2021</v>
      </c>
      <c r="G159" s="71">
        <f t="shared" ref="G159" si="168">G153</f>
        <v>0.8</v>
      </c>
      <c r="H159" s="71"/>
      <c r="I159" s="71"/>
      <c r="J159" s="71">
        <f t="shared" ref="J159:N159" si="169">J153</f>
        <v>34.7945205479452</v>
      </c>
      <c r="K159" s="71">
        <f t="shared" si="169"/>
        <v>2.73972602739726</v>
      </c>
      <c r="L159" s="71">
        <f t="shared" si="169"/>
        <v>34.7945205479452</v>
      </c>
      <c r="M159" s="71">
        <f t="shared" si="169"/>
        <v>2.73972602739726</v>
      </c>
      <c r="N159" s="71">
        <f t="shared" si="169"/>
        <v>23</v>
      </c>
      <c r="O159" s="75">
        <v>31.54</v>
      </c>
      <c r="R159" s="61">
        <v>15</v>
      </c>
      <c r="U159" s="80" t="s">
        <v>512</v>
      </c>
      <c r="W159" s="80" t="s">
        <v>39</v>
      </c>
      <c r="X159" s="80" t="s">
        <v>40</v>
      </c>
    </row>
    <row r="160" spans="2:24">
      <c r="B160" s="68" t="s">
        <v>513</v>
      </c>
      <c r="C160" s="68" t="s">
        <v>326</v>
      </c>
      <c r="D160" s="68"/>
      <c r="E160" s="68" t="s">
        <v>511</v>
      </c>
      <c r="F160" s="58">
        <v>2021</v>
      </c>
      <c r="G160" s="71">
        <f t="shared" ref="G160" si="170">G154</f>
        <v>0.81</v>
      </c>
      <c r="H160" s="71"/>
      <c r="I160" s="71"/>
      <c r="J160" s="71">
        <f t="shared" ref="J160:N160" si="171">J154</f>
        <v>106.027397260274</v>
      </c>
      <c r="K160" s="71">
        <f t="shared" si="171"/>
        <v>4.93150684931507</v>
      </c>
      <c r="L160" s="71">
        <f t="shared" si="171"/>
        <v>106.027397260274</v>
      </c>
      <c r="M160" s="71">
        <f t="shared" si="171"/>
        <v>4.93150684931507</v>
      </c>
      <c r="N160" s="71">
        <f t="shared" si="171"/>
        <v>23</v>
      </c>
      <c r="O160" s="75">
        <v>31.54</v>
      </c>
      <c r="R160" s="61">
        <v>15</v>
      </c>
      <c r="U160" s="80" t="s">
        <v>513</v>
      </c>
      <c r="W160" s="80" t="s">
        <v>39</v>
      </c>
      <c r="X160" s="80" t="s">
        <v>40</v>
      </c>
    </row>
    <row r="161" spans="2:24">
      <c r="B161" s="68" t="s">
        <v>514</v>
      </c>
      <c r="C161" s="68" t="s">
        <v>328</v>
      </c>
      <c r="D161" s="68"/>
      <c r="E161" s="68" t="s">
        <v>511</v>
      </c>
      <c r="F161" s="58">
        <v>2021</v>
      </c>
      <c r="G161" s="71">
        <f t="shared" ref="G161" si="172">G155</f>
        <v>0.81</v>
      </c>
      <c r="H161" s="71"/>
      <c r="I161" s="71"/>
      <c r="J161" s="71">
        <f t="shared" ref="J161:N161" si="173">J155</f>
        <v>106.027397260274</v>
      </c>
      <c r="K161" s="71">
        <f t="shared" si="173"/>
        <v>4.93150684931507</v>
      </c>
      <c r="L161" s="71">
        <f t="shared" si="173"/>
        <v>106.027397260274</v>
      </c>
      <c r="M161" s="71">
        <f t="shared" si="173"/>
        <v>4.93150684931507</v>
      </c>
      <c r="N161" s="71">
        <f t="shared" si="173"/>
        <v>23</v>
      </c>
      <c r="O161" s="75">
        <v>31.54</v>
      </c>
      <c r="R161" s="61">
        <v>15</v>
      </c>
      <c r="U161" s="80" t="s">
        <v>514</v>
      </c>
      <c r="W161" s="80" t="s">
        <v>39</v>
      </c>
      <c r="X161" s="80" t="s">
        <v>40</v>
      </c>
    </row>
    <row r="162" spans="2:24">
      <c r="B162" s="68" t="s">
        <v>515</v>
      </c>
      <c r="C162" s="68" t="s">
        <v>330</v>
      </c>
      <c r="D162" s="68"/>
      <c r="E162" s="68" t="s">
        <v>511</v>
      </c>
      <c r="F162" s="58">
        <v>2021</v>
      </c>
      <c r="G162" s="71">
        <f t="shared" ref="G162" si="174">G156</f>
        <v>0.98</v>
      </c>
      <c r="H162" s="71"/>
      <c r="I162" s="71"/>
      <c r="J162" s="71">
        <f t="shared" ref="J162:N162" si="175">J156</f>
        <v>72.4242424242424</v>
      </c>
      <c r="K162" s="71">
        <f t="shared" si="175"/>
        <v>0.787878787878788</v>
      </c>
      <c r="L162" s="71">
        <f t="shared" si="175"/>
        <v>72.4242424242424</v>
      </c>
      <c r="M162" s="71">
        <f t="shared" si="175"/>
        <v>0.787878787878788</v>
      </c>
      <c r="N162" s="71">
        <f t="shared" si="175"/>
        <v>15</v>
      </c>
      <c r="O162" s="75">
        <v>31.54</v>
      </c>
      <c r="R162" s="61">
        <v>15</v>
      </c>
      <c r="U162" s="80" t="s">
        <v>515</v>
      </c>
      <c r="W162" s="80" t="s">
        <v>39</v>
      </c>
      <c r="X162" s="80" t="s">
        <v>40</v>
      </c>
    </row>
    <row r="163" spans="2:24">
      <c r="B163" s="68" t="s">
        <v>516</v>
      </c>
      <c r="C163" s="68" t="s">
        <v>332</v>
      </c>
      <c r="D163" s="68"/>
      <c r="E163" s="68" t="s">
        <v>511</v>
      </c>
      <c r="F163" s="58">
        <v>2021</v>
      </c>
      <c r="G163" s="71">
        <f t="shared" ref="G163:G164" si="176">G157</f>
        <v>0.88</v>
      </c>
      <c r="H163" s="71"/>
      <c r="I163" s="71"/>
      <c r="J163" s="71">
        <f t="shared" ref="J163:N163" si="177">J157</f>
        <v>85.8119350279589</v>
      </c>
      <c r="K163" s="71">
        <f t="shared" si="177"/>
        <v>2.80657546748712</v>
      </c>
      <c r="L163" s="71">
        <f t="shared" si="177"/>
        <v>85.8119350279589</v>
      </c>
      <c r="M163" s="71">
        <f t="shared" si="177"/>
        <v>2.80657546748712</v>
      </c>
      <c r="N163" s="71">
        <f t="shared" si="177"/>
        <v>20.4</v>
      </c>
      <c r="O163" s="75">
        <v>31.54</v>
      </c>
      <c r="R163" s="61">
        <v>15</v>
      </c>
      <c r="U163" s="80" t="s">
        <v>516</v>
      </c>
      <c r="W163" s="80" t="s">
        <v>39</v>
      </c>
      <c r="X163" s="80" t="s">
        <v>40</v>
      </c>
    </row>
    <row r="164" spans="2:24">
      <c r="B164" s="68" t="s">
        <v>517</v>
      </c>
      <c r="C164" s="68" t="s">
        <v>281</v>
      </c>
      <c r="D164" s="68"/>
      <c r="E164" s="68" t="s">
        <v>518</v>
      </c>
      <c r="F164" s="58">
        <v>2021</v>
      </c>
      <c r="G164" s="71">
        <f t="shared" si="176"/>
        <v>1</v>
      </c>
      <c r="H164" s="71"/>
      <c r="I164" s="71"/>
      <c r="J164" s="71">
        <f t="shared" ref="J164:N164" si="178">J158</f>
        <v>109.786117647059</v>
      </c>
      <c r="K164" s="71">
        <f t="shared" si="178"/>
        <v>0.642258823529412</v>
      </c>
      <c r="L164" s="71">
        <f t="shared" si="178"/>
        <v>109.786117647059</v>
      </c>
      <c r="M164" s="71">
        <f t="shared" si="178"/>
        <v>0.642258823529412</v>
      </c>
      <c r="N164" s="71">
        <f t="shared" si="178"/>
        <v>18</v>
      </c>
      <c r="O164" s="75">
        <v>31.54</v>
      </c>
      <c r="R164" s="61">
        <v>15</v>
      </c>
      <c r="U164" s="80" t="s">
        <v>517</v>
      </c>
      <c r="W164" s="80" t="s">
        <v>39</v>
      </c>
      <c r="X164" s="80" t="s">
        <v>40</v>
      </c>
    </row>
    <row r="165" spans="2:24">
      <c r="B165" s="68" t="s">
        <v>519</v>
      </c>
      <c r="C165" s="68" t="s">
        <v>324</v>
      </c>
      <c r="D165" s="68"/>
      <c r="E165" s="68" t="s">
        <v>518</v>
      </c>
      <c r="F165" s="58">
        <v>2021</v>
      </c>
      <c r="G165" s="71">
        <f t="shared" ref="G165" si="179">G159</f>
        <v>0.8</v>
      </c>
      <c r="H165" s="71"/>
      <c r="I165" s="71"/>
      <c r="J165" s="71">
        <f t="shared" ref="J165:N165" si="180">J159</f>
        <v>34.7945205479452</v>
      </c>
      <c r="K165" s="71">
        <f t="shared" si="180"/>
        <v>2.73972602739726</v>
      </c>
      <c r="L165" s="71">
        <f t="shared" si="180"/>
        <v>34.7945205479452</v>
      </c>
      <c r="M165" s="71">
        <f t="shared" si="180"/>
        <v>2.73972602739726</v>
      </c>
      <c r="N165" s="71">
        <f t="shared" si="180"/>
        <v>23</v>
      </c>
      <c r="O165" s="75">
        <v>31.54</v>
      </c>
      <c r="R165" s="61">
        <v>15</v>
      </c>
      <c r="U165" s="80" t="s">
        <v>519</v>
      </c>
      <c r="W165" s="80" t="s">
        <v>39</v>
      </c>
      <c r="X165" s="80" t="s">
        <v>40</v>
      </c>
    </row>
    <row r="166" spans="2:24">
      <c r="B166" s="68" t="s">
        <v>520</v>
      </c>
      <c r="C166" s="68" t="s">
        <v>326</v>
      </c>
      <c r="D166" s="68"/>
      <c r="E166" s="68" t="s">
        <v>518</v>
      </c>
      <c r="F166" s="58">
        <v>2021</v>
      </c>
      <c r="G166" s="71">
        <f t="shared" ref="G166" si="181">G160</f>
        <v>0.81</v>
      </c>
      <c r="H166" s="71"/>
      <c r="I166" s="71"/>
      <c r="J166" s="71">
        <f t="shared" ref="J166:N166" si="182">J160</f>
        <v>106.027397260274</v>
      </c>
      <c r="K166" s="71">
        <f t="shared" si="182"/>
        <v>4.93150684931507</v>
      </c>
      <c r="L166" s="71">
        <f t="shared" si="182"/>
        <v>106.027397260274</v>
      </c>
      <c r="M166" s="71">
        <f t="shared" si="182"/>
        <v>4.93150684931507</v>
      </c>
      <c r="N166" s="71">
        <f t="shared" si="182"/>
        <v>23</v>
      </c>
      <c r="O166" s="75">
        <v>31.54</v>
      </c>
      <c r="R166" s="61">
        <v>15</v>
      </c>
      <c r="U166" s="80" t="s">
        <v>520</v>
      </c>
      <c r="W166" s="80" t="s">
        <v>39</v>
      </c>
      <c r="X166" s="80" t="s">
        <v>40</v>
      </c>
    </row>
    <row r="167" spans="2:24">
      <c r="B167" s="68" t="s">
        <v>521</v>
      </c>
      <c r="C167" s="68" t="s">
        <v>328</v>
      </c>
      <c r="D167" s="68"/>
      <c r="E167" s="68" t="s">
        <v>518</v>
      </c>
      <c r="F167" s="58">
        <v>2021</v>
      </c>
      <c r="G167" s="71">
        <f t="shared" ref="G167" si="183">G161</f>
        <v>0.81</v>
      </c>
      <c r="H167" s="71"/>
      <c r="I167" s="71"/>
      <c r="J167" s="71">
        <f t="shared" ref="J167:N167" si="184">J161</f>
        <v>106.027397260274</v>
      </c>
      <c r="K167" s="71">
        <f t="shared" si="184"/>
        <v>4.93150684931507</v>
      </c>
      <c r="L167" s="71">
        <f t="shared" si="184"/>
        <v>106.027397260274</v>
      </c>
      <c r="M167" s="71">
        <f t="shared" si="184"/>
        <v>4.93150684931507</v>
      </c>
      <c r="N167" s="71">
        <f t="shared" si="184"/>
        <v>23</v>
      </c>
      <c r="O167" s="75">
        <v>31.54</v>
      </c>
      <c r="R167" s="61">
        <v>15</v>
      </c>
      <c r="U167" s="80" t="s">
        <v>521</v>
      </c>
      <c r="W167" s="80" t="s">
        <v>39</v>
      </c>
      <c r="X167" s="80" t="s">
        <v>40</v>
      </c>
    </row>
    <row r="168" spans="2:24">
      <c r="B168" s="68" t="s">
        <v>522</v>
      </c>
      <c r="C168" s="68" t="s">
        <v>330</v>
      </c>
      <c r="D168" s="68"/>
      <c r="E168" s="68" t="s">
        <v>518</v>
      </c>
      <c r="F168" s="58">
        <v>2021</v>
      </c>
      <c r="G168" s="71">
        <f t="shared" ref="G168" si="185">G162</f>
        <v>0.98</v>
      </c>
      <c r="H168" s="71"/>
      <c r="I168" s="71"/>
      <c r="J168" s="71">
        <f t="shared" ref="J168:N168" si="186">J162</f>
        <v>72.4242424242424</v>
      </c>
      <c r="K168" s="71">
        <f t="shared" si="186"/>
        <v>0.787878787878788</v>
      </c>
      <c r="L168" s="71">
        <f t="shared" si="186"/>
        <v>72.4242424242424</v>
      </c>
      <c r="M168" s="71">
        <f t="shared" si="186"/>
        <v>0.787878787878788</v>
      </c>
      <c r="N168" s="71">
        <f t="shared" si="186"/>
        <v>15</v>
      </c>
      <c r="O168" s="75">
        <v>31.54</v>
      </c>
      <c r="R168" s="61">
        <v>15</v>
      </c>
      <c r="U168" s="80" t="s">
        <v>522</v>
      </c>
      <c r="W168" s="80" t="s">
        <v>39</v>
      </c>
      <c r="X168" s="80" t="s">
        <v>40</v>
      </c>
    </row>
    <row r="169" spans="2:24">
      <c r="B169" s="68" t="s">
        <v>523</v>
      </c>
      <c r="C169" s="68" t="s">
        <v>332</v>
      </c>
      <c r="D169" s="68"/>
      <c r="E169" s="68" t="s">
        <v>518</v>
      </c>
      <c r="F169" s="58">
        <v>2021</v>
      </c>
      <c r="G169" s="71">
        <f t="shared" ref="G169:G170" si="187">G163</f>
        <v>0.88</v>
      </c>
      <c r="H169" s="71"/>
      <c r="I169" s="71"/>
      <c r="J169" s="71">
        <f t="shared" ref="J169:N169" si="188">J163</f>
        <v>85.8119350279589</v>
      </c>
      <c r="K169" s="71">
        <f t="shared" si="188"/>
        <v>2.80657546748712</v>
      </c>
      <c r="L169" s="71">
        <f t="shared" si="188"/>
        <v>85.8119350279589</v>
      </c>
      <c r="M169" s="71">
        <f t="shared" si="188"/>
        <v>2.80657546748712</v>
      </c>
      <c r="N169" s="71">
        <f t="shared" si="188"/>
        <v>20.4</v>
      </c>
      <c r="O169" s="75">
        <v>31.54</v>
      </c>
      <c r="R169" s="61">
        <v>15</v>
      </c>
      <c r="U169" s="80" t="s">
        <v>523</v>
      </c>
      <c r="W169" s="80" t="s">
        <v>39</v>
      </c>
      <c r="X169" s="80" t="s">
        <v>40</v>
      </c>
    </row>
    <row r="170" spans="2:24">
      <c r="B170" s="68" t="s">
        <v>524</v>
      </c>
      <c r="C170" s="68" t="s">
        <v>281</v>
      </c>
      <c r="D170" s="68"/>
      <c r="E170" s="68" t="s">
        <v>525</v>
      </c>
      <c r="F170" s="58">
        <v>2021</v>
      </c>
      <c r="G170" s="71">
        <f t="shared" si="187"/>
        <v>1</v>
      </c>
      <c r="H170" s="71"/>
      <c r="I170" s="71"/>
      <c r="J170" s="71">
        <f t="shared" ref="J170:N170" si="189">J164</f>
        <v>109.786117647059</v>
      </c>
      <c r="K170" s="71">
        <f t="shared" si="189"/>
        <v>0.642258823529412</v>
      </c>
      <c r="L170" s="71">
        <f t="shared" si="189"/>
        <v>109.786117647059</v>
      </c>
      <c r="M170" s="71">
        <f t="shared" si="189"/>
        <v>0.642258823529412</v>
      </c>
      <c r="N170" s="71">
        <f t="shared" si="189"/>
        <v>18</v>
      </c>
      <c r="O170" s="75">
        <v>31.54</v>
      </c>
      <c r="R170" s="61">
        <v>15</v>
      </c>
      <c r="U170" s="80" t="s">
        <v>524</v>
      </c>
      <c r="W170" s="80" t="s">
        <v>39</v>
      </c>
      <c r="X170" s="80" t="s">
        <v>40</v>
      </c>
    </row>
    <row r="171" spans="2:24">
      <c r="B171" s="68" t="s">
        <v>526</v>
      </c>
      <c r="C171" s="68" t="s">
        <v>324</v>
      </c>
      <c r="D171" s="68"/>
      <c r="E171" s="68" t="s">
        <v>525</v>
      </c>
      <c r="F171" s="58">
        <v>2021</v>
      </c>
      <c r="G171" s="71">
        <f t="shared" ref="G171" si="190">G165</f>
        <v>0.8</v>
      </c>
      <c r="H171" s="71"/>
      <c r="I171" s="71"/>
      <c r="J171" s="71">
        <f t="shared" ref="J171:N171" si="191">J165</f>
        <v>34.7945205479452</v>
      </c>
      <c r="K171" s="71">
        <f t="shared" si="191"/>
        <v>2.73972602739726</v>
      </c>
      <c r="L171" s="71">
        <f t="shared" si="191"/>
        <v>34.7945205479452</v>
      </c>
      <c r="M171" s="71">
        <f t="shared" si="191"/>
        <v>2.73972602739726</v>
      </c>
      <c r="N171" s="71">
        <f t="shared" si="191"/>
        <v>23</v>
      </c>
      <c r="O171" s="75">
        <v>31.54</v>
      </c>
      <c r="R171" s="61">
        <v>15</v>
      </c>
      <c r="U171" s="80" t="s">
        <v>526</v>
      </c>
      <c r="W171" s="80" t="s">
        <v>39</v>
      </c>
      <c r="X171" s="80" t="s">
        <v>40</v>
      </c>
    </row>
    <row r="172" spans="2:24">
      <c r="B172" s="68" t="s">
        <v>527</v>
      </c>
      <c r="C172" s="68" t="s">
        <v>326</v>
      </c>
      <c r="D172" s="68"/>
      <c r="E172" s="68" t="s">
        <v>525</v>
      </c>
      <c r="F172" s="58">
        <v>2021</v>
      </c>
      <c r="G172" s="71">
        <f t="shared" ref="G172" si="192">G166</f>
        <v>0.81</v>
      </c>
      <c r="H172" s="71"/>
      <c r="I172" s="71"/>
      <c r="J172" s="71">
        <f t="shared" ref="J172:N172" si="193">J166</f>
        <v>106.027397260274</v>
      </c>
      <c r="K172" s="71">
        <f t="shared" si="193"/>
        <v>4.93150684931507</v>
      </c>
      <c r="L172" s="71">
        <f t="shared" si="193"/>
        <v>106.027397260274</v>
      </c>
      <c r="M172" s="71">
        <f t="shared" si="193"/>
        <v>4.93150684931507</v>
      </c>
      <c r="N172" s="71">
        <f t="shared" si="193"/>
        <v>23</v>
      </c>
      <c r="O172" s="75">
        <v>31.54</v>
      </c>
      <c r="R172" s="61">
        <v>15</v>
      </c>
      <c r="U172" s="80" t="s">
        <v>527</v>
      </c>
      <c r="W172" s="80" t="s">
        <v>39</v>
      </c>
      <c r="X172" s="80" t="s">
        <v>40</v>
      </c>
    </row>
    <row r="173" spans="2:24">
      <c r="B173" s="68" t="s">
        <v>528</v>
      </c>
      <c r="C173" s="68" t="s">
        <v>328</v>
      </c>
      <c r="D173" s="68"/>
      <c r="E173" s="68" t="s">
        <v>525</v>
      </c>
      <c r="F173" s="58">
        <v>2021</v>
      </c>
      <c r="G173" s="71">
        <f t="shared" ref="G173" si="194">G167</f>
        <v>0.81</v>
      </c>
      <c r="H173" s="71"/>
      <c r="I173" s="71"/>
      <c r="J173" s="71">
        <f t="shared" ref="J173:N173" si="195">J167</f>
        <v>106.027397260274</v>
      </c>
      <c r="K173" s="71">
        <f t="shared" si="195"/>
        <v>4.93150684931507</v>
      </c>
      <c r="L173" s="71">
        <f t="shared" si="195"/>
        <v>106.027397260274</v>
      </c>
      <c r="M173" s="71">
        <f t="shared" si="195"/>
        <v>4.93150684931507</v>
      </c>
      <c r="N173" s="71">
        <f t="shared" si="195"/>
        <v>23</v>
      </c>
      <c r="O173" s="75">
        <v>31.54</v>
      </c>
      <c r="R173" s="61">
        <v>15</v>
      </c>
      <c r="U173" s="80" t="s">
        <v>528</v>
      </c>
      <c r="W173" s="80" t="s">
        <v>39</v>
      </c>
      <c r="X173" s="80" t="s">
        <v>40</v>
      </c>
    </row>
    <row r="174" spans="2:24">
      <c r="B174" s="68" t="s">
        <v>529</v>
      </c>
      <c r="C174" s="68" t="s">
        <v>330</v>
      </c>
      <c r="D174" s="68"/>
      <c r="E174" s="68" t="s">
        <v>525</v>
      </c>
      <c r="F174" s="58">
        <v>2021</v>
      </c>
      <c r="G174" s="71">
        <f t="shared" ref="G174" si="196">G168</f>
        <v>0.98</v>
      </c>
      <c r="H174" s="71"/>
      <c r="I174" s="71"/>
      <c r="J174" s="71">
        <f t="shared" ref="J174:N174" si="197">J168</f>
        <v>72.4242424242424</v>
      </c>
      <c r="K174" s="71">
        <f t="shared" si="197"/>
        <v>0.787878787878788</v>
      </c>
      <c r="L174" s="71">
        <f t="shared" si="197"/>
        <v>72.4242424242424</v>
      </c>
      <c r="M174" s="71">
        <f t="shared" si="197"/>
        <v>0.787878787878788</v>
      </c>
      <c r="N174" s="71">
        <f t="shared" si="197"/>
        <v>15</v>
      </c>
      <c r="O174" s="75">
        <v>31.54</v>
      </c>
      <c r="R174" s="61">
        <v>15</v>
      </c>
      <c r="U174" s="80" t="s">
        <v>529</v>
      </c>
      <c r="W174" s="80" t="s">
        <v>39</v>
      </c>
      <c r="X174" s="80" t="s">
        <v>40</v>
      </c>
    </row>
    <row r="175" spans="2:24">
      <c r="B175" s="68" t="s">
        <v>530</v>
      </c>
      <c r="C175" s="68" t="s">
        <v>332</v>
      </c>
      <c r="D175" s="68"/>
      <c r="E175" s="68" t="s">
        <v>525</v>
      </c>
      <c r="F175" s="58">
        <v>2021</v>
      </c>
      <c r="G175" s="71">
        <f t="shared" ref="G175:G176" si="198">G169</f>
        <v>0.88</v>
      </c>
      <c r="H175" s="71"/>
      <c r="I175" s="71"/>
      <c r="J175" s="71">
        <f t="shared" ref="J175:N175" si="199">J169</f>
        <v>85.8119350279589</v>
      </c>
      <c r="K175" s="71">
        <f t="shared" si="199"/>
        <v>2.80657546748712</v>
      </c>
      <c r="L175" s="71">
        <f t="shared" si="199"/>
        <v>85.8119350279589</v>
      </c>
      <c r="M175" s="71">
        <f t="shared" si="199"/>
        <v>2.80657546748712</v>
      </c>
      <c r="N175" s="71">
        <f t="shared" si="199"/>
        <v>20.4</v>
      </c>
      <c r="O175" s="75">
        <v>31.54</v>
      </c>
      <c r="R175" s="61">
        <v>15</v>
      </c>
      <c r="U175" s="80" t="s">
        <v>530</v>
      </c>
      <c r="W175" s="80" t="s">
        <v>39</v>
      </c>
      <c r="X175" s="80" t="s">
        <v>40</v>
      </c>
    </row>
    <row r="176" spans="2:24">
      <c r="B176" s="68" t="s">
        <v>531</v>
      </c>
      <c r="C176" s="68" t="s">
        <v>281</v>
      </c>
      <c r="D176" s="68"/>
      <c r="E176" s="68" t="s">
        <v>532</v>
      </c>
      <c r="F176" s="58">
        <v>2021</v>
      </c>
      <c r="G176" s="71">
        <f t="shared" si="198"/>
        <v>1</v>
      </c>
      <c r="H176" s="71"/>
      <c r="I176" s="71"/>
      <c r="J176" s="71">
        <f t="shared" ref="J176:N176" si="200">J170</f>
        <v>109.786117647059</v>
      </c>
      <c r="K176" s="71">
        <f t="shared" si="200"/>
        <v>0.642258823529412</v>
      </c>
      <c r="L176" s="71">
        <f t="shared" si="200"/>
        <v>109.786117647059</v>
      </c>
      <c r="M176" s="71">
        <f t="shared" si="200"/>
        <v>0.642258823529412</v>
      </c>
      <c r="N176" s="71">
        <f t="shared" si="200"/>
        <v>18</v>
      </c>
      <c r="O176" s="75">
        <v>31.54</v>
      </c>
      <c r="R176" s="61">
        <v>15</v>
      </c>
      <c r="U176" s="80" t="s">
        <v>531</v>
      </c>
      <c r="W176" s="80" t="s">
        <v>39</v>
      </c>
      <c r="X176" s="80" t="s">
        <v>40</v>
      </c>
    </row>
    <row r="177" spans="2:24">
      <c r="B177" s="68" t="s">
        <v>533</v>
      </c>
      <c r="C177" s="68" t="s">
        <v>324</v>
      </c>
      <c r="D177" s="68"/>
      <c r="E177" s="68" t="s">
        <v>532</v>
      </c>
      <c r="F177" s="58">
        <v>2021</v>
      </c>
      <c r="G177" s="71">
        <f t="shared" ref="G177" si="201">G171</f>
        <v>0.8</v>
      </c>
      <c r="H177" s="71"/>
      <c r="I177" s="71"/>
      <c r="J177" s="71">
        <f t="shared" ref="J177:N177" si="202">J171</f>
        <v>34.7945205479452</v>
      </c>
      <c r="K177" s="71">
        <f t="shared" si="202"/>
        <v>2.73972602739726</v>
      </c>
      <c r="L177" s="71">
        <f t="shared" si="202"/>
        <v>34.7945205479452</v>
      </c>
      <c r="M177" s="71">
        <f t="shared" si="202"/>
        <v>2.73972602739726</v>
      </c>
      <c r="N177" s="71">
        <f t="shared" si="202"/>
        <v>23</v>
      </c>
      <c r="O177" s="75">
        <v>31.54</v>
      </c>
      <c r="R177" s="61">
        <v>15</v>
      </c>
      <c r="U177" s="80" t="s">
        <v>533</v>
      </c>
      <c r="W177" s="80" t="s">
        <v>39</v>
      </c>
      <c r="X177" s="80" t="s">
        <v>40</v>
      </c>
    </row>
    <row r="178" spans="2:24">
      <c r="B178" s="68" t="s">
        <v>534</v>
      </c>
      <c r="C178" s="68" t="s">
        <v>326</v>
      </c>
      <c r="D178" s="68"/>
      <c r="E178" s="68" t="s">
        <v>532</v>
      </c>
      <c r="F178" s="58">
        <v>2021</v>
      </c>
      <c r="G178" s="71">
        <f t="shared" ref="G178" si="203">G172</f>
        <v>0.81</v>
      </c>
      <c r="H178" s="71"/>
      <c r="I178" s="71"/>
      <c r="J178" s="71">
        <f t="shared" ref="J178:N178" si="204">J172</f>
        <v>106.027397260274</v>
      </c>
      <c r="K178" s="71">
        <f t="shared" si="204"/>
        <v>4.93150684931507</v>
      </c>
      <c r="L178" s="71">
        <f t="shared" si="204"/>
        <v>106.027397260274</v>
      </c>
      <c r="M178" s="71">
        <f t="shared" si="204"/>
        <v>4.93150684931507</v>
      </c>
      <c r="N178" s="71">
        <f t="shared" si="204"/>
        <v>23</v>
      </c>
      <c r="O178" s="75">
        <v>31.54</v>
      </c>
      <c r="R178" s="61">
        <v>15</v>
      </c>
      <c r="U178" s="80" t="s">
        <v>534</v>
      </c>
      <c r="W178" s="80" t="s">
        <v>39</v>
      </c>
      <c r="X178" s="80" t="s">
        <v>40</v>
      </c>
    </row>
    <row r="179" spans="2:24">
      <c r="B179" s="68" t="s">
        <v>535</v>
      </c>
      <c r="C179" s="68" t="s">
        <v>328</v>
      </c>
      <c r="D179" s="68"/>
      <c r="E179" s="68" t="s">
        <v>532</v>
      </c>
      <c r="F179" s="58">
        <v>2021</v>
      </c>
      <c r="G179" s="71">
        <f t="shared" ref="G179" si="205">G173</f>
        <v>0.81</v>
      </c>
      <c r="H179" s="71"/>
      <c r="I179" s="71"/>
      <c r="J179" s="71">
        <f t="shared" ref="J179:N179" si="206">J173</f>
        <v>106.027397260274</v>
      </c>
      <c r="K179" s="71">
        <f t="shared" si="206"/>
        <v>4.93150684931507</v>
      </c>
      <c r="L179" s="71">
        <f t="shared" si="206"/>
        <v>106.027397260274</v>
      </c>
      <c r="M179" s="71">
        <f t="shared" si="206"/>
        <v>4.93150684931507</v>
      </c>
      <c r="N179" s="71">
        <f t="shared" si="206"/>
        <v>23</v>
      </c>
      <c r="O179" s="75">
        <v>31.54</v>
      </c>
      <c r="R179" s="61">
        <v>15</v>
      </c>
      <c r="U179" s="80" t="s">
        <v>535</v>
      </c>
      <c r="W179" s="80" t="s">
        <v>39</v>
      </c>
      <c r="X179" s="80" t="s">
        <v>40</v>
      </c>
    </row>
    <row r="180" spans="2:24">
      <c r="B180" s="68" t="s">
        <v>536</v>
      </c>
      <c r="C180" s="68" t="s">
        <v>330</v>
      </c>
      <c r="D180" s="68"/>
      <c r="E180" s="68" t="s">
        <v>532</v>
      </c>
      <c r="F180" s="58">
        <v>2021</v>
      </c>
      <c r="G180" s="71">
        <f t="shared" ref="G180" si="207">G174</f>
        <v>0.98</v>
      </c>
      <c r="H180" s="71"/>
      <c r="I180" s="71"/>
      <c r="J180" s="71">
        <f t="shared" ref="J180:N180" si="208">J174</f>
        <v>72.4242424242424</v>
      </c>
      <c r="K180" s="71">
        <f t="shared" si="208"/>
        <v>0.787878787878788</v>
      </c>
      <c r="L180" s="71">
        <f t="shared" si="208"/>
        <v>72.4242424242424</v>
      </c>
      <c r="M180" s="71">
        <f t="shared" si="208"/>
        <v>0.787878787878788</v>
      </c>
      <c r="N180" s="71">
        <f t="shared" si="208"/>
        <v>15</v>
      </c>
      <c r="O180" s="75">
        <v>31.54</v>
      </c>
      <c r="R180" s="61">
        <v>15</v>
      </c>
      <c r="U180" s="80" t="s">
        <v>536</v>
      </c>
      <c r="W180" s="80" t="s">
        <v>39</v>
      </c>
      <c r="X180" s="80" t="s">
        <v>40</v>
      </c>
    </row>
    <row r="181" spans="2:24">
      <c r="B181" s="68" t="s">
        <v>537</v>
      </c>
      <c r="C181" s="68" t="s">
        <v>332</v>
      </c>
      <c r="D181" s="68"/>
      <c r="E181" s="68" t="s">
        <v>532</v>
      </c>
      <c r="F181" s="58">
        <v>2021</v>
      </c>
      <c r="G181" s="71">
        <f t="shared" ref="G181:G182" si="209">G175</f>
        <v>0.88</v>
      </c>
      <c r="H181" s="71"/>
      <c r="I181" s="71"/>
      <c r="J181" s="71">
        <f t="shared" ref="J181:N181" si="210">J175</f>
        <v>85.8119350279589</v>
      </c>
      <c r="K181" s="71">
        <f t="shared" si="210"/>
        <v>2.80657546748712</v>
      </c>
      <c r="L181" s="71">
        <f t="shared" si="210"/>
        <v>85.8119350279589</v>
      </c>
      <c r="M181" s="71">
        <f t="shared" si="210"/>
        <v>2.80657546748712</v>
      </c>
      <c r="N181" s="71">
        <f t="shared" si="210"/>
        <v>20.4</v>
      </c>
      <c r="O181" s="75">
        <v>31.54</v>
      </c>
      <c r="R181" s="61">
        <v>15</v>
      </c>
      <c r="U181" s="80" t="s">
        <v>537</v>
      </c>
      <c r="W181" s="80" t="s">
        <v>39</v>
      </c>
      <c r="X181" s="80" t="s">
        <v>40</v>
      </c>
    </row>
    <row r="182" spans="2:24">
      <c r="B182" s="68" t="s">
        <v>538</v>
      </c>
      <c r="C182" s="68" t="s">
        <v>281</v>
      </c>
      <c r="D182" s="68"/>
      <c r="E182" s="68" t="s">
        <v>539</v>
      </c>
      <c r="F182" s="58">
        <v>2021</v>
      </c>
      <c r="G182" s="71">
        <f t="shared" si="209"/>
        <v>1</v>
      </c>
      <c r="H182" s="71"/>
      <c r="I182" s="71"/>
      <c r="J182" s="71">
        <f t="shared" ref="J182:N182" si="211">J176</f>
        <v>109.786117647059</v>
      </c>
      <c r="K182" s="71">
        <f t="shared" si="211"/>
        <v>0.642258823529412</v>
      </c>
      <c r="L182" s="71">
        <f t="shared" si="211"/>
        <v>109.786117647059</v>
      </c>
      <c r="M182" s="71">
        <f t="shared" si="211"/>
        <v>0.642258823529412</v>
      </c>
      <c r="N182" s="71">
        <f t="shared" si="211"/>
        <v>18</v>
      </c>
      <c r="O182" s="75">
        <v>31.54</v>
      </c>
      <c r="R182" s="61">
        <v>15</v>
      </c>
      <c r="U182" s="80" t="s">
        <v>538</v>
      </c>
      <c r="W182" s="80" t="s">
        <v>39</v>
      </c>
      <c r="X182" s="80" t="s">
        <v>40</v>
      </c>
    </row>
    <row r="183" spans="2:24">
      <c r="B183" s="68" t="s">
        <v>540</v>
      </c>
      <c r="C183" s="68" t="s">
        <v>324</v>
      </c>
      <c r="D183" s="68"/>
      <c r="E183" s="68" t="s">
        <v>539</v>
      </c>
      <c r="F183" s="58">
        <v>2021</v>
      </c>
      <c r="G183" s="71">
        <f t="shared" ref="G183" si="212">G177</f>
        <v>0.8</v>
      </c>
      <c r="H183" s="71"/>
      <c r="I183" s="71"/>
      <c r="J183" s="71">
        <f t="shared" ref="J183:N183" si="213">J177</f>
        <v>34.7945205479452</v>
      </c>
      <c r="K183" s="71">
        <f t="shared" si="213"/>
        <v>2.73972602739726</v>
      </c>
      <c r="L183" s="71">
        <f t="shared" si="213"/>
        <v>34.7945205479452</v>
      </c>
      <c r="M183" s="71">
        <f t="shared" si="213"/>
        <v>2.73972602739726</v>
      </c>
      <c r="N183" s="71">
        <f t="shared" si="213"/>
        <v>23</v>
      </c>
      <c r="O183" s="75">
        <v>31.54</v>
      </c>
      <c r="R183" s="61">
        <v>15</v>
      </c>
      <c r="U183" s="80" t="s">
        <v>540</v>
      </c>
      <c r="W183" s="80" t="s">
        <v>39</v>
      </c>
      <c r="X183" s="80" t="s">
        <v>40</v>
      </c>
    </row>
    <row r="184" spans="2:24">
      <c r="B184" s="68" t="s">
        <v>541</v>
      </c>
      <c r="C184" s="68" t="s">
        <v>326</v>
      </c>
      <c r="D184" s="68"/>
      <c r="E184" s="68" t="s">
        <v>539</v>
      </c>
      <c r="F184" s="58">
        <v>2021</v>
      </c>
      <c r="G184" s="71">
        <f t="shared" ref="G184" si="214">G178</f>
        <v>0.81</v>
      </c>
      <c r="H184" s="71"/>
      <c r="I184" s="71"/>
      <c r="J184" s="71">
        <f t="shared" ref="J184:N184" si="215">J178</f>
        <v>106.027397260274</v>
      </c>
      <c r="K184" s="71">
        <f t="shared" si="215"/>
        <v>4.93150684931507</v>
      </c>
      <c r="L184" s="71">
        <f t="shared" si="215"/>
        <v>106.027397260274</v>
      </c>
      <c r="M184" s="71">
        <f t="shared" si="215"/>
        <v>4.93150684931507</v>
      </c>
      <c r="N184" s="71">
        <f t="shared" si="215"/>
        <v>23</v>
      </c>
      <c r="O184" s="75">
        <v>31.54</v>
      </c>
      <c r="R184" s="61">
        <v>15</v>
      </c>
      <c r="U184" s="80" t="s">
        <v>541</v>
      </c>
      <c r="W184" s="80" t="s">
        <v>39</v>
      </c>
      <c r="X184" s="80" t="s">
        <v>40</v>
      </c>
    </row>
    <row r="185" spans="2:24">
      <c r="B185" s="68" t="s">
        <v>542</v>
      </c>
      <c r="C185" s="68" t="s">
        <v>328</v>
      </c>
      <c r="D185" s="68"/>
      <c r="E185" s="68" t="s">
        <v>539</v>
      </c>
      <c r="F185" s="58">
        <v>2021</v>
      </c>
      <c r="G185" s="71">
        <f t="shared" ref="G185" si="216">G179</f>
        <v>0.81</v>
      </c>
      <c r="H185" s="71"/>
      <c r="I185" s="71"/>
      <c r="J185" s="71">
        <f t="shared" ref="J185:N185" si="217">J179</f>
        <v>106.027397260274</v>
      </c>
      <c r="K185" s="71">
        <f t="shared" si="217"/>
        <v>4.93150684931507</v>
      </c>
      <c r="L185" s="71">
        <f t="shared" si="217"/>
        <v>106.027397260274</v>
      </c>
      <c r="M185" s="71">
        <f t="shared" si="217"/>
        <v>4.93150684931507</v>
      </c>
      <c r="N185" s="71">
        <f t="shared" si="217"/>
        <v>23</v>
      </c>
      <c r="O185" s="75">
        <v>31.54</v>
      </c>
      <c r="R185" s="61">
        <v>15</v>
      </c>
      <c r="U185" s="80" t="s">
        <v>542</v>
      </c>
      <c r="W185" s="80" t="s">
        <v>39</v>
      </c>
      <c r="X185" s="80" t="s">
        <v>40</v>
      </c>
    </row>
    <row r="186" spans="2:24">
      <c r="B186" s="68" t="s">
        <v>543</v>
      </c>
      <c r="C186" s="68" t="s">
        <v>330</v>
      </c>
      <c r="D186" s="68"/>
      <c r="E186" s="68" t="s">
        <v>539</v>
      </c>
      <c r="F186" s="58">
        <v>2021</v>
      </c>
      <c r="G186" s="71">
        <f t="shared" ref="G186" si="218">G180</f>
        <v>0.98</v>
      </c>
      <c r="H186" s="71"/>
      <c r="I186" s="71"/>
      <c r="J186" s="71">
        <f t="shared" ref="J186:N186" si="219">J180</f>
        <v>72.4242424242424</v>
      </c>
      <c r="K186" s="71">
        <f t="shared" si="219"/>
        <v>0.787878787878788</v>
      </c>
      <c r="L186" s="71">
        <f t="shared" si="219"/>
        <v>72.4242424242424</v>
      </c>
      <c r="M186" s="71">
        <f t="shared" si="219"/>
        <v>0.787878787878788</v>
      </c>
      <c r="N186" s="71">
        <f t="shared" si="219"/>
        <v>15</v>
      </c>
      <c r="O186" s="75">
        <v>31.54</v>
      </c>
      <c r="R186" s="61">
        <v>15</v>
      </c>
      <c r="U186" s="80" t="s">
        <v>543</v>
      </c>
      <c r="W186" s="80" t="s">
        <v>39</v>
      </c>
      <c r="X186" s="80" t="s">
        <v>40</v>
      </c>
    </row>
    <row r="187" spans="2:24">
      <c r="B187" s="68" t="s">
        <v>544</v>
      </c>
      <c r="C187" s="68" t="s">
        <v>332</v>
      </c>
      <c r="D187" s="68"/>
      <c r="E187" s="68" t="s">
        <v>539</v>
      </c>
      <c r="F187" s="58">
        <v>2021</v>
      </c>
      <c r="G187" s="71">
        <f t="shared" ref="G187:G188" si="220">G181</f>
        <v>0.88</v>
      </c>
      <c r="H187" s="71"/>
      <c r="I187" s="71"/>
      <c r="J187" s="71">
        <f t="shared" ref="J187:N187" si="221">J181</f>
        <v>85.8119350279589</v>
      </c>
      <c r="K187" s="71">
        <f t="shared" si="221"/>
        <v>2.80657546748712</v>
      </c>
      <c r="L187" s="71">
        <f t="shared" si="221"/>
        <v>85.8119350279589</v>
      </c>
      <c r="M187" s="71">
        <f t="shared" si="221"/>
        <v>2.80657546748712</v>
      </c>
      <c r="N187" s="71">
        <f t="shared" si="221"/>
        <v>20.4</v>
      </c>
      <c r="O187" s="75">
        <v>31.54</v>
      </c>
      <c r="R187" s="61">
        <v>15</v>
      </c>
      <c r="U187" s="80" t="s">
        <v>544</v>
      </c>
      <c r="W187" s="80" t="s">
        <v>39</v>
      </c>
      <c r="X187" s="80" t="s">
        <v>40</v>
      </c>
    </row>
    <row r="188" spans="2:24">
      <c r="B188" s="68" t="s">
        <v>545</v>
      </c>
      <c r="C188" s="68" t="s">
        <v>281</v>
      </c>
      <c r="D188" s="68"/>
      <c r="E188" s="68" t="s">
        <v>546</v>
      </c>
      <c r="F188" s="58">
        <v>2021</v>
      </c>
      <c r="G188" s="71">
        <f t="shared" si="220"/>
        <v>1</v>
      </c>
      <c r="H188" s="71"/>
      <c r="I188" s="71"/>
      <c r="J188" s="71">
        <f t="shared" ref="J188:N188" si="222">J182</f>
        <v>109.786117647059</v>
      </c>
      <c r="K188" s="71">
        <f t="shared" si="222"/>
        <v>0.642258823529412</v>
      </c>
      <c r="L188" s="71">
        <f t="shared" si="222"/>
        <v>109.786117647059</v>
      </c>
      <c r="M188" s="71">
        <f t="shared" si="222"/>
        <v>0.642258823529412</v>
      </c>
      <c r="N188" s="71">
        <f t="shared" si="222"/>
        <v>18</v>
      </c>
      <c r="O188" s="75">
        <v>31.54</v>
      </c>
      <c r="R188" s="61">
        <v>15</v>
      </c>
      <c r="U188" s="80" t="s">
        <v>545</v>
      </c>
      <c r="W188" s="80" t="s">
        <v>39</v>
      </c>
      <c r="X188" s="80" t="s">
        <v>40</v>
      </c>
    </row>
    <row r="189" spans="2:24">
      <c r="B189" s="68" t="s">
        <v>547</v>
      </c>
      <c r="C189" s="68" t="s">
        <v>324</v>
      </c>
      <c r="D189" s="68"/>
      <c r="E189" s="68" t="s">
        <v>546</v>
      </c>
      <c r="F189" s="58">
        <v>2021</v>
      </c>
      <c r="G189" s="71">
        <f t="shared" ref="G189" si="223">G183</f>
        <v>0.8</v>
      </c>
      <c r="H189" s="71"/>
      <c r="I189" s="71"/>
      <c r="J189" s="71">
        <f t="shared" ref="J189:N189" si="224">J183</f>
        <v>34.7945205479452</v>
      </c>
      <c r="K189" s="71">
        <f t="shared" si="224"/>
        <v>2.73972602739726</v>
      </c>
      <c r="L189" s="71">
        <f t="shared" si="224"/>
        <v>34.7945205479452</v>
      </c>
      <c r="M189" s="71">
        <f t="shared" si="224"/>
        <v>2.73972602739726</v>
      </c>
      <c r="N189" s="71">
        <f t="shared" si="224"/>
        <v>23</v>
      </c>
      <c r="O189" s="75">
        <v>31.54</v>
      </c>
      <c r="R189" s="61">
        <v>15</v>
      </c>
      <c r="U189" s="80" t="s">
        <v>547</v>
      </c>
      <c r="W189" s="80" t="s">
        <v>39</v>
      </c>
      <c r="X189" s="80" t="s">
        <v>40</v>
      </c>
    </row>
    <row r="190" spans="2:24">
      <c r="B190" s="68" t="s">
        <v>548</v>
      </c>
      <c r="C190" s="68" t="s">
        <v>326</v>
      </c>
      <c r="D190" s="68"/>
      <c r="E190" s="68" t="s">
        <v>546</v>
      </c>
      <c r="F190" s="58">
        <v>2021</v>
      </c>
      <c r="G190" s="71">
        <f t="shared" ref="G190" si="225">G184</f>
        <v>0.81</v>
      </c>
      <c r="H190" s="71"/>
      <c r="I190" s="71"/>
      <c r="J190" s="71">
        <f t="shared" ref="J190:N190" si="226">J184</f>
        <v>106.027397260274</v>
      </c>
      <c r="K190" s="71">
        <f t="shared" si="226"/>
        <v>4.93150684931507</v>
      </c>
      <c r="L190" s="71">
        <f t="shared" si="226"/>
        <v>106.027397260274</v>
      </c>
      <c r="M190" s="71">
        <f t="shared" si="226"/>
        <v>4.93150684931507</v>
      </c>
      <c r="N190" s="71">
        <f t="shared" si="226"/>
        <v>23</v>
      </c>
      <c r="O190" s="75">
        <v>31.54</v>
      </c>
      <c r="R190" s="61">
        <v>15</v>
      </c>
      <c r="U190" s="80" t="s">
        <v>548</v>
      </c>
      <c r="W190" s="80" t="s">
        <v>39</v>
      </c>
      <c r="X190" s="80" t="s">
        <v>40</v>
      </c>
    </row>
    <row r="191" spans="2:24">
      <c r="B191" s="68" t="s">
        <v>549</v>
      </c>
      <c r="C191" s="68" t="s">
        <v>328</v>
      </c>
      <c r="D191" s="68"/>
      <c r="E191" s="68" t="s">
        <v>546</v>
      </c>
      <c r="F191" s="58">
        <v>2021</v>
      </c>
      <c r="G191" s="71">
        <f t="shared" ref="G191" si="227">G185</f>
        <v>0.81</v>
      </c>
      <c r="H191" s="71"/>
      <c r="I191" s="71"/>
      <c r="J191" s="71">
        <f t="shared" ref="J191:N191" si="228">J185</f>
        <v>106.027397260274</v>
      </c>
      <c r="K191" s="71">
        <f t="shared" si="228"/>
        <v>4.93150684931507</v>
      </c>
      <c r="L191" s="71">
        <f t="shared" si="228"/>
        <v>106.027397260274</v>
      </c>
      <c r="M191" s="71">
        <f t="shared" si="228"/>
        <v>4.93150684931507</v>
      </c>
      <c r="N191" s="71">
        <f t="shared" si="228"/>
        <v>23</v>
      </c>
      <c r="O191" s="75">
        <v>31.54</v>
      </c>
      <c r="R191" s="61">
        <v>15</v>
      </c>
      <c r="U191" s="80" t="s">
        <v>549</v>
      </c>
      <c r="W191" s="80" t="s">
        <v>39</v>
      </c>
      <c r="X191" s="80" t="s">
        <v>40</v>
      </c>
    </row>
    <row r="192" spans="2:24">
      <c r="B192" s="68" t="s">
        <v>550</v>
      </c>
      <c r="C192" s="68" t="s">
        <v>330</v>
      </c>
      <c r="D192" s="68"/>
      <c r="E192" s="68" t="s">
        <v>546</v>
      </c>
      <c r="F192" s="58">
        <v>2021</v>
      </c>
      <c r="G192" s="71">
        <f t="shared" ref="G192" si="229">G186</f>
        <v>0.98</v>
      </c>
      <c r="H192" s="71"/>
      <c r="I192" s="71"/>
      <c r="J192" s="71">
        <f t="shared" ref="J192:N192" si="230">J186</f>
        <v>72.4242424242424</v>
      </c>
      <c r="K192" s="71">
        <f t="shared" si="230"/>
        <v>0.787878787878788</v>
      </c>
      <c r="L192" s="71">
        <f t="shared" si="230"/>
        <v>72.4242424242424</v>
      </c>
      <c r="M192" s="71">
        <f t="shared" si="230"/>
        <v>0.787878787878788</v>
      </c>
      <c r="N192" s="71">
        <f t="shared" si="230"/>
        <v>15</v>
      </c>
      <c r="O192" s="75">
        <v>31.54</v>
      </c>
      <c r="R192" s="61">
        <v>15</v>
      </c>
      <c r="U192" s="80" t="s">
        <v>550</v>
      </c>
      <c r="W192" s="80" t="s">
        <v>39</v>
      </c>
      <c r="X192" s="80" t="s">
        <v>40</v>
      </c>
    </row>
    <row r="193" spans="2:24">
      <c r="B193" s="68" t="s">
        <v>551</v>
      </c>
      <c r="C193" s="68" t="s">
        <v>332</v>
      </c>
      <c r="D193" s="68"/>
      <c r="E193" s="68" t="s">
        <v>546</v>
      </c>
      <c r="F193" s="58">
        <v>2021</v>
      </c>
      <c r="G193" s="71">
        <f t="shared" ref="G193:G194" si="231">G187</f>
        <v>0.88</v>
      </c>
      <c r="H193" s="71"/>
      <c r="I193" s="71"/>
      <c r="J193" s="71">
        <f t="shared" ref="J193:N193" si="232">J187</f>
        <v>85.8119350279589</v>
      </c>
      <c r="K193" s="71">
        <f t="shared" si="232"/>
        <v>2.80657546748712</v>
      </c>
      <c r="L193" s="71">
        <f t="shared" si="232"/>
        <v>85.8119350279589</v>
      </c>
      <c r="M193" s="71">
        <f t="shared" si="232"/>
        <v>2.80657546748712</v>
      </c>
      <c r="N193" s="71">
        <f t="shared" si="232"/>
        <v>20.4</v>
      </c>
      <c r="O193" s="75">
        <v>31.54</v>
      </c>
      <c r="R193" s="61">
        <v>15</v>
      </c>
      <c r="U193" s="80" t="s">
        <v>551</v>
      </c>
      <c r="W193" s="80" t="s">
        <v>39</v>
      </c>
      <c r="X193" s="80" t="s">
        <v>40</v>
      </c>
    </row>
    <row r="194" spans="2:24">
      <c r="B194" s="68" t="s">
        <v>552</v>
      </c>
      <c r="C194" s="68" t="s">
        <v>281</v>
      </c>
      <c r="D194" s="68"/>
      <c r="E194" s="68" t="s">
        <v>553</v>
      </c>
      <c r="F194" s="58">
        <v>2021</v>
      </c>
      <c r="G194" s="71">
        <f t="shared" si="231"/>
        <v>1</v>
      </c>
      <c r="H194" s="71"/>
      <c r="I194" s="71"/>
      <c r="J194" s="71">
        <f t="shared" ref="J194:N194" si="233">J188</f>
        <v>109.786117647059</v>
      </c>
      <c r="K194" s="71">
        <f t="shared" si="233"/>
        <v>0.642258823529412</v>
      </c>
      <c r="L194" s="71">
        <f t="shared" si="233"/>
        <v>109.786117647059</v>
      </c>
      <c r="M194" s="71">
        <f t="shared" si="233"/>
        <v>0.642258823529412</v>
      </c>
      <c r="N194" s="71">
        <f t="shared" si="233"/>
        <v>18</v>
      </c>
      <c r="O194" s="75">
        <v>31.54</v>
      </c>
      <c r="R194" s="61">
        <v>15</v>
      </c>
      <c r="U194" s="80" t="s">
        <v>552</v>
      </c>
      <c r="W194" s="80" t="s">
        <v>39</v>
      </c>
      <c r="X194" s="80" t="s">
        <v>40</v>
      </c>
    </row>
    <row r="195" spans="2:24">
      <c r="B195" s="68" t="s">
        <v>554</v>
      </c>
      <c r="C195" s="68" t="s">
        <v>324</v>
      </c>
      <c r="D195" s="68"/>
      <c r="E195" s="68" t="s">
        <v>553</v>
      </c>
      <c r="F195" s="58">
        <v>2021</v>
      </c>
      <c r="G195" s="71">
        <f t="shared" ref="G195" si="234">G189</f>
        <v>0.8</v>
      </c>
      <c r="H195" s="71"/>
      <c r="I195" s="71"/>
      <c r="J195" s="71">
        <f t="shared" ref="J195:N195" si="235">J189</f>
        <v>34.7945205479452</v>
      </c>
      <c r="K195" s="71">
        <f t="shared" si="235"/>
        <v>2.73972602739726</v>
      </c>
      <c r="L195" s="71">
        <f t="shared" si="235"/>
        <v>34.7945205479452</v>
      </c>
      <c r="M195" s="71">
        <f t="shared" si="235"/>
        <v>2.73972602739726</v>
      </c>
      <c r="N195" s="71">
        <f t="shared" si="235"/>
        <v>23</v>
      </c>
      <c r="O195" s="75">
        <v>31.54</v>
      </c>
      <c r="R195" s="61">
        <v>15</v>
      </c>
      <c r="U195" s="80" t="s">
        <v>554</v>
      </c>
      <c r="W195" s="80" t="s">
        <v>39</v>
      </c>
      <c r="X195" s="80" t="s">
        <v>40</v>
      </c>
    </row>
    <row r="196" spans="2:24">
      <c r="B196" s="68" t="s">
        <v>555</v>
      </c>
      <c r="C196" s="68" t="s">
        <v>326</v>
      </c>
      <c r="D196" s="68"/>
      <c r="E196" s="68" t="s">
        <v>553</v>
      </c>
      <c r="F196" s="58">
        <v>2021</v>
      </c>
      <c r="G196" s="71">
        <f t="shared" ref="G196" si="236">G190</f>
        <v>0.81</v>
      </c>
      <c r="H196" s="71"/>
      <c r="I196" s="71"/>
      <c r="J196" s="71">
        <f t="shared" ref="J196:N196" si="237">J190</f>
        <v>106.027397260274</v>
      </c>
      <c r="K196" s="71">
        <f t="shared" si="237"/>
        <v>4.93150684931507</v>
      </c>
      <c r="L196" s="71">
        <f t="shared" si="237"/>
        <v>106.027397260274</v>
      </c>
      <c r="M196" s="71">
        <f t="shared" si="237"/>
        <v>4.93150684931507</v>
      </c>
      <c r="N196" s="71">
        <f t="shared" si="237"/>
        <v>23</v>
      </c>
      <c r="O196" s="75">
        <v>31.54</v>
      </c>
      <c r="R196" s="61">
        <v>15</v>
      </c>
      <c r="U196" s="80" t="s">
        <v>555</v>
      </c>
      <c r="W196" s="80" t="s">
        <v>39</v>
      </c>
      <c r="X196" s="80" t="s">
        <v>40</v>
      </c>
    </row>
    <row r="197" spans="2:24">
      <c r="B197" s="68" t="s">
        <v>556</v>
      </c>
      <c r="C197" s="68" t="s">
        <v>328</v>
      </c>
      <c r="D197" s="68"/>
      <c r="E197" s="68" t="s">
        <v>553</v>
      </c>
      <c r="F197" s="58">
        <v>2021</v>
      </c>
      <c r="G197" s="71">
        <f t="shared" ref="G197" si="238">G191</f>
        <v>0.81</v>
      </c>
      <c r="H197" s="71"/>
      <c r="I197" s="71"/>
      <c r="J197" s="71">
        <f t="shared" ref="J197:N197" si="239">J191</f>
        <v>106.027397260274</v>
      </c>
      <c r="K197" s="71">
        <f t="shared" si="239"/>
        <v>4.93150684931507</v>
      </c>
      <c r="L197" s="71">
        <f t="shared" si="239"/>
        <v>106.027397260274</v>
      </c>
      <c r="M197" s="71">
        <f t="shared" si="239"/>
        <v>4.93150684931507</v>
      </c>
      <c r="N197" s="71">
        <f t="shared" si="239"/>
        <v>23</v>
      </c>
      <c r="O197" s="75">
        <v>31.54</v>
      </c>
      <c r="R197" s="61">
        <v>15</v>
      </c>
      <c r="U197" s="80" t="s">
        <v>556</v>
      </c>
      <c r="W197" s="80" t="s">
        <v>39</v>
      </c>
      <c r="X197" s="80" t="s">
        <v>40</v>
      </c>
    </row>
    <row r="198" spans="2:24">
      <c r="B198" s="68" t="s">
        <v>557</v>
      </c>
      <c r="C198" s="68" t="s">
        <v>330</v>
      </c>
      <c r="D198" s="68"/>
      <c r="E198" s="68" t="s">
        <v>553</v>
      </c>
      <c r="F198" s="58">
        <v>2021</v>
      </c>
      <c r="G198" s="71">
        <f t="shared" ref="G198" si="240">G192</f>
        <v>0.98</v>
      </c>
      <c r="H198" s="71"/>
      <c r="I198" s="71"/>
      <c r="J198" s="71">
        <f t="shared" ref="J198:N198" si="241">J192</f>
        <v>72.4242424242424</v>
      </c>
      <c r="K198" s="71">
        <f t="shared" si="241"/>
        <v>0.787878787878788</v>
      </c>
      <c r="L198" s="71">
        <f t="shared" si="241"/>
        <v>72.4242424242424</v>
      </c>
      <c r="M198" s="71">
        <f t="shared" si="241"/>
        <v>0.787878787878788</v>
      </c>
      <c r="N198" s="71">
        <f t="shared" si="241"/>
        <v>15</v>
      </c>
      <c r="O198" s="75">
        <v>31.54</v>
      </c>
      <c r="R198" s="61">
        <v>15</v>
      </c>
      <c r="U198" s="80" t="s">
        <v>557</v>
      </c>
      <c r="W198" s="80" t="s">
        <v>39</v>
      </c>
      <c r="X198" s="80" t="s">
        <v>40</v>
      </c>
    </row>
    <row r="199" spans="2:24">
      <c r="B199" s="68" t="s">
        <v>558</v>
      </c>
      <c r="C199" s="68" t="s">
        <v>332</v>
      </c>
      <c r="D199" s="68"/>
      <c r="E199" s="68" t="s">
        <v>553</v>
      </c>
      <c r="F199" s="58">
        <v>2021</v>
      </c>
      <c r="G199" s="71">
        <f t="shared" ref="G199:G200" si="242">G193</f>
        <v>0.88</v>
      </c>
      <c r="H199" s="71"/>
      <c r="I199" s="71"/>
      <c r="J199" s="71">
        <f t="shared" ref="J199:N199" si="243">J193</f>
        <v>85.8119350279589</v>
      </c>
      <c r="K199" s="71">
        <f t="shared" si="243"/>
        <v>2.80657546748712</v>
      </c>
      <c r="L199" s="71">
        <f t="shared" si="243"/>
        <v>85.8119350279589</v>
      </c>
      <c r="M199" s="71">
        <f t="shared" si="243"/>
        <v>2.80657546748712</v>
      </c>
      <c r="N199" s="71">
        <f t="shared" si="243"/>
        <v>20.4</v>
      </c>
      <c r="O199" s="75">
        <v>31.54</v>
      </c>
      <c r="R199" s="61">
        <v>15</v>
      </c>
      <c r="U199" s="80" t="s">
        <v>558</v>
      </c>
      <c r="W199" s="80" t="s">
        <v>39</v>
      </c>
      <c r="X199" s="80" t="s">
        <v>40</v>
      </c>
    </row>
    <row r="200" spans="2:24">
      <c r="B200" s="68" t="s">
        <v>559</v>
      </c>
      <c r="C200" s="68" t="s">
        <v>281</v>
      </c>
      <c r="D200" s="68"/>
      <c r="E200" s="68" t="s">
        <v>560</v>
      </c>
      <c r="F200" s="58">
        <v>2021</v>
      </c>
      <c r="G200" s="71">
        <f t="shared" si="242"/>
        <v>1</v>
      </c>
      <c r="H200" s="71"/>
      <c r="I200" s="71"/>
      <c r="J200" s="71">
        <f t="shared" ref="J200:N200" si="244">J194</f>
        <v>109.786117647059</v>
      </c>
      <c r="K200" s="71">
        <f t="shared" si="244"/>
        <v>0.642258823529412</v>
      </c>
      <c r="L200" s="71">
        <f t="shared" si="244"/>
        <v>109.786117647059</v>
      </c>
      <c r="M200" s="71">
        <f t="shared" si="244"/>
        <v>0.642258823529412</v>
      </c>
      <c r="N200" s="71">
        <f t="shared" si="244"/>
        <v>18</v>
      </c>
      <c r="O200" s="75">
        <v>31.54</v>
      </c>
      <c r="R200" s="61">
        <v>15</v>
      </c>
      <c r="U200" s="80" t="s">
        <v>559</v>
      </c>
      <c r="W200" s="80" t="s">
        <v>39</v>
      </c>
      <c r="X200" s="80" t="s">
        <v>40</v>
      </c>
    </row>
    <row r="201" spans="2:24">
      <c r="B201" s="68" t="s">
        <v>561</v>
      </c>
      <c r="C201" s="68" t="s">
        <v>324</v>
      </c>
      <c r="D201" s="68"/>
      <c r="E201" s="68" t="s">
        <v>560</v>
      </c>
      <c r="F201" s="58">
        <v>2021</v>
      </c>
      <c r="G201" s="71">
        <f t="shared" ref="G201" si="245">G195</f>
        <v>0.8</v>
      </c>
      <c r="H201" s="71"/>
      <c r="I201" s="71"/>
      <c r="J201" s="71">
        <f t="shared" ref="J201:N201" si="246">J195</f>
        <v>34.7945205479452</v>
      </c>
      <c r="K201" s="71">
        <f t="shared" si="246"/>
        <v>2.73972602739726</v>
      </c>
      <c r="L201" s="71">
        <f t="shared" si="246"/>
        <v>34.7945205479452</v>
      </c>
      <c r="M201" s="71">
        <f t="shared" si="246"/>
        <v>2.73972602739726</v>
      </c>
      <c r="N201" s="71">
        <f t="shared" si="246"/>
        <v>23</v>
      </c>
      <c r="O201" s="75">
        <v>31.54</v>
      </c>
      <c r="R201" s="61">
        <v>15</v>
      </c>
      <c r="U201" s="80" t="s">
        <v>561</v>
      </c>
      <c r="W201" s="80" t="s">
        <v>39</v>
      </c>
      <c r="X201" s="80" t="s">
        <v>40</v>
      </c>
    </row>
    <row r="202" spans="2:24">
      <c r="B202" s="68" t="s">
        <v>562</v>
      </c>
      <c r="C202" s="68" t="s">
        <v>326</v>
      </c>
      <c r="D202" s="68"/>
      <c r="E202" s="68" t="s">
        <v>560</v>
      </c>
      <c r="F202" s="58">
        <v>2021</v>
      </c>
      <c r="G202" s="71">
        <f t="shared" ref="G202" si="247">G196</f>
        <v>0.81</v>
      </c>
      <c r="H202" s="71"/>
      <c r="I202" s="71"/>
      <c r="J202" s="71">
        <f t="shared" ref="J202:N202" si="248">J196</f>
        <v>106.027397260274</v>
      </c>
      <c r="K202" s="71">
        <f t="shared" si="248"/>
        <v>4.93150684931507</v>
      </c>
      <c r="L202" s="71">
        <f t="shared" si="248"/>
        <v>106.027397260274</v>
      </c>
      <c r="M202" s="71">
        <f t="shared" si="248"/>
        <v>4.93150684931507</v>
      </c>
      <c r="N202" s="71">
        <f t="shared" si="248"/>
        <v>23</v>
      </c>
      <c r="O202" s="75">
        <v>31.54</v>
      </c>
      <c r="R202" s="61">
        <v>15</v>
      </c>
      <c r="U202" s="80" t="s">
        <v>562</v>
      </c>
      <c r="W202" s="80" t="s">
        <v>39</v>
      </c>
      <c r="X202" s="80" t="s">
        <v>40</v>
      </c>
    </row>
    <row r="203" spans="2:24">
      <c r="B203" s="68" t="s">
        <v>563</v>
      </c>
      <c r="C203" s="68" t="s">
        <v>328</v>
      </c>
      <c r="D203" s="68"/>
      <c r="E203" s="68" t="s">
        <v>560</v>
      </c>
      <c r="F203" s="58">
        <v>2021</v>
      </c>
      <c r="G203" s="71">
        <f t="shared" ref="G203" si="249">G197</f>
        <v>0.81</v>
      </c>
      <c r="H203" s="71"/>
      <c r="I203" s="71"/>
      <c r="J203" s="71">
        <f t="shared" ref="J203:N203" si="250">J197</f>
        <v>106.027397260274</v>
      </c>
      <c r="K203" s="71">
        <f t="shared" si="250"/>
        <v>4.93150684931507</v>
      </c>
      <c r="L203" s="71">
        <f t="shared" si="250"/>
        <v>106.027397260274</v>
      </c>
      <c r="M203" s="71">
        <f t="shared" si="250"/>
        <v>4.93150684931507</v>
      </c>
      <c r="N203" s="71">
        <f t="shared" si="250"/>
        <v>23</v>
      </c>
      <c r="O203" s="75">
        <v>31.54</v>
      </c>
      <c r="R203" s="61">
        <v>15</v>
      </c>
      <c r="U203" s="80" t="s">
        <v>563</v>
      </c>
      <c r="W203" s="80" t="s">
        <v>39</v>
      </c>
      <c r="X203" s="80" t="s">
        <v>40</v>
      </c>
    </row>
    <row r="204" spans="2:24">
      <c r="B204" s="68" t="s">
        <v>564</v>
      </c>
      <c r="C204" s="68" t="s">
        <v>330</v>
      </c>
      <c r="D204" s="68"/>
      <c r="E204" s="68" t="s">
        <v>560</v>
      </c>
      <c r="F204" s="58">
        <v>2021</v>
      </c>
      <c r="G204" s="71">
        <f t="shared" ref="G204" si="251">G198</f>
        <v>0.98</v>
      </c>
      <c r="H204" s="71"/>
      <c r="I204" s="71"/>
      <c r="J204" s="71">
        <f t="shared" ref="J204:N204" si="252">J198</f>
        <v>72.4242424242424</v>
      </c>
      <c r="K204" s="71">
        <f t="shared" si="252"/>
        <v>0.787878787878788</v>
      </c>
      <c r="L204" s="71">
        <f t="shared" si="252"/>
        <v>72.4242424242424</v>
      </c>
      <c r="M204" s="71">
        <f t="shared" si="252"/>
        <v>0.787878787878788</v>
      </c>
      <c r="N204" s="71">
        <f t="shared" si="252"/>
        <v>15</v>
      </c>
      <c r="O204" s="75">
        <v>31.54</v>
      </c>
      <c r="R204" s="61">
        <v>15</v>
      </c>
      <c r="U204" s="80" t="s">
        <v>564</v>
      </c>
      <c r="W204" s="80" t="s">
        <v>39</v>
      </c>
      <c r="X204" s="80" t="s">
        <v>40</v>
      </c>
    </row>
    <row r="205" spans="2:24">
      <c r="B205" s="68" t="s">
        <v>565</v>
      </c>
      <c r="C205" s="68" t="s">
        <v>332</v>
      </c>
      <c r="D205" s="68"/>
      <c r="E205" s="68" t="s">
        <v>560</v>
      </c>
      <c r="F205" s="58">
        <v>2021</v>
      </c>
      <c r="G205" s="71">
        <f t="shared" ref="G205" si="253">G199</f>
        <v>0.88</v>
      </c>
      <c r="H205" s="71"/>
      <c r="I205" s="71"/>
      <c r="J205" s="71">
        <f t="shared" ref="J205:N205" si="254">J199</f>
        <v>85.8119350279589</v>
      </c>
      <c r="K205" s="71">
        <f t="shared" si="254"/>
        <v>2.80657546748712</v>
      </c>
      <c r="L205" s="71">
        <f t="shared" si="254"/>
        <v>85.8119350279589</v>
      </c>
      <c r="M205" s="71">
        <f t="shared" si="254"/>
        <v>2.80657546748712</v>
      </c>
      <c r="N205" s="71">
        <f t="shared" si="254"/>
        <v>20.4</v>
      </c>
      <c r="O205" s="75">
        <v>31.54</v>
      </c>
      <c r="R205" s="61">
        <v>15</v>
      </c>
      <c r="U205" s="80" t="s">
        <v>565</v>
      </c>
      <c r="W205" s="80" t="s">
        <v>39</v>
      </c>
      <c r="X205" s="80" t="s">
        <v>40</v>
      </c>
    </row>
    <row r="206" spans="2:24">
      <c r="B206" s="68" t="s">
        <v>566</v>
      </c>
      <c r="C206" s="68" t="s">
        <v>281</v>
      </c>
      <c r="D206" s="68"/>
      <c r="E206" s="68" t="s">
        <v>432</v>
      </c>
      <c r="F206" s="58">
        <v>2021</v>
      </c>
      <c r="G206" s="71">
        <f>3.8</f>
        <v>3.8</v>
      </c>
      <c r="H206" s="71"/>
      <c r="I206" s="71"/>
      <c r="J206" s="71">
        <f>11870/(90/3.412)</f>
        <v>450.004888888889</v>
      </c>
      <c r="K206" s="71">
        <f>370/(90/3.412)</f>
        <v>14.0271111111111</v>
      </c>
      <c r="L206" s="71">
        <f t="shared" si="156"/>
        <v>450.004888888889</v>
      </c>
      <c r="M206" s="71">
        <f t="shared" si="157"/>
        <v>14.0271111111111</v>
      </c>
      <c r="N206" s="71">
        <v>21</v>
      </c>
      <c r="O206" s="75">
        <v>31.54</v>
      </c>
      <c r="R206" s="61">
        <v>10</v>
      </c>
      <c r="U206" s="80" t="s">
        <v>566</v>
      </c>
      <c r="W206" s="80" t="s">
        <v>39</v>
      </c>
      <c r="X206" s="80" t="s">
        <v>40</v>
      </c>
    </row>
    <row r="207" spans="2:24">
      <c r="B207" s="68" t="s">
        <v>567</v>
      </c>
      <c r="C207" s="68" t="s">
        <v>324</v>
      </c>
      <c r="D207" s="68"/>
      <c r="E207" s="68" t="s">
        <v>432</v>
      </c>
      <c r="F207" s="58">
        <v>2021</v>
      </c>
      <c r="G207" s="71">
        <v>1.2</v>
      </c>
      <c r="H207" s="71"/>
      <c r="I207" s="71"/>
      <c r="J207" s="71">
        <f>4110/3.517*1</f>
        <v>1168.60961046346</v>
      </c>
      <c r="K207" s="71">
        <f>70/(11*3.517)</f>
        <v>1.80939333626283</v>
      </c>
      <c r="L207" s="71">
        <f t="shared" si="156"/>
        <v>1168.60961046346</v>
      </c>
      <c r="M207" s="71">
        <f t="shared" si="157"/>
        <v>1.80939333626283</v>
      </c>
      <c r="N207" s="71">
        <v>15</v>
      </c>
      <c r="O207" s="75">
        <v>31.54</v>
      </c>
      <c r="R207" s="61">
        <v>10</v>
      </c>
      <c r="U207" s="80" t="s">
        <v>567</v>
      </c>
      <c r="W207" s="80" t="s">
        <v>39</v>
      </c>
      <c r="X207" s="80" t="s">
        <v>40</v>
      </c>
    </row>
    <row r="208" spans="2:24">
      <c r="B208" s="68" t="s">
        <v>568</v>
      </c>
      <c r="C208" s="68" t="s">
        <v>281</v>
      </c>
      <c r="D208" s="68"/>
      <c r="E208" s="68" t="s">
        <v>436</v>
      </c>
      <c r="F208" s="58">
        <v>2021</v>
      </c>
      <c r="G208" s="92">
        <f>G206</f>
        <v>3.8</v>
      </c>
      <c r="H208" s="92"/>
      <c r="I208" s="92"/>
      <c r="J208" s="92">
        <f t="shared" ref="J208:N209" si="255">J206</f>
        <v>450.004888888889</v>
      </c>
      <c r="K208" s="92">
        <f t="shared" si="255"/>
        <v>14.0271111111111</v>
      </c>
      <c r="L208" s="92">
        <f t="shared" si="255"/>
        <v>450.004888888889</v>
      </c>
      <c r="M208" s="92">
        <f t="shared" si="255"/>
        <v>14.0271111111111</v>
      </c>
      <c r="N208" s="92">
        <f t="shared" si="255"/>
        <v>21</v>
      </c>
      <c r="O208" s="75">
        <v>31.54</v>
      </c>
      <c r="R208" s="61">
        <v>10</v>
      </c>
      <c r="U208" s="80" t="s">
        <v>568</v>
      </c>
      <c r="W208" s="80" t="s">
        <v>39</v>
      </c>
      <c r="X208" s="80" t="s">
        <v>40</v>
      </c>
    </row>
    <row r="209" spans="2:24">
      <c r="B209" s="68" t="s">
        <v>569</v>
      </c>
      <c r="C209" s="68" t="s">
        <v>324</v>
      </c>
      <c r="D209" s="68"/>
      <c r="E209" s="68" t="s">
        <v>436</v>
      </c>
      <c r="F209" s="58">
        <v>2021</v>
      </c>
      <c r="G209" s="92">
        <f>G207</f>
        <v>1.2</v>
      </c>
      <c r="H209" s="92"/>
      <c r="I209" s="92"/>
      <c r="J209" s="92">
        <f t="shared" si="255"/>
        <v>1168.60961046346</v>
      </c>
      <c r="K209" s="92">
        <f t="shared" si="255"/>
        <v>1.80939333626283</v>
      </c>
      <c r="L209" s="92">
        <f t="shared" si="255"/>
        <v>1168.60961046346</v>
      </c>
      <c r="M209" s="92">
        <f t="shared" si="255"/>
        <v>1.80939333626283</v>
      </c>
      <c r="N209" s="92">
        <f t="shared" si="255"/>
        <v>15</v>
      </c>
      <c r="O209" s="75">
        <v>31.54</v>
      </c>
      <c r="R209" s="61">
        <v>10</v>
      </c>
      <c r="U209" s="80" t="s">
        <v>569</v>
      </c>
      <c r="W209" s="80" t="s">
        <v>39</v>
      </c>
      <c r="X209" s="80" t="s">
        <v>40</v>
      </c>
    </row>
    <row r="210" spans="2:24">
      <c r="B210" s="68" t="s">
        <v>570</v>
      </c>
      <c r="C210" s="68" t="s">
        <v>281</v>
      </c>
      <c r="D210" s="68"/>
      <c r="E210" s="68" t="s">
        <v>441</v>
      </c>
      <c r="F210" s="58">
        <v>2021</v>
      </c>
      <c r="G210" s="92">
        <f>G208</f>
        <v>3.8</v>
      </c>
      <c r="H210" s="92"/>
      <c r="I210" s="92"/>
      <c r="J210" s="92">
        <f t="shared" ref="J210:N210" si="256">J208</f>
        <v>450.004888888889</v>
      </c>
      <c r="K210" s="92">
        <f t="shared" si="256"/>
        <v>14.0271111111111</v>
      </c>
      <c r="L210" s="92">
        <f t="shared" si="256"/>
        <v>450.004888888889</v>
      </c>
      <c r="M210" s="92">
        <f t="shared" si="256"/>
        <v>14.0271111111111</v>
      </c>
      <c r="N210" s="92">
        <f t="shared" si="256"/>
        <v>21</v>
      </c>
      <c r="O210" s="75">
        <v>31.54</v>
      </c>
      <c r="R210" s="61">
        <v>10</v>
      </c>
      <c r="U210" s="80" t="s">
        <v>570</v>
      </c>
      <c r="W210" s="80" t="s">
        <v>39</v>
      </c>
      <c r="X210" s="80" t="s">
        <v>40</v>
      </c>
    </row>
    <row r="211" spans="2:24">
      <c r="B211" s="68" t="s">
        <v>571</v>
      </c>
      <c r="C211" s="68" t="s">
        <v>324</v>
      </c>
      <c r="D211" s="68"/>
      <c r="E211" s="68" t="s">
        <v>441</v>
      </c>
      <c r="F211" s="58">
        <v>2021</v>
      </c>
      <c r="G211" s="92">
        <f>G209</f>
        <v>1.2</v>
      </c>
      <c r="H211" s="92"/>
      <c r="I211" s="92"/>
      <c r="J211" s="92">
        <f t="shared" ref="J211:N211" si="257">J209</f>
        <v>1168.60961046346</v>
      </c>
      <c r="K211" s="92">
        <f t="shared" si="257"/>
        <v>1.80939333626283</v>
      </c>
      <c r="L211" s="92">
        <f t="shared" si="257"/>
        <v>1168.60961046346</v>
      </c>
      <c r="M211" s="92">
        <f t="shared" si="257"/>
        <v>1.80939333626283</v>
      </c>
      <c r="N211" s="92">
        <f t="shared" si="257"/>
        <v>15</v>
      </c>
      <c r="O211" s="75">
        <v>31.54</v>
      </c>
      <c r="R211" s="61">
        <v>10</v>
      </c>
      <c r="U211" s="80" t="s">
        <v>571</v>
      </c>
      <c r="W211" s="80" t="s">
        <v>39</v>
      </c>
      <c r="X211" s="80" t="s">
        <v>40</v>
      </c>
    </row>
    <row r="212" spans="2:24">
      <c r="B212" s="68" t="s">
        <v>572</v>
      </c>
      <c r="C212" s="68" t="s">
        <v>281</v>
      </c>
      <c r="D212" s="68"/>
      <c r="E212" s="68" t="s">
        <v>445</v>
      </c>
      <c r="F212" s="58">
        <v>2021</v>
      </c>
      <c r="G212" s="92">
        <f t="shared" ref="G212:G225" si="258">G210</f>
        <v>3.8</v>
      </c>
      <c r="H212" s="92"/>
      <c r="I212" s="92"/>
      <c r="J212" s="92">
        <f t="shared" ref="J212:N212" si="259">J210</f>
        <v>450.004888888889</v>
      </c>
      <c r="K212" s="92">
        <f t="shared" si="259"/>
        <v>14.0271111111111</v>
      </c>
      <c r="L212" s="92">
        <f t="shared" si="259"/>
        <v>450.004888888889</v>
      </c>
      <c r="M212" s="92">
        <f t="shared" si="259"/>
        <v>14.0271111111111</v>
      </c>
      <c r="N212" s="92">
        <f t="shared" si="259"/>
        <v>21</v>
      </c>
      <c r="O212" s="75">
        <v>31.54</v>
      </c>
      <c r="R212" s="61">
        <v>10</v>
      </c>
      <c r="U212" s="80" t="s">
        <v>572</v>
      </c>
      <c r="W212" s="80" t="s">
        <v>39</v>
      </c>
      <c r="X212" s="80" t="s">
        <v>40</v>
      </c>
    </row>
    <row r="213" spans="2:24">
      <c r="B213" s="68" t="s">
        <v>573</v>
      </c>
      <c r="C213" s="68" t="s">
        <v>324</v>
      </c>
      <c r="D213" s="68"/>
      <c r="E213" s="68" t="s">
        <v>445</v>
      </c>
      <c r="F213" s="58">
        <v>2021</v>
      </c>
      <c r="G213" s="92">
        <f t="shared" si="258"/>
        <v>1.2</v>
      </c>
      <c r="H213" s="92"/>
      <c r="I213" s="92"/>
      <c r="J213" s="92">
        <f t="shared" ref="J213:N213" si="260">J211</f>
        <v>1168.60961046346</v>
      </c>
      <c r="K213" s="92">
        <f t="shared" si="260"/>
        <v>1.80939333626283</v>
      </c>
      <c r="L213" s="92">
        <f t="shared" si="260"/>
        <v>1168.60961046346</v>
      </c>
      <c r="M213" s="92">
        <f t="shared" si="260"/>
        <v>1.80939333626283</v>
      </c>
      <c r="N213" s="92">
        <f t="shared" si="260"/>
        <v>15</v>
      </c>
      <c r="O213" s="75">
        <v>31.54</v>
      </c>
      <c r="R213" s="61">
        <v>10</v>
      </c>
      <c r="U213" s="80" t="s">
        <v>573</v>
      </c>
      <c r="W213" s="80" t="s">
        <v>39</v>
      </c>
      <c r="X213" s="80" t="s">
        <v>40</v>
      </c>
    </row>
    <row r="214" spans="2:24">
      <c r="B214" s="68" t="s">
        <v>574</v>
      </c>
      <c r="C214" s="68" t="s">
        <v>281</v>
      </c>
      <c r="D214" s="68"/>
      <c r="E214" s="68" t="s">
        <v>449</v>
      </c>
      <c r="F214" s="58">
        <v>2021</v>
      </c>
      <c r="G214" s="92">
        <f t="shared" si="258"/>
        <v>3.8</v>
      </c>
      <c r="H214" s="92"/>
      <c r="I214" s="92"/>
      <c r="J214" s="92">
        <f t="shared" ref="J214:N214" si="261">J212</f>
        <v>450.004888888889</v>
      </c>
      <c r="K214" s="92">
        <f t="shared" si="261"/>
        <v>14.0271111111111</v>
      </c>
      <c r="L214" s="92">
        <f t="shared" si="261"/>
        <v>450.004888888889</v>
      </c>
      <c r="M214" s="92">
        <f t="shared" si="261"/>
        <v>14.0271111111111</v>
      </c>
      <c r="N214" s="92">
        <f t="shared" si="261"/>
        <v>21</v>
      </c>
      <c r="O214" s="75">
        <v>31.54</v>
      </c>
      <c r="R214" s="61">
        <v>10</v>
      </c>
      <c r="U214" s="80" t="s">
        <v>574</v>
      </c>
      <c r="W214" s="80" t="s">
        <v>39</v>
      </c>
      <c r="X214" s="80" t="s">
        <v>40</v>
      </c>
    </row>
    <row r="215" spans="2:24">
      <c r="B215" s="68" t="s">
        <v>575</v>
      </c>
      <c r="C215" s="68" t="s">
        <v>324</v>
      </c>
      <c r="D215" s="68"/>
      <c r="E215" s="68" t="s">
        <v>449</v>
      </c>
      <c r="F215" s="58">
        <v>2021</v>
      </c>
      <c r="G215" s="92">
        <f t="shared" si="258"/>
        <v>1.2</v>
      </c>
      <c r="H215" s="92"/>
      <c r="I215" s="92"/>
      <c r="J215" s="92">
        <f t="shared" ref="J215:N215" si="262">J213</f>
        <v>1168.60961046346</v>
      </c>
      <c r="K215" s="92">
        <f t="shared" si="262"/>
        <v>1.80939333626283</v>
      </c>
      <c r="L215" s="92">
        <f t="shared" si="262"/>
        <v>1168.60961046346</v>
      </c>
      <c r="M215" s="92">
        <f t="shared" si="262"/>
        <v>1.80939333626283</v>
      </c>
      <c r="N215" s="92">
        <f t="shared" si="262"/>
        <v>15</v>
      </c>
      <c r="O215" s="75">
        <v>31.54</v>
      </c>
      <c r="R215" s="61">
        <v>10</v>
      </c>
      <c r="U215" s="80" t="s">
        <v>575</v>
      </c>
      <c r="W215" s="80" t="s">
        <v>39</v>
      </c>
      <c r="X215" s="80" t="s">
        <v>40</v>
      </c>
    </row>
    <row r="216" spans="2:24">
      <c r="B216" s="68" t="s">
        <v>576</v>
      </c>
      <c r="C216" s="68" t="s">
        <v>281</v>
      </c>
      <c r="D216" s="68"/>
      <c r="E216" s="68" t="s">
        <v>454</v>
      </c>
      <c r="F216" s="58">
        <v>2021</v>
      </c>
      <c r="G216" s="92">
        <f t="shared" si="258"/>
        <v>3.8</v>
      </c>
      <c r="H216" s="92"/>
      <c r="I216" s="92"/>
      <c r="J216" s="92">
        <f t="shared" ref="J216:N216" si="263">J214</f>
        <v>450.004888888889</v>
      </c>
      <c r="K216" s="92">
        <f t="shared" si="263"/>
        <v>14.0271111111111</v>
      </c>
      <c r="L216" s="92">
        <f t="shared" si="263"/>
        <v>450.004888888889</v>
      </c>
      <c r="M216" s="92">
        <f t="shared" si="263"/>
        <v>14.0271111111111</v>
      </c>
      <c r="N216" s="92">
        <f t="shared" si="263"/>
        <v>21</v>
      </c>
      <c r="O216" s="75">
        <v>31.54</v>
      </c>
      <c r="R216" s="61">
        <v>10</v>
      </c>
      <c r="U216" s="80" t="s">
        <v>576</v>
      </c>
      <c r="W216" s="80" t="s">
        <v>39</v>
      </c>
      <c r="X216" s="80" t="s">
        <v>40</v>
      </c>
    </row>
    <row r="217" spans="2:24">
      <c r="B217" s="68" t="s">
        <v>577</v>
      </c>
      <c r="C217" s="68" t="s">
        <v>324</v>
      </c>
      <c r="D217" s="68"/>
      <c r="E217" s="68" t="s">
        <v>454</v>
      </c>
      <c r="F217" s="58">
        <v>2021</v>
      </c>
      <c r="G217" s="92">
        <f t="shared" si="258"/>
        <v>1.2</v>
      </c>
      <c r="H217" s="92"/>
      <c r="I217" s="92"/>
      <c r="J217" s="92">
        <f t="shared" ref="J217:N217" si="264">J215</f>
        <v>1168.60961046346</v>
      </c>
      <c r="K217" s="92">
        <f t="shared" si="264"/>
        <v>1.80939333626283</v>
      </c>
      <c r="L217" s="92">
        <f t="shared" si="264"/>
        <v>1168.60961046346</v>
      </c>
      <c r="M217" s="92">
        <f t="shared" si="264"/>
        <v>1.80939333626283</v>
      </c>
      <c r="N217" s="92">
        <f t="shared" si="264"/>
        <v>15</v>
      </c>
      <c r="O217" s="75">
        <v>31.54</v>
      </c>
      <c r="R217" s="61">
        <v>10</v>
      </c>
      <c r="U217" s="80" t="s">
        <v>577</v>
      </c>
      <c r="W217" s="80" t="s">
        <v>39</v>
      </c>
      <c r="X217" s="80" t="s">
        <v>40</v>
      </c>
    </row>
    <row r="218" spans="2:24">
      <c r="B218" s="68" t="s">
        <v>578</v>
      </c>
      <c r="C218" s="68" t="s">
        <v>281</v>
      </c>
      <c r="D218" s="68"/>
      <c r="E218" s="68" t="s">
        <v>458</v>
      </c>
      <c r="F218" s="58">
        <v>2021</v>
      </c>
      <c r="G218" s="92">
        <f t="shared" si="258"/>
        <v>3.8</v>
      </c>
      <c r="H218" s="92"/>
      <c r="I218" s="92"/>
      <c r="J218" s="92">
        <f t="shared" ref="J218:N218" si="265">J216</f>
        <v>450.004888888889</v>
      </c>
      <c r="K218" s="92">
        <f t="shared" si="265"/>
        <v>14.0271111111111</v>
      </c>
      <c r="L218" s="92">
        <f t="shared" si="265"/>
        <v>450.004888888889</v>
      </c>
      <c r="M218" s="92">
        <f t="shared" si="265"/>
        <v>14.0271111111111</v>
      </c>
      <c r="N218" s="92">
        <f t="shared" si="265"/>
        <v>21</v>
      </c>
      <c r="O218" s="75">
        <v>31.54</v>
      </c>
      <c r="R218" s="61">
        <v>10</v>
      </c>
      <c r="U218" s="80" t="s">
        <v>578</v>
      </c>
      <c r="W218" s="80" t="s">
        <v>39</v>
      </c>
      <c r="X218" s="80" t="s">
        <v>40</v>
      </c>
    </row>
    <row r="219" spans="2:24">
      <c r="B219" s="68" t="s">
        <v>579</v>
      </c>
      <c r="C219" s="68" t="s">
        <v>324</v>
      </c>
      <c r="D219" s="68"/>
      <c r="E219" s="68" t="s">
        <v>458</v>
      </c>
      <c r="F219" s="58">
        <v>2021</v>
      </c>
      <c r="G219" s="92">
        <f t="shared" si="258"/>
        <v>1.2</v>
      </c>
      <c r="H219" s="92"/>
      <c r="I219" s="92"/>
      <c r="J219" s="92">
        <f t="shared" ref="J219:N219" si="266">J217</f>
        <v>1168.60961046346</v>
      </c>
      <c r="K219" s="92">
        <f t="shared" si="266"/>
        <v>1.80939333626283</v>
      </c>
      <c r="L219" s="92">
        <f t="shared" si="266"/>
        <v>1168.60961046346</v>
      </c>
      <c r="M219" s="92">
        <f t="shared" si="266"/>
        <v>1.80939333626283</v>
      </c>
      <c r="N219" s="92">
        <f t="shared" si="266"/>
        <v>15</v>
      </c>
      <c r="O219" s="75">
        <v>31.54</v>
      </c>
      <c r="R219" s="61">
        <v>10</v>
      </c>
      <c r="U219" s="80" t="s">
        <v>579</v>
      </c>
      <c r="W219" s="80" t="s">
        <v>39</v>
      </c>
      <c r="X219" s="80" t="s">
        <v>40</v>
      </c>
    </row>
    <row r="220" spans="2:24">
      <c r="B220" s="68" t="s">
        <v>580</v>
      </c>
      <c r="C220" s="68" t="s">
        <v>281</v>
      </c>
      <c r="D220" s="68"/>
      <c r="E220" s="68" t="s">
        <v>462</v>
      </c>
      <c r="F220" s="58">
        <v>2021</v>
      </c>
      <c r="G220" s="92">
        <f t="shared" si="258"/>
        <v>3.8</v>
      </c>
      <c r="H220" s="92"/>
      <c r="I220" s="92"/>
      <c r="J220" s="92">
        <f t="shared" ref="J220:N220" si="267">J218</f>
        <v>450.004888888889</v>
      </c>
      <c r="K220" s="92">
        <f t="shared" si="267"/>
        <v>14.0271111111111</v>
      </c>
      <c r="L220" s="92">
        <f t="shared" si="267"/>
        <v>450.004888888889</v>
      </c>
      <c r="M220" s="92">
        <f t="shared" si="267"/>
        <v>14.0271111111111</v>
      </c>
      <c r="N220" s="92">
        <f t="shared" si="267"/>
        <v>21</v>
      </c>
      <c r="O220" s="75">
        <v>31.54</v>
      </c>
      <c r="R220" s="61">
        <v>10</v>
      </c>
      <c r="U220" s="80" t="s">
        <v>580</v>
      </c>
      <c r="W220" s="80" t="s">
        <v>39</v>
      </c>
      <c r="X220" s="80" t="s">
        <v>40</v>
      </c>
    </row>
    <row r="221" spans="2:24">
      <c r="B221" s="68" t="s">
        <v>581</v>
      </c>
      <c r="C221" s="68" t="s">
        <v>324</v>
      </c>
      <c r="D221" s="68"/>
      <c r="E221" s="68" t="s">
        <v>462</v>
      </c>
      <c r="F221" s="58">
        <v>2021</v>
      </c>
      <c r="G221" s="92">
        <f t="shared" si="258"/>
        <v>1.2</v>
      </c>
      <c r="H221" s="92"/>
      <c r="I221" s="92"/>
      <c r="J221" s="92">
        <f t="shared" ref="J221:N221" si="268">J219</f>
        <v>1168.60961046346</v>
      </c>
      <c r="K221" s="92">
        <f t="shared" si="268"/>
        <v>1.80939333626283</v>
      </c>
      <c r="L221" s="92">
        <f t="shared" si="268"/>
        <v>1168.60961046346</v>
      </c>
      <c r="M221" s="92">
        <f t="shared" si="268"/>
        <v>1.80939333626283</v>
      </c>
      <c r="N221" s="92">
        <f t="shared" si="268"/>
        <v>15</v>
      </c>
      <c r="O221" s="75">
        <v>31.54</v>
      </c>
      <c r="R221" s="61">
        <v>10</v>
      </c>
      <c r="U221" s="80" t="s">
        <v>581</v>
      </c>
      <c r="W221" s="80" t="s">
        <v>39</v>
      </c>
      <c r="X221" s="80" t="s">
        <v>40</v>
      </c>
    </row>
    <row r="222" spans="2:24">
      <c r="B222" s="68" t="s">
        <v>582</v>
      </c>
      <c r="C222" s="68" t="s">
        <v>281</v>
      </c>
      <c r="D222" s="68"/>
      <c r="E222" s="68" t="s">
        <v>467</v>
      </c>
      <c r="F222" s="58">
        <v>2021</v>
      </c>
      <c r="G222" s="92">
        <f t="shared" si="258"/>
        <v>3.8</v>
      </c>
      <c r="H222" s="92"/>
      <c r="I222" s="92"/>
      <c r="J222" s="92">
        <f t="shared" ref="J222:N222" si="269">J220</f>
        <v>450.004888888889</v>
      </c>
      <c r="K222" s="92">
        <f t="shared" si="269"/>
        <v>14.0271111111111</v>
      </c>
      <c r="L222" s="92">
        <f t="shared" si="269"/>
        <v>450.004888888889</v>
      </c>
      <c r="M222" s="92">
        <f t="shared" si="269"/>
        <v>14.0271111111111</v>
      </c>
      <c r="N222" s="92">
        <f t="shared" si="269"/>
        <v>21</v>
      </c>
      <c r="O222" s="75">
        <v>31.54</v>
      </c>
      <c r="R222" s="61">
        <v>10</v>
      </c>
      <c r="U222" s="80" t="s">
        <v>582</v>
      </c>
      <c r="W222" s="80" t="s">
        <v>39</v>
      </c>
      <c r="X222" s="80" t="s">
        <v>40</v>
      </c>
    </row>
    <row r="223" spans="2:24">
      <c r="B223" s="68" t="s">
        <v>583</v>
      </c>
      <c r="C223" s="68" t="s">
        <v>324</v>
      </c>
      <c r="D223" s="68"/>
      <c r="E223" s="68" t="s">
        <v>467</v>
      </c>
      <c r="F223" s="58">
        <v>2021</v>
      </c>
      <c r="G223" s="92">
        <f t="shared" si="258"/>
        <v>1.2</v>
      </c>
      <c r="H223" s="92"/>
      <c r="I223" s="92"/>
      <c r="J223" s="92">
        <f t="shared" ref="J223:N223" si="270">J221</f>
        <v>1168.60961046346</v>
      </c>
      <c r="K223" s="92">
        <f t="shared" si="270"/>
        <v>1.80939333626283</v>
      </c>
      <c r="L223" s="92">
        <f t="shared" si="270"/>
        <v>1168.60961046346</v>
      </c>
      <c r="M223" s="92">
        <f t="shared" si="270"/>
        <v>1.80939333626283</v>
      </c>
      <c r="N223" s="92">
        <f t="shared" si="270"/>
        <v>15</v>
      </c>
      <c r="O223" s="75">
        <v>31.54</v>
      </c>
      <c r="R223" s="61">
        <v>10</v>
      </c>
      <c r="U223" s="80" t="s">
        <v>583</v>
      </c>
      <c r="W223" s="80" t="s">
        <v>39</v>
      </c>
      <c r="X223" s="80" t="s">
        <v>40</v>
      </c>
    </row>
    <row r="224" spans="2:24">
      <c r="B224" s="68" t="s">
        <v>584</v>
      </c>
      <c r="C224" s="68" t="s">
        <v>281</v>
      </c>
      <c r="D224" s="68"/>
      <c r="E224" s="68" t="s">
        <v>471</v>
      </c>
      <c r="F224" s="58">
        <v>2021</v>
      </c>
      <c r="G224" s="92">
        <f t="shared" si="258"/>
        <v>3.8</v>
      </c>
      <c r="H224" s="92"/>
      <c r="I224" s="92"/>
      <c r="J224" s="92">
        <f t="shared" ref="J224:N224" si="271">J222</f>
        <v>450.004888888889</v>
      </c>
      <c r="K224" s="92">
        <f t="shared" si="271"/>
        <v>14.0271111111111</v>
      </c>
      <c r="L224" s="92">
        <f t="shared" si="271"/>
        <v>450.004888888889</v>
      </c>
      <c r="M224" s="92">
        <f t="shared" si="271"/>
        <v>14.0271111111111</v>
      </c>
      <c r="N224" s="92">
        <f t="shared" si="271"/>
        <v>21</v>
      </c>
      <c r="O224" s="75">
        <v>31.54</v>
      </c>
      <c r="R224" s="61">
        <v>10</v>
      </c>
      <c r="U224" s="80" t="s">
        <v>584</v>
      </c>
      <c r="W224" s="80" t="s">
        <v>39</v>
      </c>
      <c r="X224" s="80" t="s">
        <v>40</v>
      </c>
    </row>
    <row r="225" spans="2:24">
      <c r="B225" s="68" t="s">
        <v>585</v>
      </c>
      <c r="C225" s="68" t="s">
        <v>324</v>
      </c>
      <c r="D225" s="68"/>
      <c r="E225" s="68" t="s">
        <v>471</v>
      </c>
      <c r="F225" s="58">
        <v>2021</v>
      </c>
      <c r="G225" s="92">
        <f t="shared" si="258"/>
        <v>1.2</v>
      </c>
      <c r="H225" s="92"/>
      <c r="I225" s="92"/>
      <c r="J225" s="92">
        <f t="shared" ref="J225:N225" si="272">J223</f>
        <v>1168.60961046346</v>
      </c>
      <c r="K225" s="92">
        <f t="shared" si="272"/>
        <v>1.80939333626283</v>
      </c>
      <c r="L225" s="92">
        <f t="shared" si="272"/>
        <v>1168.60961046346</v>
      </c>
      <c r="M225" s="92">
        <f t="shared" si="272"/>
        <v>1.80939333626283</v>
      </c>
      <c r="N225" s="92">
        <f t="shared" si="272"/>
        <v>15</v>
      </c>
      <c r="O225" s="75">
        <v>31.54</v>
      </c>
      <c r="R225" s="61">
        <v>10</v>
      </c>
      <c r="U225" s="80" t="s">
        <v>585</v>
      </c>
      <c r="W225" s="80" t="s">
        <v>39</v>
      </c>
      <c r="X225" s="80" t="s">
        <v>40</v>
      </c>
    </row>
    <row r="226" spans="2:24">
      <c r="B226" s="92" t="str">
        <f>U226</f>
        <v>WST-SpHeat_HET1</v>
      </c>
      <c r="C226" s="93" t="s">
        <v>281</v>
      </c>
      <c r="D226" s="93"/>
      <c r="E226" s="93" t="s">
        <v>497</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398</v>
      </c>
      <c r="V226" s="41"/>
      <c r="W226" s="88" t="s">
        <v>39</v>
      </c>
      <c r="X226" s="88" t="s">
        <v>40</v>
      </c>
    </row>
    <row r="227" spans="2:24">
      <c r="B227" s="92"/>
      <c r="C227" s="94" t="str">
        <f>[2]COMM!$E$19</f>
        <v>RSDAHT</v>
      </c>
      <c r="E227" s="92"/>
      <c r="F227" s="92"/>
      <c r="G227" s="92"/>
      <c r="H227" s="92">
        <f>1/3</f>
        <v>0.333333333333333</v>
      </c>
      <c r="I227" s="92"/>
      <c r="J227" s="92"/>
      <c r="K227" s="92"/>
      <c r="N227" s="95"/>
      <c r="O227" s="95"/>
      <c r="P227" s="95">
        <f>1-P226</f>
        <v>0.67</v>
      </c>
      <c r="S227" s="81"/>
      <c r="T227" s="41"/>
      <c r="U227" s="88" t="s">
        <v>401</v>
      </c>
      <c r="V227" s="41"/>
      <c r="W227" s="88" t="s">
        <v>39</v>
      </c>
      <c r="X227" s="88" t="s">
        <v>40</v>
      </c>
    </row>
    <row r="228" spans="2:24">
      <c r="B228" s="95" t="str">
        <f>U227</f>
        <v>RTS-SpHeat_HET1</v>
      </c>
      <c r="C228" s="96" t="s">
        <v>281</v>
      </c>
      <c r="D228" s="96"/>
      <c r="E228" s="96" t="s">
        <v>504</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404</v>
      </c>
      <c r="V228" s="41"/>
      <c r="W228" s="88" t="s">
        <v>39</v>
      </c>
      <c r="X228" s="88" t="s">
        <v>40</v>
      </c>
    </row>
    <row r="229" spans="2:24">
      <c r="B229" s="95"/>
      <c r="C229" s="95" t="s">
        <v>184</v>
      </c>
      <c r="D229" s="97" t="str">
        <f>[2]COMM!$E$19</f>
        <v>RSDAHT</v>
      </c>
      <c r="E229" s="95"/>
      <c r="F229" s="95"/>
      <c r="G229" s="60"/>
      <c r="H229" s="60">
        <f>1/3</f>
        <v>0.333333333333333</v>
      </c>
      <c r="I229" s="60"/>
      <c r="N229" s="95"/>
      <c r="O229" s="95"/>
      <c r="P229" s="58">
        <f t="shared" ref="P229:P260" si="274">P227</f>
        <v>0.67</v>
      </c>
      <c r="S229" s="81"/>
      <c r="T229" s="41"/>
      <c r="U229" s="88" t="s">
        <v>408</v>
      </c>
      <c r="V229" s="41"/>
      <c r="W229" s="88" t="s">
        <v>39</v>
      </c>
      <c r="X229" s="88" t="s">
        <v>40</v>
      </c>
    </row>
    <row r="230" spans="2:24">
      <c r="B230" s="95" t="str">
        <f>U228</f>
        <v>TWS-SpHeat_HET1</v>
      </c>
      <c r="C230" s="96" t="str">
        <f>C228</f>
        <v>COMELC</v>
      </c>
      <c r="D230" s="96"/>
      <c r="E230" s="96" t="s">
        <v>511</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411</v>
      </c>
      <c r="V230" s="41"/>
      <c r="W230" s="88" t="s">
        <v>39</v>
      </c>
      <c r="X230" s="88" t="s">
        <v>40</v>
      </c>
    </row>
    <row r="231" spans="2:24">
      <c r="B231" s="95"/>
      <c r="C231" s="96" t="str">
        <f t="shared" ref="C231:C262" si="275">C229</f>
        <v>RSDAHT</v>
      </c>
      <c r="D231" s="97" t="str">
        <f>[2]COMM!$E$19</f>
        <v>RSDAHT</v>
      </c>
      <c r="E231" s="95"/>
      <c r="F231" s="95"/>
      <c r="G231" s="60"/>
      <c r="H231" s="60">
        <f>1/3</f>
        <v>0.333333333333333</v>
      </c>
      <c r="I231" s="60"/>
      <c r="N231" s="95"/>
      <c r="O231" s="95"/>
      <c r="P231" s="58">
        <f t="shared" si="274"/>
        <v>0.67</v>
      </c>
      <c r="S231" s="81"/>
      <c r="T231" s="41"/>
      <c r="U231" s="41" t="s">
        <v>414</v>
      </c>
      <c r="V231" s="41"/>
      <c r="W231" s="88" t="s">
        <v>39</v>
      </c>
      <c r="X231" s="88" t="s">
        <v>40</v>
      </c>
    </row>
    <row r="232" spans="2:24">
      <c r="B232" s="95" t="str">
        <f>U229</f>
        <v>ICS-SpHeat_HET1</v>
      </c>
      <c r="C232" s="96" t="str">
        <f t="shared" si="275"/>
        <v>COMELC</v>
      </c>
      <c r="D232" s="96"/>
      <c r="E232" s="96" t="s">
        <v>518</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418</v>
      </c>
      <c r="V232" s="41"/>
      <c r="W232" s="88" t="s">
        <v>39</v>
      </c>
      <c r="X232" s="88" t="s">
        <v>40</v>
      </c>
    </row>
    <row r="233" spans="2:24">
      <c r="B233" s="95"/>
      <c r="C233" s="96" t="str">
        <f t="shared" si="275"/>
        <v>RSDAHT</v>
      </c>
      <c r="D233" s="97" t="str">
        <f>[2]COMM!$E$19</f>
        <v>RSDAHT</v>
      </c>
      <c r="E233" s="95"/>
      <c r="F233" s="95"/>
      <c r="G233" s="60"/>
      <c r="H233" s="60">
        <f>1/3</f>
        <v>0.333333333333333</v>
      </c>
      <c r="I233" s="60"/>
      <c r="N233" s="95"/>
      <c r="O233" s="95"/>
      <c r="P233" s="58">
        <f t="shared" si="274"/>
        <v>0.67</v>
      </c>
      <c r="S233" s="81"/>
      <c r="T233" s="41"/>
      <c r="U233" s="41" t="s">
        <v>421</v>
      </c>
      <c r="V233" s="41"/>
      <c r="W233" s="88" t="s">
        <v>39</v>
      </c>
      <c r="X233" s="88" t="s">
        <v>40</v>
      </c>
    </row>
    <row r="234" spans="2:24">
      <c r="B234" s="95" t="str">
        <f>U230</f>
        <v>OS-SpHeat_HET1</v>
      </c>
      <c r="C234" s="96" t="str">
        <f t="shared" si="275"/>
        <v>COMELC</v>
      </c>
      <c r="D234" s="96"/>
      <c r="E234" s="96" t="s">
        <v>525</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424</v>
      </c>
      <c r="V234" s="41"/>
      <c r="W234" s="88" t="s">
        <v>39</v>
      </c>
      <c r="X234" s="88" t="s">
        <v>40</v>
      </c>
    </row>
    <row r="235" spans="2:24">
      <c r="B235" s="95"/>
      <c r="C235" s="96" t="str">
        <f t="shared" si="275"/>
        <v>RSDAHT</v>
      </c>
      <c r="D235" s="97" t="str">
        <f>[2]COMM!$E$19</f>
        <v>RSDAHT</v>
      </c>
      <c r="E235" s="95"/>
      <c r="F235" s="95"/>
      <c r="G235" s="60"/>
      <c r="H235" s="60">
        <f>1/3</f>
        <v>0.333333333333333</v>
      </c>
      <c r="I235" s="60"/>
      <c r="N235" s="95"/>
      <c r="O235" s="95"/>
      <c r="P235" s="58">
        <f t="shared" si="274"/>
        <v>0.67</v>
      </c>
      <c r="S235" s="81"/>
      <c r="T235" s="41"/>
      <c r="U235" s="41" t="s">
        <v>428</v>
      </c>
      <c r="V235" s="41"/>
      <c r="W235" s="88" t="s">
        <v>39</v>
      </c>
      <c r="X235" s="88" t="s">
        <v>40</v>
      </c>
    </row>
    <row r="236" spans="2:24">
      <c r="B236" s="95" t="str">
        <f>U231</f>
        <v>EDU-SpHeat_HET1</v>
      </c>
      <c r="C236" s="96" t="str">
        <f t="shared" si="275"/>
        <v>COMELC</v>
      </c>
      <c r="D236" s="96"/>
      <c r="E236" s="96" t="s">
        <v>532</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431</v>
      </c>
      <c r="V236" s="41"/>
      <c r="W236" s="88" t="s">
        <v>39</v>
      </c>
      <c r="X236" s="88" t="s">
        <v>40</v>
      </c>
    </row>
    <row r="237" spans="2:24">
      <c r="B237" s="95"/>
      <c r="C237" s="96" t="str">
        <f t="shared" si="275"/>
        <v>RSDAHT</v>
      </c>
      <c r="D237" s="97" t="str">
        <f>[2]COMM!$E$19</f>
        <v>RSDAHT</v>
      </c>
      <c r="E237" s="95"/>
      <c r="F237" s="95"/>
      <c r="G237" s="60"/>
      <c r="H237" s="60">
        <f>1/3</f>
        <v>0.333333333333333</v>
      </c>
      <c r="I237" s="60"/>
      <c r="N237" s="95"/>
      <c r="O237" s="95"/>
      <c r="P237" s="58">
        <f t="shared" si="274"/>
        <v>0.67</v>
      </c>
      <c r="S237" s="81"/>
      <c r="T237" s="41"/>
      <c r="U237" s="88" t="s">
        <v>435</v>
      </c>
      <c r="V237" s="41"/>
      <c r="W237" s="88" t="s">
        <v>39</v>
      </c>
      <c r="X237" s="88" t="s">
        <v>40</v>
      </c>
    </row>
    <row r="238" spans="2:24">
      <c r="B238" s="95" t="str">
        <f>U232</f>
        <v>HSS-SpHeat_HET1</v>
      </c>
      <c r="C238" s="96" t="str">
        <f t="shared" si="275"/>
        <v>COMELC</v>
      </c>
      <c r="D238" s="96"/>
      <c r="E238" s="96" t="s">
        <v>539</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440</v>
      </c>
      <c r="V238" s="41"/>
      <c r="W238" s="88" t="s">
        <v>39</v>
      </c>
      <c r="X238" s="88" t="s">
        <v>40</v>
      </c>
    </row>
    <row r="239" spans="2:24">
      <c r="B239" s="95"/>
      <c r="C239" s="96" t="str">
        <f t="shared" si="275"/>
        <v>RSDAHT</v>
      </c>
      <c r="D239" s="97" t="str">
        <f>[2]COMM!$E$19</f>
        <v>RSDAHT</v>
      </c>
      <c r="E239" s="95"/>
      <c r="F239" s="95"/>
      <c r="G239" s="60"/>
      <c r="H239" s="60">
        <f>1/3</f>
        <v>0.333333333333333</v>
      </c>
      <c r="I239" s="60"/>
      <c r="N239" s="95"/>
      <c r="O239" s="95"/>
      <c r="P239" s="58">
        <f t="shared" si="274"/>
        <v>0.67</v>
      </c>
      <c r="S239" s="81"/>
      <c r="T239" s="41"/>
      <c r="U239" s="88" t="s">
        <v>444</v>
      </c>
      <c r="V239" s="41"/>
      <c r="W239" s="88" t="s">
        <v>39</v>
      </c>
      <c r="X239" s="88" t="s">
        <v>40</v>
      </c>
    </row>
    <row r="240" spans="2:24">
      <c r="B240" s="95" t="str">
        <f>U233</f>
        <v>ART-SpHeat_HET1</v>
      </c>
      <c r="C240" s="96" t="str">
        <f t="shared" si="275"/>
        <v>COMELC</v>
      </c>
      <c r="D240" s="96"/>
      <c r="E240" s="96" t="s">
        <v>546</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448</v>
      </c>
      <c r="V240" s="41"/>
      <c r="W240" s="88" t="s">
        <v>39</v>
      </c>
      <c r="X240" s="88" t="s">
        <v>40</v>
      </c>
    </row>
    <row r="241" spans="2:24">
      <c r="B241" s="95"/>
      <c r="C241" s="96" t="str">
        <f t="shared" si="275"/>
        <v>RSDAHT</v>
      </c>
      <c r="D241" s="97" t="str">
        <f>[2]COMM!$E$19</f>
        <v>RSDAHT</v>
      </c>
      <c r="E241" s="95"/>
      <c r="F241" s="95"/>
      <c r="G241" s="60"/>
      <c r="H241" s="60">
        <f>1/3</f>
        <v>0.333333333333333</v>
      </c>
      <c r="I241" s="60"/>
      <c r="N241" s="95"/>
      <c r="O241" s="95"/>
      <c r="P241" s="58">
        <f t="shared" si="274"/>
        <v>0.67</v>
      </c>
      <c r="S241" s="81"/>
      <c r="T241" s="41"/>
      <c r="U241" s="41" t="s">
        <v>453</v>
      </c>
      <c r="V241" s="41"/>
      <c r="W241" s="88" t="s">
        <v>39</v>
      </c>
      <c r="X241" s="88" t="s">
        <v>40</v>
      </c>
    </row>
    <row r="242" spans="2:24">
      <c r="B242" s="95" t="str">
        <f>U234</f>
        <v>AFM-SpHeat_HET1</v>
      </c>
      <c r="C242" s="96" t="str">
        <f t="shared" si="275"/>
        <v>COMELC</v>
      </c>
      <c r="D242" s="96"/>
      <c r="E242" s="96" t="s">
        <v>553</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457</v>
      </c>
      <c r="V242" s="41"/>
      <c r="W242" s="88" t="s">
        <v>39</v>
      </c>
      <c r="X242" s="88" t="s">
        <v>40</v>
      </c>
    </row>
    <row r="243" spans="2:24">
      <c r="B243" s="95"/>
      <c r="C243" s="96" t="str">
        <f t="shared" si="275"/>
        <v>RSDAHT</v>
      </c>
      <c r="D243" s="97" t="str">
        <f>[2]COMM!$E$19</f>
        <v>RSDAHT</v>
      </c>
      <c r="E243" s="95"/>
      <c r="F243" s="95"/>
      <c r="G243" s="60"/>
      <c r="H243" s="60">
        <f>1/3</f>
        <v>0.333333333333333</v>
      </c>
      <c r="I243" s="60"/>
      <c r="N243" s="95"/>
      <c r="O243" s="95"/>
      <c r="P243" s="58">
        <f t="shared" si="274"/>
        <v>0.67</v>
      </c>
      <c r="S243" s="81"/>
      <c r="T243" s="41"/>
      <c r="U243" s="41" t="s">
        <v>461</v>
      </c>
      <c r="V243" s="41"/>
      <c r="W243" s="88" t="s">
        <v>39</v>
      </c>
      <c r="X243" s="88" t="s">
        <v>40</v>
      </c>
    </row>
    <row r="244" spans="2:24">
      <c r="B244" s="95" t="str">
        <f>U235</f>
        <v>OTH-SpHeat_HET1</v>
      </c>
      <c r="C244" s="96" t="str">
        <f t="shared" si="275"/>
        <v>COMELC</v>
      </c>
      <c r="D244" s="96"/>
      <c r="E244" s="96" t="s">
        <v>560</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466</v>
      </c>
      <c r="V244" s="41"/>
      <c r="W244" s="88" t="s">
        <v>39</v>
      </c>
      <c r="X244" s="88" t="s">
        <v>40</v>
      </c>
    </row>
    <row r="245" spans="2:24">
      <c r="B245" s="95"/>
      <c r="C245" s="96" t="str">
        <f t="shared" si="275"/>
        <v>RSDAHT</v>
      </c>
      <c r="D245" s="97" t="str">
        <f>[2]COMM!$E$19</f>
        <v>RSDAHT</v>
      </c>
      <c r="E245" s="95"/>
      <c r="F245" s="95"/>
      <c r="G245" s="60"/>
      <c r="H245" s="60">
        <f>1/3</f>
        <v>0.333333333333333</v>
      </c>
      <c r="I245" s="60"/>
      <c r="N245" s="95"/>
      <c r="O245" s="95"/>
      <c r="P245" s="58">
        <f t="shared" si="274"/>
        <v>0.67</v>
      </c>
      <c r="S245" s="81"/>
      <c r="T245" s="41"/>
      <c r="U245" s="41" t="s">
        <v>470</v>
      </c>
      <c r="V245" s="41"/>
      <c r="W245" s="88" t="s">
        <v>39</v>
      </c>
      <c r="X245" s="88" t="s">
        <v>40</v>
      </c>
    </row>
    <row r="246" s="41" customFormat="1" spans="2:25">
      <c r="B246" s="95" t="str">
        <f>U246</f>
        <v>WST-WaterHeat_HET1</v>
      </c>
      <c r="C246" s="96" t="str">
        <f t="shared" si="275"/>
        <v>COMELC</v>
      </c>
      <c r="D246" s="96"/>
      <c r="E246" s="96" t="s">
        <v>397</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586</v>
      </c>
      <c r="W246" s="88" t="s">
        <v>39</v>
      </c>
      <c r="X246" s="88" t="s">
        <v>40</v>
      </c>
      <c r="Y246"/>
    </row>
    <row r="247" s="41" customFormat="1" spans="2:25">
      <c r="B247" s="95"/>
      <c r="C247" s="96" t="str">
        <f t="shared" si="275"/>
        <v>RSDAHT</v>
      </c>
      <c r="D247" s="97" t="str">
        <f>[2]COMM!$E$19</f>
        <v>RSDAHT</v>
      </c>
      <c r="E247" s="95"/>
      <c r="F247" s="95"/>
      <c r="G247" s="60"/>
      <c r="H247" s="92">
        <f>1/3</f>
        <v>0.333333333333333</v>
      </c>
      <c r="I247" s="60"/>
      <c r="J247" s="60"/>
      <c r="K247" s="60"/>
      <c r="L247" s="60"/>
      <c r="M247" s="60"/>
      <c r="N247" s="95"/>
      <c r="O247" s="95"/>
      <c r="P247" s="58">
        <f t="shared" si="274"/>
        <v>0.67</v>
      </c>
      <c r="R247" s="81"/>
      <c r="S247" s="81"/>
      <c r="U247" s="88" t="s">
        <v>587</v>
      </c>
      <c r="W247" s="88" t="s">
        <v>39</v>
      </c>
      <c r="X247" s="88" t="s">
        <v>40</v>
      </c>
      <c r="Y247"/>
    </row>
    <row r="248" spans="2:24">
      <c r="B248" s="95" t="str">
        <f>U247</f>
        <v>RTS-WaterHeat_HET1</v>
      </c>
      <c r="C248" s="96" t="str">
        <f t="shared" si="275"/>
        <v>COMELC</v>
      </c>
      <c r="D248" s="96"/>
      <c r="E248" s="96" t="s">
        <v>407</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588</v>
      </c>
      <c r="V248" s="41"/>
      <c r="W248" s="88" t="s">
        <v>39</v>
      </c>
      <c r="X248" s="88" t="s">
        <v>40</v>
      </c>
    </row>
    <row r="249" spans="2:24">
      <c r="B249" s="95"/>
      <c r="C249" s="96" t="str">
        <f t="shared" si="275"/>
        <v>RSDAHT</v>
      </c>
      <c r="D249" s="97" t="str">
        <f>[2]COMM!$E$19</f>
        <v>RSDAHT</v>
      </c>
      <c r="E249" s="95"/>
      <c r="F249" s="95"/>
      <c r="G249" s="60"/>
      <c r="H249" s="92">
        <f>1/3</f>
        <v>0.333333333333333</v>
      </c>
      <c r="I249" s="60"/>
      <c r="N249" s="95"/>
      <c r="O249" s="95"/>
      <c r="P249" s="58">
        <f t="shared" si="274"/>
        <v>0.67</v>
      </c>
      <c r="Q249" s="41"/>
      <c r="R249" s="81"/>
      <c r="S249" s="81"/>
      <c r="T249" s="41"/>
      <c r="U249" s="88" t="s">
        <v>589</v>
      </c>
      <c r="V249" s="41"/>
      <c r="W249" s="88" t="s">
        <v>39</v>
      </c>
      <c r="X249" s="88" t="s">
        <v>40</v>
      </c>
    </row>
    <row r="250" spans="2:24">
      <c r="B250" s="95" t="str">
        <f>U248</f>
        <v>TWS-WaterHeat_HET1</v>
      </c>
      <c r="C250" s="96" t="str">
        <f t="shared" si="275"/>
        <v>COMELC</v>
      </c>
      <c r="D250" s="96"/>
      <c r="E250" s="96" t="s">
        <v>417</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590</v>
      </c>
      <c r="V250" s="41"/>
      <c r="W250" s="88" t="s">
        <v>39</v>
      </c>
      <c r="X250" s="88" t="s">
        <v>40</v>
      </c>
    </row>
    <row r="251" spans="2:24">
      <c r="B251" s="95"/>
      <c r="C251" s="96" t="str">
        <f t="shared" si="275"/>
        <v>RSDAHT</v>
      </c>
      <c r="D251" s="97" t="str">
        <f>[2]COMM!$E$19</f>
        <v>RSDAHT</v>
      </c>
      <c r="E251" s="95"/>
      <c r="F251" s="95"/>
      <c r="G251" s="60"/>
      <c r="H251" s="92">
        <f>1/3</f>
        <v>0.333333333333333</v>
      </c>
      <c r="I251" s="60"/>
      <c r="N251" s="95"/>
      <c r="O251" s="95"/>
      <c r="P251" s="58">
        <f t="shared" si="274"/>
        <v>0.67</v>
      </c>
      <c r="Q251" s="41"/>
      <c r="R251" s="81"/>
      <c r="S251" s="81"/>
      <c r="T251" s="41"/>
      <c r="U251" s="41" t="s">
        <v>591</v>
      </c>
      <c r="V251" s="41"/>
      <c r="W251" s="88" t="s">
        <v>39</v>
      </c>
      <c r="X251" s="88" t="s">
        <v>40</v>
      </c>
    </row>
    <row r="252" spans="2:24">
      <c r="B252" s="95" t="str">
        <f>U249</f>
        <v>ICS-WaterHeat_HET1</v>
      </c>
      <c r="C252" s="96" t="str">
        <f t="shared" si="275"/>
        <v>COMELC</v>
      </c>
      <c r="D252" s="96"/>
      <c r="E252" s="96" t="s">
        <v>427</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592</v>
      </c>
      <c r="V252" s="41"/>
      <c r="W252" s="88" t="s">
        <v>39</v>
      </c>
      <c r="X252" s="88" t="s">
        <v>40</v>
      </c>
    </row>
    <row r="253" spans="2:24">
      <c r="B253" s="95"/>
      <c r="C253" s="96" t="str">
        <f t="shared" si="275"/>
        <v>RSDAHT</v>
      </c>
      <c r="D253" s="97" t="str">
        <f>[2]COMM!$E$19</f>
        <v>RSDAHT</v>
      </c>
      <c r="E253" s="95"/>
      <c r="F253" s="95"/>
      <c r="G253" s="60"/>
      <c r="H253" s="92">
        <f>1/3</f>
        <v>0.333333333333333</v>
      </c>
      <c r="I253" s="60"/>
      <c r="N253" s="95"/>
      <c r="O253" s="95"/>
      <c r="P253" s="58">
        <f t="shared" si="274"/>
        <v>0.67</v>
      </c>
      <c r="Q253" s="41"/>
      <c r="R253" s="81"/>
      <c r="S253" s="81"/>
      <c r="T253" s="41"/>
      <c r="U253" s="41" t="s">
        <v>593</v>
      </c>
      <c r="V253" s="41"/>
      <c r="W253" s="88" t="s">
        <v>39</v>
      </c>
      <c r="X253" s="88" t="s">
        <v>40</v>
      </c>
    </row>
    <row r="254" spans="2:24">
      <c r="B254" s="95" t="str">
        <f>U250</f>
        <v>OS-WaterHeat_HET1</v>
      </c>
      <c r="C254" s="96" t="str">
        <f t="shared" si="275"/>
        <v>COMELC</v>
      </c>
      <c r="D254" s="96"/>
      <c r="E254" s="96" t="s">
        <v>439</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594</v>
      </c>
      <c r="V254" s="41"/>
      <c r="W254" s="88" t="s">
        <v>39</v>
      </c>
      <c r="X254" s="88" t="s">
        <v>40</v>
      </c>
    </row>
    <row r="255" spans="2:24">
      <c r="B255" s="95"/>
      <c r="C255" s="96" t="str">
        <f t="shared" si="275"/>
        <v>RSDAHT</v>
      </c>
      <c r="D255" s="97" t="str">
        <f>[2]COMM!$E$19</f>
        <v>RSDAHT</v>
      </c>
      <c r="E255" s="95"/>
      <c r="F255" s="95"/>
      <c r="G255" s="60"/>
      <c r="H255" s="92">
        <f>1/3</f>
        <v>0.333333333333333</v>
      </c>
      <c r="I255" s="60"/>
      <c r="N255" s="95"/>
      <c r="O255" s="95"/>
      <c r="P255" s="58">
        <f t="shared" si="274"/>
        <v>0.67</v>
      </c>
      <c r="Q255" s="41"/>
      <c r="R255" s="81"/>
      <c r="S255" s="81"/>
      <c r="T255" s="41"/>
      <c r="U255" s="41" t="s">
        <v>595</v>
      </c>
      <c r="V255" s="41"/>
      <c r="W255" s="88" t="s">
        <v>39</v>
      </c>
      <c r="X255" s="88" t="s">
        <v>40</v>
      </c>
    </row>
    <row r="256" spans="2:19">
      <c r="B256" s="95" t="str">
        <f>U251</f>
        <v>EDU-WaterHeat_HET1</v>
      </c>
      <c r="C256" s="96" t="str">
        <f t="shared" si="275"/>
        <v>COMELC</v>
      </c>
      <c r="D256" s="96"/>
      <c r="E256" s="96" t="s">
        <v>452</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19">
      <c r="B257" s="95"/>
      <c r="C257" s="96" t="str">
        <f t="shared" si="275"/>
        <v>RSDAHT</v>
      </c>
      <c r="D257" s="97" t="str">
        <f>[2]COMM!$E$19</f>
        <v>RSDAHT</v>
      </c>
      <c r="E257" s="95"/>
      <c r="F257" s="95"/>
      <c r="G257" s="60"/>
      <c r="H257" s="92">
        <f>1/3</f>
        <v>0.333333333333333</v>
      </c>
      <c r="I257" s="60"/>
      <c r="N257" s="95"/>
      <c r="O257" s="95"/>
      <c r="P257" s="58">
        <f t="shared" si="274"/>
        <v>0.67</v>
      </c>
      <c r="Q257" s="41"/>
      <c r="R257" s="81"/>
      <c r="S257" s="24"/>
    </row>
    <row r="258" spans="2:19">
      <c r="B258" s="95" t="str">
        <f>U252</f>
        <v>HSS-WaterHeat_HET1</v>
      </c>
      <c r="C258" s="96" t="str">
        <f t="shared" si="275"/>
        <v>COMELC</v>
      </c>
      <c r="D258" s="96"/>
      <c r="E258" s="96" t="s">
        <v>465</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19">
      <c r="B259" s="95"/>
      <c r="C259" s="96" t="str">
        <f t="shared" si="275"/>
        <v>RSDAHT</v>
      </c>
      <c r="D259" s="97" t="str">
        <f>[2]COMM!$E$19</f>
        <v>RSDAHT</v>
      </c>
      <c r="E259" s="95"/>
      <c r="F259" s="95"/>
      <c r="G259" s="60"/>
      <c r="H259" s="92">
        <f>1/3</f>
        <v>0.333333333333333</v>
      </c>
      <c r="I259" s="60"/>
      <c r="N259" s="95"/>
      <c r="O259" s="95"/>
      <c r="P259" s="58">
        <f t="shared" si="274"/>
        <v>0.67</v>
      </c>
      <c r="Q259" s="41"/>
      <c r="R259" s="81"/>
      <c r="S259" s="24"/>
    </row>
    <row r="260" spans="2:19">
      <c r="B260" s="95" t="str">
        <f>U253</f>
        <v>ART-WaterHeat_HET1</v>
      </c>
      <c r="C260" s="96" t="str">
        <f t="shared" si="275"/>
        <v>COMELC</v>
      </c>
      <c r="D260" s="96"/>
      <c r="E260" s="96" t="s">
        <v>476</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19">
      <c r="B261" s="95"/>
      <c r="C261" s="96" t="str">
        <f t="shared" si="275"/>
        <v>RSDAHT</v>
      </c>
      <c r="D261" s="97" t="str">
        <f>[2]COMM!$E$19</f>
        <v>RSDAHT</v>
      </c>
      <c r="E261" s="95"/>
      <c r="F261" s="95"/>
      <c r="G261" s="60"/>
      <c r="H261" s="92">
        <f>1/3</f>
        <v>0.333333333333333</v>
      </c>
      <c r="I261" s="60"/>
      <c r="N261" s="95"/>
      <c r="O261" s="95"/>
      <c r="P261" s="58">
        <f t="shared" ref="P261:P285" si="276">P259</f>
        <v>0.67</v>
      </c>
      <c r="Q261" s="41"/>
      <c r="R261" s="81"/>
      <c r="S261" s="24"/>
    </row>
    <row r="262" spans="2:19">
      <c r="B262" s="95" t="str">
        <f>U254</f>
        <v>AFM-WaterHeat_HET1</v>
      </c>
      <c r="C262" s="96" t="str">
        <f t="shared" si="275"/>
        <v>COMELC</v>
      </c>
      <c r="D262" s="96"/>
      <c r="E262" s="96" t="s">
        <v>483</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19">
      <c r="B263" s="95"/>
      <c r="C263" s="96" t="str">
        <f t="shared" ref="C263:C285" si="277">C261</f>
        <v>RSDAHT</v>
      </c>
      <c r="D263" s="97" t="str">
        <f>[2]COMM!$E$19</f>
        <v>RSDAHT</v>
      </c>
      <c r="E263" s="95"/>
      <c r="F263" s="95"/>
      <c r="G263" s="60"/>
      <c r="H263" s="92">
        <f>1/3</f>
        <v>0.333333333333333</v>
      </c>
      <c r="I263" s="60"/>
      <c r="N263" s="95"/>
      <c r="O263" s="95"/>
      <c r="P263" s="58">
        <f t="shared" si="276"/>
        <v>0.67</v>
      </c>
      <c r="Q263" s="41"/>
      <c r="R263" s="81"/>
      <c r="S263" s="24"/>
    </row>
    <row r="264" spans="2:19">
      <c r="B264" s="95" t="str">
        <f>U255</f>
        <v>OTH-WaterHeat_HET1</v>
      </c>
      <c r="C264" s="96" t="str">
        <f t="shared" si="277"/>
        <v>COMELC</v>
      </c>
      <c r="D264" s="96"/>
      <c r="E264" s="96" t="s">
        <v>490</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19">
      <c r="B265" s="95"/>
      <c r="C265" s="96" t="str">
        <f t="shared" si="277"/>
        <v>RSDAHT</v>
      </c>
      <c r="D265" s="97" t="str">
        <f>[2]COMM!$E$19</f>
        <v>RSDAHT</v>
      </c>
      <c r="E265" s="95"/>
      <c r="F265" s="95"/>
      <c r="G265" s="60"/>
      <c r="H265" s="92">
        <f>1/3</f>
        <v>0.333333333333333</v>
      </c>
      <c r="I265" s="60"/>
      <c r="N265" s="95"/>
      <c r="O265" s="95"/>
      <c r="P265" s="58">
        <f t="shared" si="276"/>
        <v>0.67</v>
      </c>
      <c r="Q265" s="41"/>
      <c r="R265" s="81"/>
      <c r="S265" s="24"/>
    </row>
    <row r="266" spans="2:21">
      <c r="B266" s="95" t="str">
        <f>U266</f>
        <v>WST-SpCool_HET1</v>
      </c>
      <c r="C266" s="96" t="str">
        <f t="shared" si="277"/>
        <v>COMELC</v>
      </c>
      <c r="D266" s="96"/>
      <c r="E266" s="96" t="s">
        <v>432</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[2]COMM!$E$19</f>
        <v>RSDAHT</v>
      </c>
      <c r="E267" s="95"/>
      <c r="F267" s="95"/>
      <c r="G267" s="60"/>
      <c r="H267" s="60">
        <f>1/3</f>
        <v>0.333333333333333</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436</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[2]COMM!$E$19</f>
        <v>RSDAHT</v>
      </c>
      <c r="E269" s="95"/>
      <c r="F269" s="95"/>
      <c r="G269" s="60"/>
      <c r="H269" s="60">
        <f>1/3</f>
        <v>0.333333333333333</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441</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[2]COMM!$E$19</f>
        <v>RSDAHT</v>
      </c>
      <c r="E271" s="95"/>
      <c r="F271" s="95"/>
      <c r="G271" s="60"/>
      <c r="H271" s="60">
        <f>1/3</f>
        <v>0.333333333333333</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445</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[2]COMM!$E$19</f>
        <v>RSDAHT</v>
      </c>
      <c r="E273" s="95"/>
      <c r="F273" s="95"/>
      <c r="G273" s="60"/>
      <c r="H273" s="60">
        <f>1/3</f>
        <v>0.333333333333333</v>
      </c>
      <c r="I273" s="60"/>
      <c r="N273" s="95"/>
      <c r="O273" s="95"/>
      <c r="P273" s="58">
        <f t="shared" si="276"/>
        <v>0.67</v>
      </c>
      <c r="S273" s="24"/>
      <c r="U273" s="101" t="str">
        <f t="shared" si="279"/>
        <v>ART-SpCool_HET1</v>
      </c>
    </row>
    <row r="274" spans="2:21">
      <c r="B274" s="95" t="str">
        <f>U270</f>
        <v>OS-SpCool_HET1</v>
      </c>
      <c r="C274" s="96" t="str">
        <f t="shared" si="277"/>
        <v>COMELC</v>
      </c>
      <c r="D274" s="96"/>
      <c r="E274" s="96" t="s">
        <v>449</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[2]COMM!$E$19</f>
        <v>RSDAHT</v>
      </c>
      <c r="E275" s="95"/>
      <c r="F275" s="95"/>
      <c r="G275" s="60"/>
      <c r="H275" s="60">
        <f>1/3</f>
        <v>0.333333333333333</v>
      </c>
      <c r="I275" s="60"/>
      <c r="N275" s="95"/>
      <c r="O275" s="95"/>
      <c r="P275" s="58">
        <f t="shared" si="276"/>
        <v>0.67</v>
      </c>
      <c r="S275" s="24"/>
      <c r="U275" s="101" t="str">
        <f t="shared" si="279"/>
        <v>OTH-SpCool_HET1</v>
      </c>
    </row>
    <row r="276" spans="2:21">
      <c r="B276" s="95" t="str">
        <f>U271</f>
        <v>EDU-SpCool_HET1</v>
      </c>
      <c r="C276" s="96" t="str">
        <f t="shared" si="277"/>
        <v>COMELC</v>
      </c>
      <c r="D276" s="96"/>
      <c r="E276" s="96" t="s">
        <v>454</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[2]COMM!$E$19</f>
        <v>RSDAHT</v>
      </c>
      <c r="E277" s="95"/>
      <c r="F277" s="95"/>
      <c r="G277" s="60"/>
      <c r="H277" s="60">
        <f>1/3</f>
        <v>0.333333333333333</v>
      </c>
      <c r="I277" s="60"/>
      <c r="N277" s="95"/>
      <c r="O277" s="95"/>
      <c r="P277" s="58">
        <f t="shared" si="276"/>
        <v>0.67</v>
      </c>
      <c r="S277" s="24"/>
      <c r="U277" s="101"/>
    </row>
    <row r="278" spans="2:19">
      <c r="B278" s="95" t="str">
        <f>U272</f>
        <v>HSS-SpCool_HET1</v>
      </c>
      <c r="C278" s="96" t="str">
        <f t="shared" si="277"/>
        <v>COMELC</v>
      </c>
      <c r="D278" s="96"/>
      <c r="E278" s="96" t="s">
        <v>458</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19">
      <c r="B279" s="95"/>
      <c r="C279" s="96" t="str">
        <f t="shared" si="277"/>
        <v>RSDAHT</v>
      </c>
      <c r="D279" s="97" t="str">
        <f>[2]COMM!$E$19</f>
        <v>RSDAHT</v>
      </c>
      <c r="E279" s="95"/>
      <c r="F279" s="95"/>
      <c r="G279" s="60"/>
      <c r="H279" s="60">
        <f>1/3</f>
        <v>0.333333333333333</v>
      </c>
      <c r="I279" s="60"/>
      <c r="N279" s="95"/>
      <c r="O279" s="95"/>
      <c r="P279" s="58">
        <f t="shared" si="276"/>
        <v>0.67</v>
      </c>
      <c r="S279" s="24"/>
    </row>
    <row r="280" spans="2:19">
      <c r="B280" s="95" t="str">
        <f>U273</f>
        <v>ART-SpCool_HET1</v>
      </c>
      <c r="C280" s="96" t="str">
        <f t="shared" si="277"/>
        <v>COMELC</v>
      </c>
      <c r="D280" s="96"/>
      <c r="E280" s="96" t="s">
        <v>462</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19">
      <c r="B281" s="95"/>
      <c r="C281" s="96" t="str">
        <f t="shared" si="277"/>
        <v>RSDAHT</v>
      </c>
      <c r="D281" s="97" t="str">
        <f>[2]COMM!$E$19</f>
        <v>RSDAHT</v>
      </c>
      <c r="E281" s="95"/>
      <c r="F281" s="95"/>
      <c r="G281" s="60"/>
      <c r="H281" s="60">
        <f>1/3</f>
        <v>0.333333333333333</v>
      </c>
      <c r="I281" s="60"/>
      <c r="N281" s="95"/>
      <c r="O281" s="95"/>
      <c r="P281" s="58">
        <f t="shared" si="276"/>
        <v>0.67</v>
      </c>
      <c r="S281" s="24"/>
    </row>
    <row r="282" spans="2:19">
      <c r="B282" s="95" t="str">
        <f>U274</f>
        <v>AFM-SpCool_HET1</v>
      </c>
      <c r="C282" s="96" t="str">
        <f t="shared" si="277"/>
        <v>COMELC</v>
      </c>
      <c r="D282" s="96"/>
      <c r="E282" s="96" t="s">
        <v>467</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19">
      <c r="B283" s="95"/>
      <c r="C283" s="96" t="str">
        <f t="shared" si="277"/>
        <v>RSDAHT</v>
      </c>
      <c r="D283" s="97" t="str">
        <f>[2]COMM!$E$19</f>
        <v>RSDAHT</v>
      </c>
      <c r="E283" s="95"/>
      <c r="F283" s="95"/>
      <c r="G283" s="60"/>
      <c r="H283" s="60">
        <f>1/3</f>
        <v>0.333333333333333</v>
      </c>
      <c r="I283" s="60"/>
      <c r="N283" s="95"/>
      <c r="O283" s="95"/>
      <c r="P283" s="58">
        <f t="shared" si="276"/>
        <v>0.67</v>
      </c>
      <c r="S283" s="24"/>
    </row>
    <row r="284" spans="2:19">
      <c r="B284" s="95" t="str">
        <f>U275</f>
        <v>OTH-SpCool_HET1</v>
      </c>
      <c r="C284" s="96" t="str">
        <f t="shared" si="277"/>
        <v>COMELC</v>
      </c>
      <c r="D284" s="96"/>
      <c r="E284" s="96" t="s">
        <v>471</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19">
      <c r="B285" s="95"/>
      <c r="C285" s="96" t="str">
        <f t="shared" si="277"/>
        <v>RSDAHT</v>
      </c>
      <c r="D285" s="97" t="str">
        <f>[2]COMM!$E$19</f>
        <v>RSDAHT</v>
      </c>
      <c r="E285" s="95"/>
      <c r="F285" s="95"/>
      <c r="G285" s="60"/>
      <c r="H285" s="60">
        <f>1/3</f>
        <v>0.333333333333333</v>
      </c>
      <c r="I285" s="60"/>
      <c r="N285" s="95"/>
      <c r="O285" s="95"/>
      <c r="P285" s="58">
        <f t="shared" si="276"/>
        <v>0.67</v>
      </c>
      <c r="S285" s="24"/>
    </row>
    <row r="286" spans="7:9">
      <c r="G286" s="60"/>
      <c r="H286" s="60"/>
      <c r="I286" s="60"/>
    </row>
    <row r="287" spans="7:9">
      <c r="G287" s="60"/>
      <c r="H287" s="60"/>
      <c r="I287" s="60"/>
    </row>
    <row r="288" spans="7:9">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47" zoomScaleNormal="47" workbookViewId="0">
      <selection activeCell="M8" sqref="M8"/>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596</v>
      </c>
      <c r="J6" s="45" t="s">
        <v>19</v>
      </c>
      <c r="K6" s="15" t="s">
        <v>20</v>
      </c>
      <c r="L6" s="15" t="s">
        <v>21</v>
      </c>
      <c r="M6" s="15" t="s">
        <v>22</v>
      </c>
      <c r="N6" s="15" t="s">
        <v>23</v>
      </c>
      <c r="O6" s="15" t="s">
        <v>24</v>
      </c>
      <c r="P6" s="15" t="s">
        <v>25</v>
      </c>
      <c r="Q6" s="49" t="s">
        <v>26</v>
      </c>
      <c r="R6" s="27" t="s">
        <v>27</v>
      </c>
      <c r="S6" s="50" t="s">
        <v>597</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ht="175" spans="3:38">
      <c r="C7" t="str">
        <f>W7</f>
        <v>R_ES-SH-SD_GAS_hydrogen_HE1</v>
      </c>
      <c r="D7" t="s">
        <v>44</v>
      </c>
      <c r="F7" t="s">
        <v>37</v>
      </c>
      <c r="G7" s="41">
        <f>RSD!G11</f>
        <v>2021</v>
      </c>
      <c r="H7" s="41">
        <f>RSD!H11</f>
        <v>0.9</v>
      </c>
      <c r="I7" s="41"/>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598</v>
      </c>
      <c r="X7" s="53"/>
      <c r="Y7" s="53" t="s">
        <v>39</v>
      </c>
      <c r="Z7" s="53" t="s">
        <v>40</v>
      </c>
      <c r="AA7" s="53"/>
      <c r="AB7" s="53"/>
      <c r="AC7" s="53"/>
      <c r="AG7" t="str">
        <f>C7</f>
        <v>R_ES-SH-SD_GAS_hydrogen_HE1</v>
      </c>
      <c r="AK7">
        <f>AVERAGE(RSD!J155:J157)</f>
        <v>0.27644125731911</v>
      </c>
      <c r="AL7" s="57" t="s">
        <v>182</v>
      </c>
    </row>
    <row r="8" ht="175" spans="4:38">
      <c r="D8" s="46" t="s">
        <v>599</v>
      </c>
      <c r="S8" s="54">
        <v>0.2</v>
      </c>
      <c r="T8">
        <v>0</v>
      </c>
      <c r="W8" t="s">
        <v>18</v>
      </c>
      <c r="AA8" s="53"/>
      <c r="AG8" t="str">
        <f>C9</f>
        <v>R_ES-SH-SA_GAS_hydrogen_HE1</v>
      </c>
      <c r="AK8">
        <f>RSD!J174</f>
        <v>0.148009559556309</v>
      </c>
      <c r="AL8" s="57" t="s">
        <v>182</v>
      </c>
    </row>
    <row r="9" ht="175" spans="3:38">
      <c r="C9" t="str">
        <f>W9</f>
        <v>R_ES-SH-SA_GAS_hydrogen_HE1</v>
      </c>
      <c r="D9" t="s">
        <v>44</v>
      </c>
      <c r="F9" t="s">
        <v>77</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600</v>
      </c>
      <c r="Y9" s="53" t="s">
        <v>39</v>
      </c>
      <c r="Z9" s="53" t="s">
        <v>40</v>
      </c>
      <c r="AA9" s="53"/>
      <c r="AB9" s="53"/>
      <c r="AC9" s="53"/>
      <c r="AG9" t="str">
        <f>C11</f>
        <v>R_ES-SH-AP_GAS_hydrogen_HE1</v>
      </c>
      <c r="AK9">
        <f>RSD!J193</f>
        <v>0.18900772326985</v>
      </c>
      <c r="AL9" s="57" t="s">
        <v>182</v>
      </c>
    </row>
    <row r="10" ht="175" spans="4:38">
      <c r="D10" t="str">
        <f>D8</f>
        <v>RSDSYNH2CT</v>
      </c>
      <c r="S10">
        <f t="shared" ref="S10:S14" si="3">S8</f>
        <v>0.2</v>
      </c>
      <c r="T10">
        <v>0</v>
      </c>
      <c r="W10" t="s">
        <v>18</v>
      </c>
      <c r="AA10" s="53"/>
      <c r="AG10" t="str">
        <f>C13</f>
        <v>R_ES-SH-MOB_GAS_hydrogen_HE1</v>
      </c>
      <c r="AK10">
        <f>RSD!J212</f>
        <v>0.542665635221575</v>
      </c>
      <c r="AL10" s="57" t="s">
        <v>182</v>
      </c>
    </row>
    <row r="11" ht="175" spans="3:38">
      <c r="C11" t="str">
        <f>W11</f>
        <v>R_ES-SH-AP_GAS_hydrogen_HE1</v>
      </c>
      <c r="D11" t="str">
        <f>D7</f>
        <v>RSDGAS</v>
      </c>
      <c r="F11" t="s">
        <v>92</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601</v>
      </c>
      <c r="Y11" s="53" t="s">
        <v>39</v>
      </c>
      <c r="Z11" s="53" t="s">
        <v>40</v>
      </c>
      <c r="AA11" s="53"/>
      <c r="AB11" s="53"/>
      <c r="AC11" s="53"/>
      <c r="AG11" t="s">
        <v>602</v>
      </c>
      <c r="AK11">
        <f>COM!AJ7</f>
        <v>0.469468493403833</v>
      </c>
      <c r="AL11" s="57" t="s">
        <v>182</v>
      </c>
    </row>
    <row r="12" ht="137.5" spans="4:38">
      <c r="D12" t="str">
        <f t="shared" ref="D12:D20" si="5">D8</f>
        <v>RSDSYNH2CT</v>
      </c>
      <c r="S12">
        <f t="shared" si="3"/>
        <v>0.2</v>
      </c>
      <c r="T12">
        <v>0</v>
      </c>
      <c r="W12" t="s">
        <v>18</v>
      </c>
      <c r="AA12" s="53"/>
      <c r="AG12" t="s">
        <v>603</v>
      </c>
      <c r="AK12">
        <f>COM!AJ67</f>
        <v>0.0134159728442635</v>
      </c>
      <c r="AL12" s="57" t="s">
        <v>183</v>
      </c>
    </row>
    <row r="13" spans="3:29">
      <c r="C13" t="str">
        <f>W13</f>
        <v>R_ES-SH-MOB_GAS_hydrogen_HE1</v>
      </c>
      <c r="D13" t="str">
        <f t="shared" si="5"/>
        <v>RSDGAS</v>
      </c>
      <c r="F13" t="s">
        <v>107</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604</v>
      </c>
      <c r="Y13" s="53" t="s">
        <v>39</v>
      </c>
      <c r="Z13" s="53" t="s">
        <v>40</v>
      </c>
      <c r="AA13" s="53"/>
      <c r="AB13" s="53"/>
      <c r="AC13" s="53"/>
    </row>
    <row r="14" spans="4:27">
      <c r="D14" t="str">
        <f t="shared" si="5"/>
        <v>RSDSYNH2CT</v>
      </c>
      <c r="S14">
        <f t="shared" si="3"/>
        <v>0.2</v>
      </c>
      <c r="T14">
        <v>0</v>
      </c>
      <c r="W14" t="s">
        <v>18</v>
      </c>
      <c r="AA14" s="53"/>
    </row>
    <row r="15" spans="3:29">
      <c r="C15" s="47" t="str">
        <f>W15</f>
        <v>R_ES-WH-SD_GAS_hydrogen1</v>
      </c>
      <c r="D15" s="47" t="s">
        <v>44</v>
      </c>
      <c r="E15" s="47"/>
      <c r="F15" s="47" t="s">
        <v>130</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605</v>
      </c>
      <c r="Y15" s="53" t="s">
        <v>39</v>
      </c>
      <c r="Z15" s="53" t="s">
        <v>40</v>
      </c>
      <c r="AA15" s="53"/>
      <c r="AB15" s="53"/>
      <c r="AC15" s="53"/>
    </row>
    <row r="16" spans="3:27">
      <c r="C16" s="47"/>
      <c r="D16" t="str">
        <f>D14</f>
        <v>RSDSYNH2CT</v>
      </c>
      <c r="S16" s="54">
        <v>0.2</v>
      </c>
      <c r="T16">
        <v>0</v>
      </c>
      <c r="W16" t="s">
        <v>18</v>
      </c>
      <c r="AA16" s="53"/>
    </row>
    <row r="17" spans="3:29">
      <c r="C17" s="47" t="str">
        <f t="shared" ref="C17:C21" si="9">W17</f>
        <v>R_ES-WH-SA_GAS_hydrogen1</v>
      </c>
      <c r="D17" t="str">
        <f t="shared" si="5"/>
        <v>RSDGAS</v>
      </c>
      <c r="F17" s="47" t="s">
        <v>138</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606</v>
      </c>
      <c r="Y17" s="53" t="s">
        <v>39</v>
      </c>
      <c r="Z17" s="53" t="s">
        <v>40</v>
      </c>
      <c r="AA17" s="53"/>
      <c r="AB17" s="53"/>
      <c r="AC17" s="53"/>
    </row>
    <row r="18" spans="3:27">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607</v>
      </c>
      <c r="Y19" s="53" t="s">
        <v>39</v>
      </c>
      <c r="Z19" s="53" t="s">
        <v>40</v>
      </c>
      <c r="AA19" s="53"/>
      <c r="AB19" s="53"/>
      <c r="AC19" s="53"/>
    </row>
    <row r="20" spans="3:27">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608</v>
      </c>
      <c r="Y21" s="53" t="s">
        <v>39</v>
      </c>
      <c r="Z21" s="53" t="s">
        <v>40</v>
      </c>
      <c r="AA21" s="53"/>
      <c r="AB21" s="53"/>
      <c r="AC21" s="53"/>
    </row>
    <row r="22" spans="4:27">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1</v>
      </c>
      <c r="K23">
        <f>COM!J27</f>
        <v>116.810344827586</v>
      </c>
      <c r="L23">
        <f>COM!K27</f>
        <v>5.51724137931035</v>
      </c>
      <c r="O23">
        <f>COM!L27</f>
        <v>116.810344827586</v>
      </c>
      <c r="P23">
        <f>COM!M27</f>
        <v>5.51724137931035</v>
      </c>
      <c r="Q23">
        <f>COM!N27</f>
        <v>10</v>
      </c>
      <c r="R23">
        <f>COM!O27</f>
        <v>31.54</v>
      </c>
      <c r="S23">
        <f t="shared" si="14"/>
        <v>0.8</v>
      </c>
      <c r="T23">
        <f t="shared" si="15"/>
        <v>1</v>
      </c>
      <c r="W23" t="s">
        <v>609</v>
      </c>
      <c r="Y23" s="53" t="s">
        <v>39</v>
      </c>
      <c r="Z23" s="53" t="s">
        <v>40</v>
      </c>
      <c r="AA23" s="53"/>
      <c r="AB23" s="53"/>
      <c r="AC23" s="53"/>
    </row>
    <row r="24" spans="4:27">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1</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610</v>
      </c>
      <c r="Y25" s="53" t="s">
        <v>39</v>
      </c>
      <c r="Z25" s="53" t="s">
        <v>40</v>
      </c>
      <c r="AA25" s="53"/>
      <c r="AB25" s="53"/>
      <c r="AC25" s="53"/>
    </row>
    <row r="26" spans="4:27">
      <c r="D26" t="str">
        <f t="shared" ref="D26:D31" si="19">D24</f>
        <v>RSDSYNH2CT</v>
      </c>
      <c r="S26">
        <f t="shared" ref="S26:S30" si="20">S24</f>
        <v>0.2</v>
      </c>
      <c r="T26">
        <f t="shared" ref="T26:T30" si="21">T24</f>
        <v>0</v>
      </c>
      <c r="W26" t="s">
        <v>18</v>
      </c>
      <c r="AA26" s="53"/>
    </row>
    <row r="27" spans="3:29">
      <c r="C27" t="str">
        <f t="shared" ref="C27:C57" si="22">W27</f>
        <v>TWS-AuxiliaryEquip_GAS_hydrogen1</v>
      </c>
      <c r="D27" t="str">
        <f>COM!C39</f>
        <v>COMGAS</v>
      </c>
      <c r="F27" t="str">
        <f>COM!E39</f>
        <v>TWS-AuxiliaryEquip</v>
      </c>
      <c r="G27">
        <f>COM!F39</f>
        <v>2021</v>
      </c>
      <c r="H27">
        <f>COM!G39</f>
        <v>0.8</v>
      </c>
      <c r="J27">
        <f>COM!I39</f>
        <v>1</v>
      </c>
      <c r="K27">
        <f>COM!J39</f>
        <v>116.810344827586</v>
      </c>
      <c r="L27">
        <f>COM!K39</f>
        <v>5.51724137931035</v>
      </c>
      <c r="O27">
        <f>COM!L39</f>
        <v>116.810344827586</v>
      </c>
      <c r="P27">
        <f>COM!M39</f>
        <v>5.51724137931035</v>
      </c>
      <c r="Q27">
        <f>COM!N39</f>
        <v>10</v>
      </c>
      <c r="R27">
        <f>COM!O39</f>
        <v>31.54</v>
      </c>
      <c r="S27">
        <f t="shared" si="17"/>
        <v>0.8</v>
      </c>
      <c r="T27">
        <f t="shared" si="18"/>
        <v>1</v>
      </c>
      <c r="W27" t="s">
        <v>611</v>
      </c>
      <c r="Y27" s="53" t="s">
        <v>39</v>
      </c>
      <c r="Z27" s="53" t="s">
        <v>40</v>
      </c>
      <c r="AA27" s="53"/>
      <c r="AB27" s="53"/>
      <c r="AC27" s="53"/>
    </row>
    <row r="28" spans="4:27">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1</v>
      </c>
      <c r="K29">
        <f>COM!J45</f>
        <v>116.810344827586</v>
      </c>
      <c r="L29">
        <f>COM!K45</f>
        <v>5.51724137931035</v>
      </c>
      <c r="O29">
        <f>COM!L45</f>
        <v>116.810344827586</v>
      </c>
      <c r="P29">
        <f>COM!M45</f>
        <v>5.51724137931035</v>
      </c>
      <c r="Q29">
        <f>COM!N45</f>
        <v>10</v>
      </c>
      <c r="R29">
        <f>COM!O45</f>
        <v>31.54</v>
      </c>
      <c r="S29">
        <f t="shared" si="17"/>
        <v>0.8</v>
      </c>
      <c r="T29">
        <f t="shared" si="18"/>
        <v>1</v>
      </c>
      <c r="W29" t="s">
        <v>612</v>
      </c>
      <c r="Y29" s="53" t="s">
        <v>39</v>
      </c>
      <c r="Z29" s="53" t="s">
        <v>40</v>
      </c>
      <c r="AA29" s="53"/>
      <c r="AB29" s="53"/>
      <c r="AC29" s="53"/>
    </row>
    <row r="30" spans="4:27">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1</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613</v>
      </c>
      <c r="Y31" s="53" t="s">
        <v>39</v>
      </c>
      <c r="Z31" s="53" t="s">
        <v>40</v>
      </c>
      <c r="AA31" s="53"/>
      <c r="AB31" s="53"/>
      <c r="AC31" s="53"/>
    </row>
    <row r="32" spans="4:27">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1</v>
      </c>
      <c r="K33">
        <f>COM!J57</f>
        <v>116.810344827586</v>
      </c>
      <c r="L33">
        <f>COM!K57</f>
        <v>5.51724137931035</v>
      </c>
      <c r="O33">
        <f>COM!L57</f>
        <v>116.810344827586</v>
      </c>
      <c r="P33">
        <f>COM!M57</f>
        <v>5.51724137931035</v>
      </c>
      <c r="Q33">
        <f>COM!N57</f>
        <v>10</v>
      </c>
      <c r="R33">
        <f>COM!O57</f>
        <v>31.54</v>
      </c>
      <c r="S33">
        <f t="shared" si="23"/>
        <v>0.8</v>
      </c>
      <c r="T33">
        <f t="shared" si="24"/>
        <v>1</v>
      </c>
      <c r="W33" t="s">
        <v>614</v>
      </c>
      <c r="Y33" s="53" t="s">
        <v>39</v>
      </c>
      <c r="Z33" s="53" t="s">
        <v>40</v>
      </c>
      <c r="AA33" s="53"/>
      <c r="AB33" s="53"/>
      <c r="AC33" s="53"/>
    </row>
    <row r="34" spans="4:27">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1</v>
      </c>
      <c r="K35">
        <f>COM!J63</f>
        <v>116.810344827586</v>
      </c>
      <c r="L35">
        <f>COM!K63</f>
        <v>5.51724137931035</v>
      </c>
      <c r="O35">
        <f>COM!L63</f>
        <v>116.810344827586</v>
      </c>
      <c r="P35">
        <f>COM!M63</f>
        <v>5.51724137931035</v>
      </c>
      <c r="Q35">
        <f>COM!N63</f>
        <v>10</v>
      </c>
      <c r="R35">
        <f>COM!O63</f>
        <v>31.54</v>
      </c>
      <c r="S35">
        <f t="shared" si="23"/>
        <v>0.8</v>
      </c>
      <c r="T35">
        <f t="shared" si="24"/>
        <v>1</v>
      </c>
      <c r="W35" t="s">
        <v>615</v>
      </c>
      <c r="Y35" s="53" t="s">
        <v>39</v>
      </c>
      <c r="Z35" s="53" t="s">
        <v>40</v>
      </c>
      <c r="AA35" s="53"/>
      <c r="AB35" s="53"/>
      <c r="AC35" s="53"/>
    </row>
    <row r="36" spans="4:27">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1</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616</v>
      </c>
      <c r="Y37" s="53" t="s">
        <v>39</v>
      </c>
      <c r="Z37" s="53" t="s">
        <v>40</v>
      </c>
      <c r="AA37" s="53"/>
      <c r="AB37" s="53"/>
      <c r="AC37" s="53"/>
    </row>
    <row r="38" spans="4:27">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1</v>
      </c>
      <c r="K39">
        <f>COM!J75</f>
        <v>116.810344827586</v>
      </c>
      <c r="L39">
        <f>COM!K75</f>
        <v>5.51724137931035</v>
      </c>
      <c r="O39">
        <f>COM!L75</f>
        <v>116.810344827586</v>
      </c>
      <c r="P39">
        <f>COM!M75</f>
        <v>5.51724137931035</v>
      </c>
      <c r="Q39">
        <f>COM!N75</f>
        <v>10</v>
      </c>
      <c r="R39">
        <f>COM!O75</f>
        <v>31.54</v>
      </c>
      <c r="S39">
        <f t="shared" si="28"/>
        <v>0.8</v>
      </c>
      <c r="T39">
        <f t="shared" si="29"/>
        <v>1</v>
      </c>
      <c r="W39" t="s">
        <v>617</v>
      </c>
      <c r="Y39" s="53" t="s">
        <v>39</v>
      </c>
      <c r="Z39" s="53" t="s">
        <v>40</v>
      </c>
      <c r="AA39" s="53"/>
      <c r="AB39" s="53"/>
      <c r="AC39" s="53"/>
    </row>
    <row r="40" spans="4:27">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1</v>
      </c>
      <c r="K41">
        <f>COM!J81</f>
        <v>116.810344827586</v>
      </c>
      <c r="L41">
        <f>COM!K81</f>
        <v>5.51724137931035</v>
      </c>
      <c r="O41">
        <f>COM!L81</f>
        <v>116.810344827586</v>
      </c>
      <c r="P41">
        <f>COM!M81</f>
        <v>5.51724137931035</v>
      </c>
      <c r="Q41">
        <f>COM!N81</f>
        <v>10</v>
      </c>
      <c r="R41">
        <f>COM!O81</f>
        <v>31.54</v>
      </c>
      <c r="S41">
        <f t="shared" si="28"/>
        <v>0.8</v>
      </c>
      <c r="T41">
        <f t="shared" si="29"/>
        <v>1</v>
      </c>
      <c r="W41" t="s">
        <v>618</v>
      </c>
      <c r="Y41" s="53" t="s">
        <v>39</v>
      </c>
      <c r="Z41" s="53" t="s">
        <v>40</v>
      </c>
      <c r="AA41" s="53"/>
      <c r="AB41" s="53"/>
      <c r="AC41" s="53"/>
    </row>
    <row r="42" spans="4:27">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0.469468493403833</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619</v>
      </c>
      <c r="Y43" s="53" t="s">
        <v>39</v>
      </c>
      <c r="Z43" s="53" t="s">
        <v>40</v>
      </c>
      <c r="AA43" s="53"/>
      <c r="AB43" s="53"/>
      <c r="AC43" s="53"/>
    </row>
    <row r="44" spans="4:27">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0.469468493403833</v>
      </c>
      <c r="K45">
        <f>COM!J93</f>
        <v>116.810344827586</v>
      </c>
      <c r="L45">
        <f>COM!K93</f>
        <v>5.51724137931035</v>
      </c>
      <c r="O45">
        <f>COM!L93</f>
        <v>116.810344827586</v>
      </c>
      <c r="P45">
        <f>COM!M93</f>
        <v>5.51724137931035</v>
      </c>
      <c r="Q45">
        <f>COM!N93</f>
        <v>10</v>
      </c>
      <c r="R45">
        <f>COM!O93</f>
        <v>31.54</v>
      </c>
      <c r="S45">
        <f t="shared" si="30"/>
        <v>0.8</v>
      </c>
      <c r="T45">
        <f t="shared" si="31"/>
        <v>1</v>
      </c>
      <c r="W45" t="s">
        <v>620</v>
      </c>
      <c r="Y45" s="53" t="s">
        <v>39</v>
      </c>
      <c r="Z45" s="53" t="s">
        <v>40</v>
      </c>
      <c r="AA45" s="53"/>
      <c r="AB45" s="53"/>
      <c r="AC45" s="53"/>
    </row>
    <row r="46" spans="4:27">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0.469468493403833</v>
      </c>
      <c r="K47">
        <f>COM!J99</f>
        <v>116.810344827586</v>
      </c>
      <c r="L47">
        <f>COM!K99</f>
        <v>5.51724137931035</v>
      </c>
      <c r="O47">
        <f>COM!L99</f>
        <v>116.810344827586</v>
      </c>
      <c r="P47">
        <f>COM!M99</f>
        <v>5.51724137931035</v>
      </c>
      <c r="Q47">
        <f>COM!N99</f>
        <v>10</v>
      </c>
      <c r="R47">
        <f>COM!O99</f>
        <v>31.54</v>
      </c>
      <c r="S47">
        <f t="shared" si="30"/>
        <v>0.8</v>
      </c>
      <c r="T47">
        <f t="shared" si="31"/>
        <v>1</v>
      </c>
      <c r="W47" t="s">
        <v>621</v>
      </c>
      <c r="Y47" s="53" t="s">
        <v>39</v>
      </c>
      <c r="Z47" s="53" t="s">
        <v>40</v>
      </c>
      <c r="AA47" s="53"/>
      <c r="AB47" s="53"/>
      <c r="AC47" s="53"/>
    </row>
    <row r="48" spans="4:27">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0.469468493403833</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622</v>
      </c>
      <c r="Y49" s="53" t="s">
        <v>39</v>
      </c>
      <c r="Z49" s="53" t="s">
        <v>40</v>
      </c>
      <c r="AA49" s="53"/>
      <c r="AB49" s="53"/>
      <c r="AC49" s="53"/>
    </row>
    <row r="50" spans="4:27">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0.469468493403833</v>
      </c>
      <c r="K51">
        <f>COM!J111</f>
        <v>116.810344827586</v>
      </c>
      <c r="L51">
        <f>COM!K111</f>
        <v>5.51724137931035</v>
      </c>
      <c r="O51">
        <f>COM!L111</f>
        <v>116.810344827586</v>
      </c>
      <c r="P51">
        <f>COM!M111</f>
        <v>5.51724137931035</v>
      </c>
      <c r="Q51">
        <f>COM!N111</f>
        <v>10</v>
      </c>
      <c r="R51">
        <f>COM!O111</f>
        <v>31.54</v>
      </c>
      <c r="S51">
        <f t="shared" si="34"/>
        <v>0.8</v>
      </c>
      <c r="T51">
        <f t="shared" si="35"/>
        <v>1</v>
      </c>
      <c r="W51" t="s">
        <v>623</v>
      </c>
      <c r="Y51" s="53" t="s">
        <v>39</v>
      </c>
      <c r="Z51" s="53" t="s">
        <v>40</v>
      </c>
      <c r="AA51" s="53"/>
      <c r="AB51" s="53"/>
      <c r="AC51" s="53"/>
    </row>
    <row r="52" spans="4:27">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0.469468493403833</v>
      </c>
      <c r="K53">
        <f>COM!J117</f>
        <v>116.810344827586</v>
      </c>
      <c r="L53">
        <f>COM!K117</f>
        <v>5.51724137931035</v>
      </c>
      <c r="O53">
        <f>COM!L117</f>
        <v>116.810344827586</v>
      </c>
      <c r="P53">
        <f>COM!M117</f>
        <v>5.51724137931035</v>
      </c>
      <c r="Q53">
        <f>COM!N117</f>
        <v>10</v>
      </c>
      <c r="R53">
        <f>COM!O117</f>
        <v>31.54</v>
      </c>
      <c r="S53">
        <f t="shared" si="34"/>
        <v>0.8</v>
      </c>
      <c r="T53">
        <f t="shared" si="35"/>
        <v>1</v>
      </c>
      <c r="W53" t="s">
        <v>624</v>
      </c>
      <c r="Y53" s="53" t="s">
        <v>39</v>
      </c>
      <c r="Z53" s="53" t="s">
        <v>40</v>
      </c>
      <c r="AA53" s="53"/>
      <c r="AB53" s="53"/>
      <c r="AC53" s="53"/>
    </row>
    <row r="54" spans="4:27">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0.469468493403833</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625</v>
      </c>
      <c r="Y55" s="53" t="s">
        <v>39</v>
      </c>
      <c r="Z55" s="53" t="s">
        <v>40</v>
      </c>
      <c r="AA55" s="53"/>
      <c r="AB55" s="53"/>
      <c r="AC55" s="53"/>
    </row>
    <row r="56" spans="4:27">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0.469468493403833</v>
      </c>
      <c r="K57">
        <f>COM!J129</f>
        <v>116.810344827586</v>
      </c>
      <c r="L57">
        <f>COM!K129</f>
        <v>5.51724137931035</v>
      </c>
      <c r="O57">
        <f>COM!L129</f>
        <v>116.810344827586</v>
      </c>
      <c r="P57">
        <f>COM!M129</f>
        <v>5.51724137931035</v>
      </c>
      <c r="Q57">
        <f>COM!N129</f>
        <v>10</v>
      </c>
      <c r="R57">
        <f>COM!O129</f>
        <v>31.54</v>
      </c>
      <c r="S57">
        <f t="shared" si="36"/>
        <v>0.8</v>
      </c>
      <c r="T57">
        <f t="shared" si="37"/>
        <v>1</v>
      </c>
      <c r="W57" t="s">
        <v>626</v>
      </c>
      <c r="Y57" s="53" t="s">
        <v>39</v>
      </c>
      <c r="Z57" s="53" t="s">
        <v>40</v>
      </c>
      <c r="AA57" s="53"/>
      <c r="AB57" s="53"/>
      <c r="AC57" s="53"/>
    </row>
    <row r="58" spans="4:27">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0.469468493403833</v>
      </c>
      <c r="K59">
        <f>COM!J135</f>
        <v>116.810344827586</v>
      </c>
      <c r="L59">
        <f>COM!K135</f>
        <v>5.51724137931035</v>
      </c>
      <c r="O59">
        <f>COM!L135</f>
        <v>116.810344827586</v>
      </c>
      <c r="P59">
        <f>COM!M135</f>
        <v>5.51724137931035</v>
      </c>
      <c r="Q59">
        <f>COM!N135</f>
        <v>10</v>
      </c>
      <c r="R59">
        <f>COM!O135</f>
        <v>31.54</v>
      </c>
      <c r="S59">
        <f t="shared" si="36"/>
        <v>0.8</v>
      </c>
      <c r="T59">
        <f t="shared" si="37"/>
        <v>1</v>
      </c>
      <c r="W59" t="s">
        <v>627</v>
      </c>
      <c r="Y59" s="53" t="s">
        <v>39</v>
      </c>
      <c r="Z59" s="53" t="s">
        <v>40</v>
      </c>
      <c r="AA59" s="53"/>
      <c r="AB59" s="53"/>
      <c r="AC59" s="53"/>
    </row>
    <row r="60" spans="4:27">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0.469468493403833</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628</v>
      </c>
      <c r="Y61" s="53" t="s">
        <v>39</v>
      </c>
      <c r="Z61" s="53" t="s">
        <v>40</v>
      </c>
      <c r="AA61" s="53"/>
      <c r="AB61" s="53"/>
      <c r="AC61" s="53"/>
    </row>
    <row r="62" spans="4:27">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629</v>
      </c>
      <c r="Y63" s="53" t="s">
        <v>39</v>
      </c>
      <c r="Z63" s="53" t="s">
        <v>40</v>
      </c>
      <c r="AA63" s="53"/>
      <c r="AB63" s="53"/>
      <c r="AC63" s="53"/>
    </row>
    <row r="64" spans="4:27">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630</v>
      </c>
      <c r="Y65" s="53" t="s">
        <v>39</v>
      </c>
      <c r="Z65" s="53" t="s">
        <v>40</v>
      </c>
      <c r="AA65" s="53"/>
      <c r="AB65" s="53"/>
      <c r="AC65" s="53"/>
    </row>
    <row r="66" spans="4:27">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631</v>
      </c>
      <c r="Y67" s="53" t="s">
        <v>39</v>
      </c>
      <c r="Z67" s="53" t="s">
        <v>40</v>
      </c>
      <c r="AA67" s="53"/>
      <c r="AB67" s="53"/>
      <c r="AC67" s="53"/>
    </row>
    <row r="68" spans="4:27">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632</v>
      </c>
      <c r="Y69" s="53" t="s">
        <v>39</v>
      </c>
      <c r="Z69" s="53" t="s">
        <v>40</v>
      </c>
      <c r="AA69" s="53"/>
      <c r="AB69" s="53"/>
      <c r="AC69" s="53"/>
    </row>
    <row r="70" spans="4:27">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633</v>
      </c>
      <c r="Y71" s="53" t="s">
        <v>39</v>
      </c>
      <c r="Z71" s="53" t="s">
        <v>40</v>
      </c>
      <c r="AA71" s="53"/>
      <c r="AB71" s="53"/>
      <c r="AC71" s="53"/>
    </row>
    <row r="72" spans="4:27">
      <c r="D72" t="str">
        <f t="shared" si="42"/>
        <v>RSDSYNH2CT</v>
      </c>
      <c r="S72">
        <f t="shared" ref="S72:T76" si="47">S70</f>
        <v>0.2</v>
      </c>
      <c r="T72">
        <f t="shared" si="47"/>
        <v>0</v>
      </c>
      <c r="W72" t="s">
        <v>18</v>
      </c>
      <c r="AA72" s="53"/>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 t="shared" si="47"/>
        <v>0.8</v>
      </c>
      <c r="T73">
        <f t="shared" si="47"/>
        <v>1</v>
      </c>
      <c r="W73" t="s">
        <v>634</v>
      </c>
      <c r="Y73" s="53" t="s">
        <v>39</v>
      </c>
      <c r="Z73" s="53" t="s">
        <v>40</v>
      </c>
      <c r="AA73" s="53"/>
      <c r="AB73" s="53"/>
      <c r="AC73" s="53"/>
    </row>
    <row r="74" spans="4:27">
      <c r="D74" t="str">
        <f t="shared" si="42"/>
        <v>RSDSYNH2CT</v>
      </c>
      <c r="S74">
        <f t="shared" si="47"/>
        <v>0.2</v>
      </c>
      <c r="T74">
        <f t="shared" si="47"/>
        <v>0</v>
      </c>
      <c r="W74" t="s">
        <v>18</v>
      </c>
      <c r="AA74" s="53"/>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 t="shared" si="47"/>
        <v>0.8</v>
      </c>
      <c r="T75">
        <f t="shared" si="47"/>
        <v>1</v>
      </c>
      <c r="W75" t="s">
        <v>635</v>
      </c>
      <c r="Y75" s="53" t="s">
        <v>39</v>
      </c>
      <c r="Z75" s="53" t="s">
        <v>40</v>
      </c>
      <c r="AA75" s="53"/>
      <c r="AB75" s="53"/>
      <c r="AC75" s="53"/>
    </row>
    <row r="76" spans="4:27">
      <c r="D76" t="str">
        <f t="shared" si="42"/>
        <v>RSDSYNH2CT</v>
      </c>
      <c r="S76">
        <f t="shared" si="47"/>
        <v>0.2</v>
      </c>
      <c r="T76">
        <f t="shared" si="47"/>
        <v>0</v>
      </c>
      <c r="W76" t="s">
        <v>18</v>
      </c>
      <c r="AA76" s="53"/>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8">S75</f>
        <v>0.8</v>
      </c>
      <c r="T77">
        <f t="shared" ref="T77:T102" si="49">T75</f>
        <v>1</v>
      </c>
      <c r="W77" t="s">
        <v>636</v>
      </c>
      <c r="Y77" s="53" t="s">
        <v>39</v>
      </c>
      <c r="Z77" s="53" t="s">
        <v>40</v>
      </c>
      <c r="AA77" s="53"/>
      <c r="AB77" s="53"/>
      <c r="AC77" s="53"/>
    </row>
    <row r="78" spans="4:27">
      <c r="D78" t="str">
        <f t="shared" si="42"/>
        <v>RSDSYNH2CT</v>
      </c>
      <c r="S78">
        <f t="shared" si="48"/>
        <v>0.2</v>
      </c>
      <c r="T78">
        <f t="shared" si="49"/>
        <v>0</v>
      </c>
      <c r="W78" t="s">
        <v>18</v>
      </c>
      <c r="AA78" s="53"/>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8"/>
        <v>0.8</v>
      </c>
      <c r="T79">
        <f t="shared" si="49"/>
        <v>1</v>
      </c>
      <c r="W79" t="s">
        <v>637</v>
      </c>
      <c r="Y79" s="53" t="s">
        <v>39</v>
      </c>
      <c r="Z79" s="53" t="s">
        <v>40</v>
      </c>
      <c r="AA79" s="53"/>
      <c r="AB79" s="53"/>
      <c r="AC79" s="53"/>
    </row>
    <row r="80" spans="4:27">
      <c r="D80" t="str">
        <f t="shared" si="42"/>
        <v>RSDSYNH2CT</v>
      </c>
      <c r="S80">
        <f t="shared" si="48"/>
        <v>0.2</v>
      </c>
      <c r="T80">
        <f t="shared" si="49"/>
        <v>0</v>
      </c>
      <c r="W80" t="s">
        <v>18</v>
      </c>
      <c r="AA80" s="53"/>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8"/>
        <v>0.8</v>
      </c>
      <c r="T81">
        <f t="shared" si="49"/>
        <v>1</v>
      </c>
      <c r="W81" t="s">
        <v>638</v>
      </c>
      <c r="Y81" s="53" t="s">
        <v>39</v>
      </c>
      <c r="Z81" s="53" t="s">
        <v>40</v>
      </c>
      <c r="AA81" s="53"/>
      <c r="AB81" s="53"/>
      <c r="AC81" s="53"/>
    </row>
    <row r="82" spans="4:27">
      <c r="D82" t="str">
        <f t="shared" si="42"/>
        <v>RSDSYNH2CT</v>
      </c>
      <c r="S82">
        <f t="shared" si="48"/>
        <v>0.2</v>
      </c>
      <c r="T82">
        <f t="shared" si="49"/>
        <v>0</v>
      </c>
      <c r="W82" t="s">
        <v>18</v>
      </c>
      <c r="AA82" s="53"/>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8"/>
        <v>0.8</v>
      </c>
      <c r="T83">
        <f t="shared" si="49"/>
        <v>1</v>
      </c>
      <c r="W83" t="s">
        <v>639</v>
      </c>
      <c r="Y83" s="53" t="s">
        <v>39</v>
      </c>
      <c r="Z83" s="53" t="s">
        <v>40</v>
      </c>
      <c r="AA83" s="53"/>
      <c r="AB83" s="53"/>
      <c r="AC83" s="53"/>
    </row>
    <row r="84" spans="4:27">
      <c r="D84" t="str">
        <f t="shared" si="42"/>
        <v>RSDSYNH2CT</v>
      </c>
      <c r="S84">
        <f t="shared" si="48"/>
        <v>0.2</v>
      </c>
      <c r="T84">
        <f t="shared" si="49"/>
        <v>0</v>
      </c>
      <c r="W84" t="s">
        <v>18</v>
      </c>
      <c r="AA84" s="53"/>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8"/>
        <v>0.8</v>
      </c>
      <c r="T85">
        <f t="shared" si="49"/>
        <v>1</v>
      </c>
      <c r="W85" t="s">
        <v>640</v>
      </c>
      <c r="Y85" s="53" t="s">
        <v>39</v>
      </c>
      <c r="Z85" s="53" t="s">
        <v>40</v>
      </c>
      <c r="AA85" s="53"/>
      <c r="AB85" s="53"/>
      <c r="AC85" s="53"/>
    </row>
    <row r="86" spans="4:27">
      <c r="D86" t="str">
        <f t="shared" si="42"/>
        <v>RSDSYNH2CT</v>
      </c>
      <c r="S86">
        <f t="shared" si="48"/>
        <v>0.2</v>
      </c>
      <c r="T86">
        <f t="shared" si="49"/>
        <v>0</v>
      </c>
      <c r="W86" t="s">
        <v>18</v>
      </c>
      <c r="AA86" s="53"/>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8"/>
        <v>0.8</v>
      </c>
      <c r="T87">
        <f t="shared" si="49"/>
        <v>1</v>
      </c>
      <c r="W87" t="s">
        <v>641</v>
      </c>
      <c r="Y87" s="53" t="s">
        <v>39</v>
      </c>
      <c r="Z87" s="53" t="s">
        <v>40</v>
      </c>
      <c r="AA87" s="53"/>
      <c r="AB87" s="53"/>
      <c r="AC87" s="53"/>
    </row>
    <row r="88" spans="4:27">
      <c r="D88" t="str">
        <f t="shared" si="42"/>
        <v>RSDSYNH2CT</v>
      </c>
      <c r="S88">
        <f t="shared" si="48"/>
        <v>0.2</v>
      </c>
      <c r="T88">
        <f t="shared" si="49"/>
        <v>0</v>
      </c>
      <c r="W88" t="s">
        <v>18</v>
      </c>
      <c r="AA88" s="53"/>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8"/>
        <v>0.8</v>
      </c>
      <c r="T89">
        <f t="shared" si="49"/>
        <v>1</v>
      </c>
      <c r="W89" t="s">
        <v>642</v>
      </c>
      <c r="Y89" s="53" t="s">
        <v>39</v>
      </c>
      <c r="Z89" s="53" t="s">
        <v>40</v>
      </c>
      <c r="AA89" s="53"/>
      <c r="AB89" s="53"/>
      <c r="AC89" s="53"/>
    </row>
    <row r="90" spans="4:27">
      <c r="D90" t="str">
        <f t="shared" si="42"/>
        <v>RSDSYNH2CT</v>
      </c>
      <c r="S90">
        <f t="shared" si="48"/>
        <v>0.2</v>
      </c>
      <c r="T90">
        <f t="shared" si="49"/>
        <v>0</v>
      </c>
      <c r="W90" t="s">
        <v>18</v>
      </c>
      <c r="AA90" s="53"/>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8"/>
        <v>0.8</v>
      </c>
      <c r="T91">
        <f t="shared" si="49"/>
        <v>1</v>
      </c>
      <c r="W91" t="s">
        <v>643</v>
      </c>
      <c r="Y91" s="53" t="s">
        <v>39</v>
      </c>
      <c r="Z91" s="53" t="s">
        <v>40</v>
      </c>
      <c r="AA91" s="53"/>
      <c r="AB91" s="53"/>
      <c r="AC91" s="53"/>
    </row>
    <row r="92" spans="4:27">
      <c r="D92" t="str">
        <f t="shared" si="42"/>
        <v>RSDSYNH2CT</v>
      </c>
      <c r="S92">
        <f t="shared" si="48"/>
        <v>0.2</v>
      </c>
      <c r="T92">
        <f t="shared" si="49"/>
        <v>0</v>
      </c>
      <c r="W92" t="s">
        <v>18</v>
      </c>
      <c r="AA92" s="53"/>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8"/>
        <v>0.8</v>
      </c>
      <c r="T93">
        <f t="shared" si="49"/>
        <v>1</v>
      </c>
      <c r="W93" t="s">
        <v>644</v>
      </c>
      <c r="Y93" s="53" t="s">
        <v>39</v>
      </c>
      <c r="Z93" s="53" t="s">
        <v>40</v>
      </c>
      <c r="AA93" s="53"/>
      <c r="AB93" s="53"/>
      <c r="AC93" s="53"/>
    </row>
    <row r="94" spans="4:27">
      <c r="D94" t="str">
        <f t="shared" si="42"/>
        <v>RSDSYNH2CT</v>
      </c>
      <c r="S94">
        <f t="shared" si="48"/>
        <v>0.2</v>
      </c>
      <c r="T94">
        <f t="shared" si="49"/>
        <v>0</v>
      </c>
      <c r="W94" t="s">
        <v>18</v>
      </c>
      <c r="AA94" s="53"/>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8"/>
        <v>0.8</v>
      </c>
      <c r="T95">
        <f t="shared" si="49"/>
        <v>1</v>
      </c>
      <c r="W95" t="s">
        <v>645</v>
      </c>
      <c r="Y95" s="53" t="s">
        <v>39</v>
      </c>
      <c r="Z95" s="53" t="s">
        <v>40</v>
      </c>
      <c r="AA95" s="53"/>
      <c r="AB95" s="53"/>
      <c r="AC95" s="53"/>
    </row>
    <row r="96" spans="4:27">
      <c r="D96" t="str">
        <f t="shared" si="42"/>
        <v>RSDSYNH2CT</v>
      </c>
      <c r="S96">
        <f t="shared" si="48"/>
        <v>0.2</v>
      </c>
      <c r="T96">
        <f t="shared" si="49"/>
        <v>0</v>
      </c>
      <c r="W96" t="s">
        <v>18</v>
      </c>
      <c r="AA96" s="53"/>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8"/>
        <v>0.8</v>
      </c>
      <c r="T97">
        <f t="shared" si="49"/>
        <v>1</v>
      </c>
      <c r="W97" t="s">
        <v>646</v>
      </c>
      <c r="Y97" s="53" t="s">
        <v>39</v>
      </c>
      <c r="Z97" s="53" t="s">
        <v>40</v>
      </c>
      <c r="AA97" s="53"/>
      <c r="AB97" s="53"/>
      <c r="AC97" s="53"/>
    </row>
    <row r="98" spans="4:27">
      <c r="D98" t="str">
        <f t="shared" si="42"/>
        <v>RSDSYNH2CT</v>
      </c>
      <c r="S98">
        <f t="shared" si="48"/>
        <v>0.2</v>
      </c>
      <c r="T98">
        <f t="shared" si="49"/>
        <v>0</v>
      </c>
      <c r="W98" t="s">
        <v>18</v>
      </c>
      <c r="AA98" s="53"/>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8"/>
        <v>0.8</v>
      </c>
      <c r="T99">
        <f t="shared" si="49"/>
        <v>1</v>
      </c>
      <c r="W99" t="s">
        <v>647</v>
      </c>
      <c r="Y99" s="53" t="s">
        <v>39</v>
      </c>
      <c r="Z99" s="53" t="s">
        <v>40</v>
      </c>
      <c r="AA99" s="53"/>
      <c r="AB99" s="53"/>
      <c r="AC99" s="53"/>
    </row>
    <row r="100" spans="4:27">
      <c r="D100" t="str">
        <f t="shared" si="42"/>
        <v>RSDSYNH2CT</v>
      </c>
      <c r="S100">
        <f t="shared" si="48"/>
        <v>0.2</v>
      </c>
      <c r="T100">
        <f t="shared" si="49"/>
        <v>0</v>
      </c>
      <c r="W100" t="s">
        <v>18</v>
      </c>
      <c r="AA100" s="53"/>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8"/>
        <v>0.8</v>
      </c>
      <c r="T101">
        <f t="shared" si="49"/>
        <v>1</v>
      </c>
      <c r="W101" t="s">
        <v>648</v>
      </c>
      <c r="Y101" s="53" t="s">
        <v>39</v>
      </c>
      <c r="Z101" s="53" t="s">
        <v>40</v>
      </c>
      <c r="AA101" s="53"/>
      <c r="AB101" s="53"/>
      <c r="AC101" s="53"/>
    </row>
    <row r="102" spans="4:27">
      <c r="D102" t="str">
        <f t="shared" si="42"/>
        <v>RSDSYNH2CT</v>
      </c>
      <c r="S102">
        <f t="shared" si="48"/>
        <v>0.2</v>
      </c>
      <c r="T102">
        <f t="shared" si="49"/>
        <v>0</v>
      </c>
      <c r="W102" t="s">
        <v>18</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98474074526"/>
  </sheetPr>
  <dimension ref="C1:AA33"/>
  <sheetViews>
    <sheetView zoomScale="51" zoomScaleNormal="51" workbookViewId="0">
      <selection activeCell="P34" sqref="P34"/>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649</v>
      </c>
    </row>
    <row r="2" spans="8:11">
      <c r="H2" s="3" t="s">
        <v>650</v>
      </c>
      <c r="K2" s="24" t="s">
        <v>651</v>
      </c>
    </row>
    <row r="3" s="2" customFormat="1" spans="5:27">
      <c r="E3" s="4" t="s">
        <v>652</v>
      </c>
      <c r="S3" s="29" t="s">
        <v>653</v>
      </c>
      <c r="T3" s="29"/>
      <c r="U3" s="30"/>
      <c r="V3" s="30"/>
      <c r="W3" s="30"/>
      <c r="X3" s="30"/>
      <c r="Y3" s="30"/>
      <c r="Z3" s="30"/>
      <c r="AA3" s="30"/>
    </row>
    <row r="4" s="2" customFormat="1" ht="26.75" spans="3:27">
      <c r="C4" s="5" t="s">
        <v>12</v>
      </c>
      <c r="D4" s="5" t="s">
        <v>13</v>
      </c>
      <c r="E4" s="5" t="s">
        <v>15</v>
      </c>
      <c r="F4" s="6" t="s">
        <v>16</v>
      </c>
      <c r="G4" s="7" t="s">
        <v>17</v>
      </c>
      <c r="H4" s="7" t="s">
        <v>19</v>
      </c>
      <c r="I4" s="7" t="s">
        <v>192</v>
      </c>
      <c r="J4" s="7"/>
      <c r="K4" s="7" t="s">
        <v>20</v>
      </c>
      <c r="L4" s="7" t="s">
        <v>21</v>
      </c>
      <c r="M4" s="7" t="s">
        <v>24</v>
      </c>
      <c r="N4" s="7" t="s">
        <v>25</v>
      </c>
      <c r="O4" s="25" t="s">
        <v>26</v>
      </c>
      <c r="P4" s="25" t="s">
        <v>27</v>
      </c>
      <c r="S4" s="31" t="s">
        <v>29</v>
      </c>
      <c r="T4" s="32" t="s">
        <v>197</v>
      </c>
      <c r="U4" s="31" t="s">
        <v>12</v>
      </c>
      <c r="V4" s="31" t="s">
        <v>30</v>
      </c>
      <c r="W4" s="31" t="s">
        <v>31</v>
      </c>
      <c r="X4" s="31" t="s">
        <v>32</v>
      </c>
      <c r="Y4" s="31" t="s">
        <v>33</v>
      </c>
      <c r="Z4" s="31" t="s">
        <v>34</v>
      </c>
      <c r="AA4" s="31" t="s">
        <v>198</v>
      </c>
    </row>
    <row r="5" s="2" customFormat="1" ht="40.75" spans="3:27">
      <c r="C5" s="8" t="s">
        <v>654</v>
      </c>
      <c r="D5" s="8" t="s">
        <v>200</v>
      </c>
      <c r="E5" s="8" t="s">
        <v>655</v>
      </c>
      <c r="F5" s="2">
        <v>2021</v>
      </c>
      <c r="G5" s="9">
        <v>0.1692</v>
      </c>
      <c r="H5" s="2">
        <v>1</v>
      </c>
      <c r="I5" s="2">
        <v>1</v>
      </c>
      <c r="K5" s="26">
        <v>4000</v>
      </c>
      <c r="L5" s="26">
        <f>K5/100</f>
        <v>40</v>
      </c>
      <c r="M5" s="26">
        <v>4000</v>
      </c>
      <c r="N5" s="26">
        <f>M5/100</f>
        <v>40</v>
      </c>
      <c r="O5" s="26">
        <v>30</v>
      </c>
      <c r="P5" s="2">
        <v>1</v>
      </c>
      <c r="S5" s="33" t="s">
        <v>202</v>
      </c>
      <c r="T5" s="33" t="s">
        <v>203</v>
      </c>
      <c r="U5" s="33" t="s">
        <v>204</v>
      </c>
      <c r="V5" s="33" t="s">
        <v>205</v>
      </c>
      <c r="W5" s="33" t="s">
        <v>206</v>
      </c>
      <c r="X5" s="33" t="s">
        <v>207</v>
      </c>
      <c r="Y5" s="33" t="s">
        <v>208</v>
      </c>
      <c r="Z5" s="33" t="s">
        <v>209</v>
      </c>
      <c r="AA5" s="33" t="s">
        <v>210</v>
      </c>
    </row>
    <row r="6" s="2" customFormat="1" spans="3:27">
      <c r="C6" s="8" t="s">
        <v>656</v>
      </c>
      <c r="D6" s="8" t="s">
        <v>657</v>
      </c>
      <c r="E6" s="8" t="s">
        <v>658</v>
      </c>
      <c r="F6" s="2">
        <v>2021</v>
      </c>
      <c r="G6" s="9">
        <v>0.1692</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2" customFormat="1" spans="3:27">
      <c r="C7" s="8" t="s">
        <v>659</v>
      </c>
      <c r="D7" s="8" t="s">
        <v>200</v>
      </c>
      <c r="E7" s="8" t="s">
        <v>660</v>
      </c>
      <c r="F7" s="2">
        <v>2021</v>
      </c>
      <c r="G7" s="9">
        <v>0.6251</v>
      </c>
      <c r="H7" s="2">
        <v>1</v>
      </c>
      <c r="I7" s="2">
        <v>1</v>
      </c>
      <c r="K7" s="26">
        <v>4000</v>
      </c>
      <c r="L7" s="26">
        <f t="shared" si="0"/>
        <v>40</v>
      </c>
      <c r="M7" s="26">
        <v>4000</v>
      </c>
      <c r="N7" s="26">
        <f t="shared" si="1"/>
        <v>40</v>
      </c>
      <c r="O7" s="26">
        <v>30</v>
      </c>
      <c r="P7" s="2">
        <v>1</v>
      </c>
      <c r="S7" s="36" t="s">
        <v>38</v>
      </c>
      <c r="T7" s="30"/>
      <c r="U7" s="8" t="s">
        <v>654</v>
      </c>
      <c r="V7" s="36"/>
      <c r="W7" s="30" t="s">
        <v>661</v>
      </c>
      <c r="X7" s="30" t="s">
        <v>662</v>
      </c>
      <c r="Y7" s="30"/>
      <c r="Z7" s="30" t="s">
        <v>217</v>
      </c>
      <c r="AA7" s="30"/>
    </row>
    <row r="8" s="2" customFormat="1" spans="3:27">
      <c r="C8" s="8" t="s">
        <v>663</v>
      </c>
      <c r="D8" s="8" t="s">
        <v>657</v>
      </c>
      <c r="E8" s="8" t="s">
        <v>664</v>
      </c>
      <c r="F8" s="2">
        <v>2021</v>
      </c>
      <c r="G8" s="9">
        <v>0.6251</v>
      </c>
      <c r="H8" s="2">
        <v>1</v>
      </c>
      <c r="I8" s="2">
        <v>1</v>
      </c>
      <c r="K8" s="26">
        <v>4000</v>
      </c>
      <c r="L8" s="26">
        <f t="shared" si="0"/>
        <v>40</v>
      </c>
      <c r="M8" s="26">
        <v>4000</v>
      </c>
      <c r="N8" s="26">
        <f t="shared" si="1"/>
        <v>40</v>
      </c>
      <c r="O8" s="26">
        <v>30</v>
      </c>
      <c r="P8" s="2">
        <v>1</v>
      </c>
      <c r="S8" s="30"/>
      <c r="T8" s="30"/>
      <c r="U8" s="8" t="s">
        <v>656</v>
      </c>
      <c r="V8" s="36"/>
      <c r="W8" s="30" t="s">
        <v>661</v>
      </c>
      <c r="X8" s="30" t="s">
        <v>662</v>
      </c>
      <c r="Y8" s="30"/>
      <c r="Z8" s="30" t="s">
        <v>217</v>
      </c>
      <c r="AA8" s="30"/>
    </row>
    <row r="9" s="2" customFormat="1" spans="3:27">
      <c r="C9" s="8" t="s">
        <v>665</v>
      </c>
      <c r="D9" s="8" t="s">
        <v>213</v>
      </c>
      <c r="E9" s="8" t="s">
        <v>666</v>
      </c>
      <c r="F9" s="2">
        <v>2021</v>
      </c>
      <c r="G9" s="2">
        <f>1/0.31</f>
        <v>3.2258064516129</v>
      </c>
      <c r="H9" s="2">
        <v>1</v>
      </c>
      <c r="I9" s="2">
        <v>1</v>
      </c>
      <c r="K9" s="26">
        <v>4000</v>
      </c>
      <c r="L9" s="26">
        <f t="shared" si="0"/>
        <v>40</v>
      </c>
      <c r="M9" s="26">
        <v>4000</v>
      </c>
      <c r="N9" s="26">
        <f t="shared" si="1"/>
        <v>40</v>
      </c>
      <c r="O9" s="26">
        <v>30</v>
      </c>
      <c r="P9" s="2">
        <v>1</v>
      </c>
      <c r="S9" s="30"/>
      <c r="T9" s="30"/>
      <c r="U9" s="8" t="s">
        <v>659</v>
      </c>
      <c r="V9" s="36"/>
      <c r="W9" s="30" t="s">
        <v>667</v>
      </c>
      <c r="X9" s="30" t="s">
        <v>668</v>
      </c>
      <c r="Y9" s="30"/>
      <c r="Z9" s="30" t="s">
        <v>217</v>
      </c>
      <c r="AA9" s="30"/>
    </row>
    <row r="10" s="2" customFormat="1" spans="3:27">
      <c r="C10" s="8"/>
      <c r="D10" s="8" t="s">
        <v>669</v>
      </c>
      <c r="E10" s="8"/>
      <c r="K10" s="26"/>
      <c r="L10" s="26"/>
      <c r="M10" s="26"/>
      <c r="N10" s="26"/>
      <c r="O10" s="26"/>
      <c r="S10" s="30"/>
      <c r="T10" s="30"/>
      <c r="U10" s="8" t="s">
        <v>663</v>
      </c>
      <c r="V10" s="36"/>
      <c r="W10" s="30" t="s">
        <v>667</v>
      </c>
      <c r="X10" s="30" t="s">
        <v>668</v>
      </c>
      <c r="Y10" s="30"/>
      <c r="Z10" s="30" t="s">
        <v>217</v>
      </c>
      <c r="AA10" s="30"/>
    </row>
    <row r="11" s="2" customFormat="1" spans="3:27">
      <c r="C11" s="8" t="s">
        <v>670</v>
      </c>
      <c r="D11" s="8" t="s">
        <v>213</v>
      </c>
      <c r="E11" s="8" t="s">
        <v>671</v>
      </c>
      <c r="F11" s="2">
        <v>2021</v>
      </c>
      <c r="G11" s="9">
        <v>0.04</v>
      </c>
      <c r="H11" s="2">
        <v>1</v>
      </c>
      <c r="I11" s="2">
        <v>1</v>
      </c>
      <c r="K11" s="26">
        <v>4000</v>
      </c>
      <c r="L11" s="26">
        <f t="shared" si="0"/>
        <v>40</v>
      </c>
      <c r="M11" s="26">
        <v>4000</v>
      </c>
      <c r="N11" s="26">
        <f t="shared" ref="N11:N12" si="2">M11/100</f>
        <v>40</v>
      </c>
      <c r="O11" s="26">
        <v>30</v>
      </c>
      <c r="P11" s="2">
        <v>1</v>
      </c>
      <c r="S11" s="30"/>
      <c r="T11" s="30"/>
      <c r="U11" s="8" t="s">
        <v>665</v>
      </c>
      <c r="V11" s="36"/>
      <c r="W11" s="30" t="s">
        <v>667</v>
      </c>
      <c r="X11" s="30" t="s">
        <v>668</v>
      </c>
      <c r="Y11" s="30"/>
      <c r="Z11" s="30" t="s">
        <v>217</v>
      </c>
      <c r="AA11" s="30"/>
    </row>
    <row r="12" s="2" customFormat="1" spans="3:27">
      <c r="C12" s="8" t="s">
        <v>672</v>
      </c>
      <c r="D12" s="8" t="s">
        <v>213</v>
      </c>
      <c r="E12" s="8" t="s">
        <v>673</v>
      </c>
      <c r="F12" s="2">
        <v>2021</v>
      </c>
      <c r="G12" s="9">
        <v>0.12</v>
      </c>
      <c r="H12" s="2">
        <v>1</v>
      </c>
      <c r="I12" s="2">
        <v>1</v>
      </c>
      <c r="K12" s="26">
        <v>4000</v>
      </c>
      <c r="L12" s="26">
        <f t="shared" si="0"/>
        <v>40</v>
      </c>
      <c r="M12" s="26">
        <v>4000</v>
      </c>
      <c r="N12" s="26">
        <f t="shared" si="2"/>
        <v>40</v>
      </c>
      <c r="O12" s="26">
        <v>30</v>
      </c>
      <c r="P12" s="2">
        <v>1</v>
      </c>
      <c r="S12" s="37"/>
      <c r="T12" s="37"/>
      <c r="U12" s="8" t="s">
        <v>670</v>
      </c>
      <c r="V12" s="38"/>
      <c r="W12" s="30" t="s">
        <v>667</v>
      </c>
      <c r="X12" s="30" t="s">
        <v>668</v>
      </c>
      <c r="Y12" s="30"/>
      <c r="Z12" s="30" t="s">
        <v>217</v>
      </c>
      <c r="AA12" s="37"/>
    </row>
    <row r="13" spans="3:27">
      <c r="C13" s="10"/>
      <c r="D13" s="10"/>
      <c r="H13" s="11"/>
      <c r="K13" s="17"/>
      <c r="L13" s="17"/>
      <c r="M13" s="17"/>
      <c r="N13" s="17"/>
      <c r="O13" s="17"/>
      <c r="T13" s="10"/>
      <c r="U13" s="10" t="s">
        <v>672</v>
      </c>
      <c r="V13" s="39"/>
      <c r="W13" s="40" t="s">
        <v>661</v>
      </c>
      <c r="X13" s="40" t="s">
        <v>662</v>
      </c>
      <c r="Y13" s="40"/>
      <c r="Z13" s="40" t="s">
        <v>217</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652</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674</v>
      </c>
      <c r="D18" s="10" t="s">
        <v>255</v>
      </c>
      <c r="E18" s="10" t="s">
        <v>671</v>
      </c>
      <c r="F18">
        <v>2021</v>
      </c>
      <c r="G18" s="16">
        <v>0.04</v>
      </c>
      <c r="H18" s="17">
        <v>4000</v>
      </c>
      <c r="I18" s="17">
        <f>H18/100</f>
        <v>40</v>
      </c>
      <c r="J18" s="17">
        <f>H18*95%</f>
        <v>3800</v>
      </c>
      <c r="K18" s="17">
        <f>H18*90%</f>
        <v>3600</v>
      </c>
      <c r="L18" s="17">
        <f t="shared" ref="L18:L19" si="3">K18/100</f>
        <v>36</v>
      </c>
      <c r="M18" s="17">
        <v>30</v>
      </c>
      <c r="N18">
        <v>1</v>
      </c>
    </row>
    <row r="19" spans="3:14">
      <c r="C19" s="10" t="s">
        <v>675</v>
      </c>
      <c r="D19" s="10" t="s">
        <v>255</v>
      </c>
      <c r="E19" s="10" t="s">
        <v>673</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653</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675</v>
      </c>
      <c r="E32" s="23" t="s">
        <v>676</v>
      </c>
      <c r="F32" s="23" t="s">
        <v>677</v>
      </c>
      <c r="G32" s="23" t="s">
        <v>678</v>
      </c>
      <c r="H32" s="23"/>
      <c r="I32" s="23"/>
      <c r="J32" s="23"/>
    </row>
    <row r="33" spans="3:10">
      <c r="C33" s="23"/>
      <c r="D33" s="10" t="s">
        <v>674</v>
      </c>
      <c r="E33" s="23" t="s">
        <v>679</v>
      </c>
      <c r="F33" s="23" t="s">
        <v>680</v>
      </c>
      <c r="G33" s="23" t="s">
        <v>681</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98474074526"/>
  </sheetPr>
  <dimension ref="A1:A2"/>
  <sheetViews>
    <sheetView workbookViewId="0">
      <selection activeCell="P34" sqref="P34"/>
    </sheetView>
  </sheetViews>
  <sheetFormatPr defaultColWidth="8.72727272727273" defaultRowHeight="14.5" outlineLevelRow="1"/>
  <sheetData>
    <row r="1" spans="1:1">
      <c r="A1" t="s">
        <v>682</v>
      </c>
    </row>
    <row r="2" spans="1:1">
      <c r="A2" s="1" t="s">
        <v>683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2025-02-26T23:37:48Z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