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/>
  </bookViews>
  <sheets>
    <sheet name="cnz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xli9</author>
  </authors>
  <commentList>
    <comment ref="A5" authorId="0">
      <text>
        <r>
          <rPr>
            <b/>
            <sz val="8"/>
            <rFont val="Tahoma"/>
            <charset val="134"/>
          </rPr>
          <t>Insert Table</t>
        </r>
      </text>
    </comment>
    <comment ref="A43" authorId="0">
      <text>
        <r>
          <rPr>
            <b/>
            <sz val="8"/>
            <rFont val="Tahoma"/>
            <charset val="134"/>
          </rPr>
          <t>Insert Table</t>
        </r>
      </text>
    </comment>
    <comment ref="E55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proportion/decreasing trand same with CEF2023, but the exact CAPEX not same because we seperated natural gas generations and CCUS</t>
        </r>
      </text>
    </comment>
    <comment ref="F101" authorId="1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Typical space heating efficiency is below 100% (except heat pump). So if we directly multiply 180% it will go beyond 100% so we just impose =1 here</t>
        </r>
      </text>
    </comment>
    <comment ref="F102" authorId="1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It is expressed by using COP, so the EFF can go beyond 100%, which is why we directly impose *1.8 here [it excludes heat pump cooling which start with R_ES-HETSC-*]</t>
        </r>
      </text>
    </comment>
  </commentList>
</comments>
</file>

<file path=xl/sharedStrings.xml><?xml version="1.0" encoding="utf-8"?>
<sst xmlns="http://schemas.openxmlformats.org/spreadsheetml/2006/main" count="234" uniqueCount="79">
  <si>
    <t xml:space="preserve">*We have updated the learning curves for DAC and CCUS under CNZ </t>
  </si>
  <si>
    <t>*Should be noted that hyd-ps cost doesn't change anymore</t>
  </si>
  <si>
    <t>~TFM_UPD</t>
  </si>
  <si>
    <t>TimeSlice</t>
  </si>
  <si>
    <t>LimType</t>
  </si>
  <si>
    <t>Attribute</t>
  </si>
  <si>
    <t>Year</t>
  </si>
  <si>
    <t>AllRegions</t>
  </si>
  <si>
    <t>Pset_PN</t>
  </si>
  <si>
    <r>
      <rPr>
        <b/>
        <sz val="10.5"/>
        <color rgb="FF333333"/>
        <rFont val="Tahoma"/>
        <charset val="134"/>
      </rPr>
      <t>sourcescen</t>
    </r>
    <r>
      <rPr>
        <sz val="10.5"/>
        <color rgb="FF333333"/>
        <rFont val="Tahoma"/>
        <charset val="134"/>
      </rPr>
      <t> </t>
    </r>
  </si>
  <si>
    <t>INVCOST</t>
  </si>
  <si>
    <t>*0.7111</t>
  </si>
  <si>
    <t>TRA_Bus_*BEV01</t>
  </si>
  <si>
    <t>NewTechForOtherSec</t>
  </si>
  <si>
    <t>*Original is decrease to 90%</t>
  </si>
  <si>
    <t>*</t>
  </si>
  <si>
    <t>TRA_Bus_*PHEV01</t>
  </si>
  <si>
    <t>TRA_Bus_*HEV01</t>
  </si>
  <si>
    <t>TRA_Mot_ELC1</t>
  </si>
  <si>
    <t>TRA_Rai_Pas-ELC01</t>
  </si>
  <si>
    <t>TRA_Rai_Frt-ELC01</t>
  </si>
  <si>
    <t>TRA_Car_BEV01</t>
  </si>
  <si>
    <t>TRA_Car_PHEV01</t>
  </si>
  <si>
    <t>TRA_Car_HEV01</t>
  </si>
  <si>
    <t>TRA_Tru_BEV01</t>
  </si>
  <si>
    <t>TRA_Tru_PHEV01</t>
  </si>
  <si>
    <t>TRA_Tru_HEV01</t>
  </si>
  <si>
    <t>*0.757895</t>
  </si>
  <si>
    <t>*0.466667</t>
  </si>
  <si>
    <t>*PV*</t>
  </si>
  <si>
    <t>11_TECHS_Power</t>
  </si>
  <si>
    <t>*CSP*</t>
  </si>
  <si>
    <t>*0.975438596</t>
  </si>
  <si>
    <t>EEPP_windON01</t>
  </si>
  <si>
    <t>*0.631579</t>
  </si>
  <si>
    <t>*0.853753818</t>
  </si>
  <si>
    <t>E*naturalgas*</t>
  </si>
  <si>
    <t>*0.755555556</t>
  </si>
  <si>
    <t>*0.86315789</t>
  </si>
  <si>
    <t>SBIOH2G*</t>
  </si>
  <si>
    <t>15_TECHS_HYDROGEN</t>
  </si>
  <si>
    <t>Hydrogen: Biomass-Capital cost declines 18% by 2030 and 25% by 2050.</t>
  </si>
  <si>
    <t>*0.83333333</t>
  </si>
  <si>
    <t>*0.78947368</t>
  </si>
  <si>
    <t>SGASH2R*</t>
  </si>
  <si>
    <t>Hydrogen: NG-Capital cost declines 25% by 2030 and 40% by 2050.</t>
  </si>
  <si>
    <t>*0.66666667</t>
  </si>
  <si>
    <t>SCOAH2G*</t>
  </si>
  <si>
    <t>Hydrogen: Coal , we assume same reduction with NG</t>
  </si>
  <si>
    <t>*0.273684211</t>
  </si>
  <si>
    <t>SELCH2*</t>
  </si>
  <si>
    <t>Hydrogen: Ele: Capital cost declines 74% by 2030 and 82% by 2050.</t>
  </si>
  <si>
    <t>*0.2</t>
  </si>
  <si>
    <t>*0.976737</t>
  </si>
  <si>
    <t>*1.43425</t>
  </si>
  <si>
    <t>STGHTH01</t>
  </si>
  <si>
    <t>STGHTH02</t>
  </si>
  <si>
    <t>*BATS*</t>
  </si>
  <si>
    <t>14_TECHS_STORAGE</t>
  </si>
  <si>
    <t>*CAESS*</t>
  </si>
  <si>
    <t>*1</t>
  </si>
  <si>
    <t>*HYDPS*</t>
  </si>
  <si>
    <t>*1.68</t>
  </si>
  <si>
    <t>SNK_*</t>
  </si>
  <si>
    <t>23_TECHS_CCUS</t>
  </si>
  <si>
    <t>SINKCCU</t>
  </si>
  <si>
    <t>*0.64</t>
  </si>
  <si>
    <t>*_HET1</t>
  </si>
  <si>
    <t>Heat pump</t>
  </si>
  <si>
    <t>*0.87</t>
  </si>
  <si>
    <t>EFF</t>
  </si>
  <si>
    <t>R_ES_SH*1</t>
  </si>
  <si>
    <t>Building shell: Efficiency of new buildings improves 80% by 2050.</t>
  </si>
  <si>
    <t>*1.8</t>
  </si>
  <si>
    <t>R_ES_SC*1</t>
  </si>
  <si>
    <t>*0.948754958</t>
  </si>
  <si>
    <t>ENCAN01</t>
  </si>
  <si>
    <t>*0.782048514</t>
  </si>
  <si>
    <t>ENCAN01_SMR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</si>
</sst>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6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0.5"/>
      <color rgb="FF333333"/>
      <name val="Tahoma"/>
      <charset val="134"/>
    </font>
    <font>
      <sz val="8"/>
      <color rgb="FF000000"/>
      <name val="Segoe UI"/>
      <charset val="134"/>
    </font>
    <font>
      <sz val="8"/>
      <color rgb="FF3974D2"/>
      <name val="Segoe UI"/>
      <charset val="134"/>
    </font>
    <font>
      <sz val="11"/>
      <color indexed="8"/>
      <name val="Calibri"/>
      <charset val="134"/>
    </font>
    <font>
      <sz val="10"/>
      <name val="Arial"/>
      <charset val="0"/>
    </font>
    <font>
      <sz val="10"/>
      <name val="Arial"/>
      <charset val="0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.5"/>
      <color rgb="FF333333"/>
      <name val="Tahoma"/>
      <charset val="134"/>
    </font>
    <font>
      <b/>
      <sz val="8"/>
      <name val="Tahoma"/>
      <charset val="134"/>
    </font>
    <font>
      <sz val="9"/>
      <name val="Times New Roman"/>
      <charset val="134"/>
    </font>
    <font>
      <b/>
      <sz val="9"/>
      <name val="Times New Roman"/>
      <charset val="0"/>
    </font>
    <font>
      <sz val="9"/>
      <name val="Times New Roman"/>
      <charset val="0"/>
    </font>
    <font>
      <b/>
      <sz val="9"/>
      <name val="Times New Roman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CAC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9" borderId="7" applyNumberFormat="0" applyAlignment="0" applyProtection="0">
      <alignment vertical="center"/>
    </xf>
    <xf numFmtId="0" fontId="20" fillId="10" borderId="8" applyNumberFormat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22" fillId="11" borderId="9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35">
    <xf numFmtId="0" fontId="0" fillId="0" borderId="0" xfId="0"/>
    <xf numFmtId="0" fontId="1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3" fillId="2" borderId="1" xfId="0" applyFont="1" applyFill="1" applyBorder="1" applyAlignment="1"/>
    <xf numFmtId="0" fontId="4" fillId="0" borderId="0" xfId="0" applyFont="1"/>
    <xf numFmtId="0" fontId="2" fillId="2" borderId="2" xfId="50" applyFont="1" applyFill="1" applyBorder="1" applyAlignment="1">
      <alignment horizontal="right" vertical="center"/>
    </xf>
    <xf numFmtId="0" fontId="0" fillId="0" borderId="0" xfId="49"/>
    <xf numFmtId="0" fontId="5" fillId="0" borderId="0" xfId="0" applyFont="1"/>
    <xf numFmtId="0" fontId="0" fillId="0" borderId="0" xfId="49" applyFont="1"/>
    <xf numFmtId="0" fontId="3" fillId="4" borderId="0" xfId="0" applyNumberFormat="1" applyFont="1" applyFill="1" applyBorder="1" applyAlignment="1" applyProtection="1"/>
    <xf numFmtId="0" fontId="6" fillId="0" borderId="0" xfId="0" applyFont="1"/>
    <xf numFmtId="0" fontId="7" fillId="0" borderId="0" xfId="0" applyFont="1" applyFill="1" applyBorder="1" applyAlignment="1"/>
    <xf numFmtId="0" fontId="3" fillId="0" borderId="0" xfId="0" applyNumberFormat="1" applyFont="1" applyFill="1" applyBorder="1" applyAlignment="1" applyProtection="1"/>
    <xf numFmtId="0" fontId="5" fillId="5" borderId="3" xfId="0" applyFont="1" applyFill="1" applyBorder="1" applyAlignment="1">
      <alignment horizontal="center" wrapText="1"/>
    </xf>
    <xf numFmtId="0" fontId="3" fillId="0" borderId="2" xfId="50" applyFont="1" applyFill="1" applyBorder="1" applyAlignment="1">
      <alignment horizontal="right" vertical="center"/>
    </xf>
    <xf numFmtId="0" fontId="0" fillId="0" borderId="0" xfId="0" applyFill="1" applyBorder="1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0" fillId="0" borderId="0" xfId="0" applyFont="1" applyFill="1" applyBorder="1" applyAlignment="1"/>
    <xf numFmtId="0" fontId="0" fillId="6" borderId="0" xfId="0" applyFill="1"/>
    <xf numFmtId="0" fontId="0" fillId="0" borderId="0" xfId="0" applyBorder="1"/>
    <xf numFmtId="0" fontId="3" fillId="0" borderId="0" xfId="0" applyFont="1" applyFill="1" applyAlignment="1">
      <alignment vertical="center"/>
    </xf>
    <xf numFmtId="0" fontId="0" fillId="6" borderId="0" xfId="0" applyFont="1" applyFill="1" applyAlignment="1"/>
    <xf numFmtId="0" fontId="2" fillId="0" borderId="2" xfId="0" applyNumberFormat="1" applyFont="1" applyFill="1" applyBorder="1" applyAlignment="1" applyProtection="1">
      <alignment horizontal="right" vertical="center"/>
    </xf>
    <xf numFmtId="0" fontId="7" fillId="0" borderId="0" xfId="0" applyNumberFormat="1" applyFont="1" applyFill="1" applyBorder="1" applyAlignment="1" applyProtection="1"/>
    <xf numFmtId="0" fontId="6" fillId="7" borderId="0" xfId="0" applyFont="1" applyFill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1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1 2 2" xfId="49"/>
    <cellStyle name="Normal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11</xdr:row>
      <xdr:rowOff>0</xdr:rowOff>
    </xdr:from>
    <xdr:to>
      <xdr:col>35</xdr:col>
      <xdr:colOff>424745</xdr:colOff>
      <xdr:row>19</xdr:row>
      <xdr:rowOff>12700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401800" y="2035175"/>
          <a:ext cx="16927830" cy="1485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7"/>
  <sheetViews>
    <sheetView tabSelected="1" workbookViewId="0">
      <selection activeCell="G113" sqref="G113"/>
    </sheetView>
  </sheetViews>
  <sheetFormatPr defaultColWidth="8.72727272727273" defaultRowHeight="14.5"/>
  <cols>
    <col min="1" max="1" width="60.5454545454545" customWidth="1"/>
    <col min="3" max="3" width="15.2727272727273" customWidth="1"/>
    <col min="4" max="4" width="11.3636363636364" customWidth="1"/>
    <col min="5" max="5" width="13.5454545454545" customWidth="1"/>
    <col min="6" max="6" width="18.7272727272727" customWidth="1"/>
    <col min="10" max="11" width="12.8181818181818"/>
    <col min="15" max="15" width="61.7272727272727" customWidth="1"/>
  </cols>
  <sheetData>
    <row r="1" spans="10:10">
      <c r="J1" s="22" t="s">
        <v>0</v>
      </c>
    </row>
    <row r="2" spans="10:10">
      <c r="J2" s="22" t="s">
        <v>1</v>
      </c>
    </row>
    <row r="5" spans="1:6">
      <c r="A5" s="1" t="s">
        <v>2</v>
      </c>
      <c r="B5" s="2"/>
      <c r="C5" s="2"/>
      <c r="D5" s="2"/>
      <c r="E5" s="2"/>
      <c r="F5" s="3"/>
    </row>
    <row r="6" ht="15.25" spans="1:7">
      <c r="A6" s="4" t="s">
        <v>3</v>
      </c>
      <c r="B6" s="4" t="s">
        <v>4</v>
      </c>
      <c r="C6" s="4" t="s">
        <v>5</v>
      </c>
      <c r="D6" s="4" t="s">
        <v>6</v>
      </c>
      <c r="E6" s="5" t="s">
        <v>7</v>
      </c>
      <c r="F6" s="6" t="s">
        <v>8</v>
      </c>
      <c r="G6" s="7" t="s">
        <v>9</v>
      </c>
    </row>
    <row r="7" spans="1:13">
      <c r="A7" s="2"/>
      <c r="B7" s="2"/>
      <c r="C7" s="8" t="s">
        <v>10</v>
      </c>
      <c r="D7" s="2">
        <v>2050</v>
      </c>
      <c r="E7" s="2" t="s">
        <v>11</v>
      </c>
      <c r="F7" s="9" t="s">
        <v>12</v>
      </c>
      <c r="G7" s="10" t="s">
        <v>13</v>
      </c>
      <c r="J7">
        <f>64/90</f>
        <v>0.711111111111111</v>
      </c>
      <c r="K7" s="2">
        <f>2100/1.229</f>
        <v>1708.70626525631</v>
      </c>
      <c r="L7" s="2" t="e">
        <f>#REF!</f>
        <v>#REF!</v>
      </c>
      <c r="M7" t="s">
        <v>14</v>
      </c>
    </row>
    <row r="8" spans="1:12">
      <c r="A8" s="2"/>
      <c r="B8" s="2"/>
      <c r="C8" s="8" t="s">
        <v>15</v>
      </c>
      <c r="D8" s="2"/>
      <c r="E8" s="2" t="str">
        <f t="shared" ref="E8:E18" si="0">E7</f>
        <v>*0.7111</v>
      </c>
      <c r="F8" s="9" t="s">
        <v>16</v>
      </c>
      <c r="G8" s="10" t="s">
        <v>13</v>
      </c>
      <c r="J8">
        <f t="shared" ref="J8:J18" si="1">64/90</f>
        <v>0.711111111111111</v>
      </c>
      <c r="K8" s="2">
        <f>2100/1.229</f>
        <v>1708.70626525631</v>
      </c>
      <c r="L8" s="2" t="e">
        <f>#REF!</f>
        <v>#REF!</v>
      </c>
    </row>
    <row r="9" spans="1:12">
      <c r="A9" s="2"/>
      <c r="B9" s="2"/>
      <c r="C9" s="8" t="s">
        <v>15</v>
      </c>
      <c r="D9" s="2"/>
      <c r="E9" s="2" t="str">
        <f t="shared" si="0"/>
        <v>*0.7111</v>
      </c>
      <c r="F9" s="9" t="s">
        <v>17</v>
      </c>
      <c r="G9" s="10" t="s">
        <v>13</v>
      </c>
      <c r="J9">
        <f t="shared" si="1"/>
        <v>0.711111111111111</v>
      </c>
      <c r="K9" s="2">
        <f>K8</f>
        <v>1708.70626525631</v>
      </c>
      <c r="L9" s="2" t="e">
        <f>#REF!</f>
        <v>#REF!</v>
      </c>
    </row>
    <row r="10" spans="1:12">
      <c r="A10" s="2"/>
      <c r="B10" s="2"/>
      <c r="C10" s="8" t="s">
        <v>10</v>
      </c>
      <c r="D10" s="2">
        <v>2050</v>
      </c>
      <c r="E10" s="2" t="str">
        <f t="shared" si="0"/>
        <v>*0.7111</v>
      </c>
      <c r="F10" s="9" t="s">
        <v>18</v>
      </c>
      <c r="G10" s="10" t="s">
        <v>13</v>
      </c>
      <c r="J10">
        <f t="shared" si="1"/>
        <v>0.711111111111111</v>
      </c>
      <c r="L10" s="2"/>
    </row>
    <row r="11" spans="1:10">
      <c r="A11" s="2"/>
      <c r="B11" s="2"/>
      <c r="C11" s="8" t="s">
        <v>10</v>
      </c>
      <c r="D11" s="2">
        <v>2050</v>
      </c>
      <c r="E11" s="2" t="str">
        <f t="shared" si="0"/>
        <v>*0.7111</v>
      </c>
      <c r="F11" s="9" t="s">
        <v>19</v>
      </c>
      <c r="G11" s="10" t="s">
        <v>13</v>
      </c>
      <c r="J11">
        <f t="shared" si="1"/>
        <v>0.711111111111111</v>
      </c>
    </row>
    <row r="12" spans="1:10">
      <c r="A12" s="2"/>
      <c r="B12" s="2"/>
      <c r="C12" s="8" t="s">
        <v>10</v>
      </c>
      <c r="D12" s="2">
        <v>2050</v>
      </c>
      <c r="E12" s="2" t="str">
        <f t="shared" si="0"/>
        <v>*0.7111</v>
      </c>
      <c r="F12" s="9" t="s">
        <v>20</v>
      </c>
      <c r="G12" s="10" t="s">
        <v>13</v>
      </c>
      <c r="J12">
        <f t="shared" si="1"/>
        <v>0.711111111111111</v>
      </c>
    </row>
    <row r="13" spans="1:10">
      <c r="A13" s="2"/>
      <c r="B13" s="2"/>
      <c r="C13" s="8" t="s">
        <v>10</v>
      </c>
      <c r="D13" s="2">
        <v>2050</v>
      </c>
      <c r="E13" s="2" t="str">
        <f t="shared" si="0"/>
        <v>*0.7111</v>
      </c>
      <c r="F13" s="11" t="s">
        <v>21</v>
      </c>
      <c r="G13" s="10" t="s">
        <v>13</v>
      </c>
      <c r="J13">
        <f t="shared" si="1"/>
        <v>0.711111111111111</v>
      </c>
    </row>
    <row r="14" spans="1:10">
      <c r="A14" s="2"/>
      <c r="B14" s="2"/>
      <c r="C14" s="8" t="s">
        <v>10</v>
      </c>
      <c r="D14" s="2">
        <v>2050</v>
      </c>
      <c r="E14" s="2" t="str">
        <f t="shared" si="0"/>
        <v>*0.7111</v>
      </c>
      <c r="F14" s="11" t="s">
        <v>22</v>
      </c>
      <c r="G14" s="10" t="s">
        <v>13</v>
      </c>
      <c r="J14">
        <f t="shared" si="1"/>
        <v>0.711111111111111</v>
      </c>
    </row>
    <row r="15" spans="1:10">
      <c r="A15" s="2"/>
      <c r="B15" s="2"/>
      <c r="C15" s="8" t="s">
        <v>10</v>
      </c>
      <c r="D15" s="2">
        <v>2050</v>
      </c>
      <c r="E15" s="2" t="str">
        <f t="shared" si="0"/>
        <v>*0.7111</v>
      </c>
      <c r="F15" s="11" t="s">
        <v>23</v>
      </c>
      <c r="G15" s="10" t="s">
        <v>13</v>
      </c>
      <c r="J15">
        <f t="shared" si="1"/>
        <v>0.711111111111111</v>
      </c>
    </row>
    <row r="16" spans="1:10">
      <c r="A16" s="2"/>
      <c r="B16" s="2"/>
      <c r="C16" s="8" t="s">
        <v>10</v>
      </c>
      <c r="D16" s="2">
        <v>2050</v>
      </c>
      <c r="E16" s="2" t="str">
        <f t="shared" si="0"/>
        <v>*0.7111</v>
      </c>
      <c r="F16" s="11" t="s">
        <v>24</v>
      </c>
      <c r="G16" s="10" t="s">
        <v>13</v>
      </c>
      <c r="J16">
        <f t="shared" si="1"/>
        <v>0.711111111111111</v>
      </c>
    </row>
    <row r="17" spans="3:10">
      <c r="C17" s="8" t="s">
        <v>10</v>
      </c>
      <c r="D17" s="2">
        <v>2050</v>
      </c>
      <c r="E17" s="2" t="str">
        <f t="shared" si="0"/>
        <v>*0.7111</v>
      </c>
      <c r="F17" s="11" t="s">
        <v>25</v>
      </c>
      <c r="G17" s="10" t="s">
        <v>13</v>
      </c>
      <c r="J17">
        <f t="shared" si="1"/>
        <v>0.711111111111111</v>
      </c>
    </row>
    <row r="18" spans="3:10">
      <c r="C18" s="8" t="s">
        <v>10</v>
      </c>
      <c r="D18" s="2">
        <v>2050</v>
      </c>
      <c r="E18" s="2" t="str">
        <f t="shared" si="0"/>
        <v>*0.7111</v>
      </c>
      <c r="F18" s="11" t="s">
        <v>26</v>
      </c>
      <c r="G18" s="10" t="s">
        <v>13</v>
      </c>
      <c r="J18">
        <f t="shared" si="1"/>
        <v>0.711111111111111</v>
      </c>
    </row>
    <row r="19" spans="3:10">
      <c r="C19" s="8" t="s">
        <v>10</v>
      </c>
      <c r="D19" s="2">
        <v>2030</v>
      </c>
      <c r="E19" s="2" t="s">
        <v>27</v>
      </c>
      <c r="F19" s="9" t="str">
        <f>F7</f>
        <v>TRA_Bus_*BEV01</v>
      </c>
      <c r="G19" s="10" t="s">
        <v>13</v>
      </c>
      <c r="J19">
        <f>72/95</f>
        <v>0.757894736842105</v>
      </c>
    </row>
    <row r="20" spans="3:10">
      <c r="C20" s="8" t="s">
        <v>15</v>
      </c>
      <c r="D20" s="2">
        <v>2030</v>
      </c>
      <c r="E20" s="2" t="str">
        <f t="shared" ref="E20:E30" si="2">E19</f>
        <v>*0.757895</v>
      </c>
      <c r="F20" s="9" t="str">
        <f>F8</f>
        <v>TRA_Bus_*PHEV01</v>
      </c>
      <c r="G20" s="10" t="s">
        <v>13</v>
      </c>
      <c r="J20">
        <f t="shared" ref="J20:J30" si="3">72/95</f>
        <v>0.757894736842105</v>
      </c>
    </row>
    <row r="21" spans="3:10">
      <c r="C21" s="8" t="s">
        <v>15</v>
      </c>
      <c r="D21" s="2">
        <v>2030</v>
      </c>
      <c r="E21" s="2" t="str">
        <f t="shared" si="2"/>
        <v>*0.757895</v>
      </c>
      <c r="F21" s="9" t="str">
        <f>F9</f>
        <v>TRA_Bus_*HEV01</v>
      </c>
      <c r="G21" s="10" t="s">
        <v>13</v>
      </c>
      <c r="J21">
        <f t="shared" si="3"/>
        <v>0.757894736842105</v>
      </c>
    </row>
    <row r="22" spans="3:10">
      <c r="C22" s="8" t="s">
        <v>10</v>
      </c>
      <c r="D22" s="2">
        <v>2030</v>
      </c>
      <c r="E22" s="2" t="str">
        <f t="shared" si="2"/>
        <v>*0.757895</v>
      </c>
      <c r="F22" s="9" t="s">
        <v>18</v>
      </c>
      <c r="G22" s="10" t="s">
        <v>13</v>
      </c>
      <c r="J22">
        <f t="shared" si="3"/>
        <v>0.757894736842105</v>
      </c>
    </row>
    <row r="23" spans="3:10">
      <c r="C23" s="8" t="s">
        <v>10</v>
      </c>
      <c r="D23" s="2">
        <v>2030</v>
      </c>
      <c r="E23" s="2" t="str">
        <f t="shared" si="2"/>
        <v>*0.757895</v>
      </c>
      <c r="F23" s="9" t="s">
        <v>19</v>
      </c>
      <c r="G23" s="10" t="s">
        <v>13</v>
      </c>
      <c r="J23">
        <f t="shared" si="3"/>
        <v>0.757894736842105</v>
      </c>
    </row>
    <row r="24" spans="3:10">
      <c r="C24" s="8" t="s">
        <v>10</v>
      </c>
      <c r="D24" s="2">
        <v>2030</v>
      </c>
      <c r="E24" s="2" t="str">
        <f t="shared" si="2"/>
        <v>*0.757895</v>
      </c>
      <c r="F24" s="9" t="s">
        <v>20</v>
      </c>
      <c r="G24" s="10" t="s">
        <v>13</v>
      </c>
      <c r="J24">
        <f t="shared" si="3"/>
        <v>0.757894736842105</v>
      </c>
    </row>
    <row r="25" spans="3:10">
      <c r="C25" s="8" t="s">
        <v>10</v>
      </c>
      <c r="D25" s="2">
        <v>2030</v>
      </c>
      <c r="E25" s="2" t="str">
        <f t="shared" si="2"/>
        <v>*0.757895</v>
      </c>
      <c r="F25" s="11" t="s">
        <v>21</v>
      </c>
      <c r="G25" s="10" t="s">
        <v>13</v>
      </c>
      <c r="J25">
        <f t="shared" si="3"/>
        <v>0.757894736842105</v>
      </c>
    </row>
    <row r="26" spans="3:10">
      <c r="C26" s="8" t="s">
        <v>10</v>
      </c>
      <c r="D26" s="2">
        <v>2030</v>
      </c>
      <c r="E26" s="2" t="str">
        <f t="shared" si="2"/>
        <v>*0.757895</v>
      </c>
      <c r="F26" s="11" t="s">
        <v>22</v>
      </c>
      <c r="G26" s="10" t="s">
        <v>13</v>
      </c>
      <c r="J26">
        <f t="shared" si="3"/>
        <v>0.757894736842105</v>
      </c>
    </row>
    <row r="27" spans="3:10">
      <c r="C27" s="8" t="s">
        <v>10</v>
      </c>
      <c r="D27" s="2">
        <v>2030</v>
      </c>
      <c r="E27" s="2" t="str">
        <f t="shared" si="2"/>
        <v>*0.757895</v>
      </c>
      <c r="F27" s="11" t="s">
        <v>23</v>
      </c>
      <c r="G27" s="10" t="s">
        <v>13</v>
      </c>
      <c r="J27">
        <f t="shared" si="3"/>
        <v>0.757894736842105</v>
      </c>
    </row>
    <row r="28" spans="3:10">
      <c r="C28" s="8" t="s">
        <v>10</v>
      </c>
      <c r="D28" s="2">
        <v>2030</v>
      </c>
      <c r="E28" s="2" t="str">
        <f t="shared" si="2"/>
        <v>*0.757895</v>
      </c>
      <c r="F28" s="11" t="s">
        <v>24</v>
      </c>
      <c r="G28" s="10" t="s">
        <v>13</v>
      </c>
      <c r="J28">
        <f t="shared" si="3"/>
        <v>0.757894736842105</v>
      </c>
    </row>
    <row r="29" spans="3:10">
      <c r="C29" s="8" t="s">
        <v>10</v>
      </c>
      <c r="D29" s="2">
        <v>2030</v>
      </c>
      <c r="E29" s="2" t="str">
        <f t="shared" si="2"/>
        <v>*0.757895</v>
      </c>
      <c r="F29" s="11" t="s">
        <v>25</v>
      </c>
      <c r="G29" s="10" t="s">
        <v>13</v>
      </c>
      <c r="J29">
        <f t="shared" si="3"/>
        <v>0.757894736842105</v>
      </c>
    </row>
    <row r="30" spans="3:10">
      <c r="C30" s="8" t="s">
        <v>10</v>
      </c>
      <c r="D30" s="2">
        <v>2030</v>
      </c>
      <c r="E30" s="2" t="str">
        <f t="shared" si="2"/>
        <v>*0.757895</v>
      </c>
      <c r="F30" s="11" t="s">
        <v>26</v>
      </c>
      <c r="G30" s="10" t="s">
        <v>13</v>
      </c>
      <c r="J30">
        <f t="shared" si="3"/>
        <v>0.757894736842105</v>
      </c>
    </row>
    <row r="31" spans="2:7">
      <c r="B31" s="2"/>
      <c r="C31" s="8" t="s">
        <v>15</v>
      </c>
      <c r="D31" s="2"/>
      <c r="F31" s="12"/>
      <c r="G31" s="13"/>
    </row>
    <row r="32" spans="2:7">
      <c r="B32" s="2"/>
      <c r="C32" s="8" t="s">
        <v>15</v>
      </c>
      <c r="D32" s="2"/>
      <c r="E32" s="2"/>
      <c r="F32" s="14"/>
      <c r="G32" s="13"/>
    </row>
    <row r="33" spans="2:7">
      <c r="B33" s="2"/>
      <c r="C33" s="8" t="s">
        <v>15</v>
      </c>
      <c r="D33" s="2"/>
      <c r="E33" s="2"/>
      <c r="F33" s="14"/>
      <c r="G33" s="13"/>
    </row>
    <row r="34" spans="2:7">
      <c r="B34" s="2"/>
      <c r="C34" s="8" t="s">
        <v>15</v>
      </c>
      <c r="D34" s="2"/>
      <c r="E34" s="2"/>
      <c r="F34" s="14"/>
      <c r="G34" s="13"/>
    </row>
    <row r="35" spans="2:6">
      <c r="B35" s="2"/>
      <c r="C35" s="8" t="s">
        <v>15</v>
      </c>
      <c r="D35" s="2"/>
      <c r="E35" s="2"/>
      <c r="F35" s="14"/>
    </row>
    <row r="36" ht="15.25" spans="2:6">
      <c r="B36" s="2"/>
      <c r="C36" s="8" t="s">
        <v>15</v>
      </c>
      <c r="D36" s="2"/>
      <c r="E36" s="2"/>
      <c r="F36" s="14"/>
    </row>
    <row r="37" ht="23.75" spans="2:10">
      <c r="B37" s="2"/>
      <c r="C37" s="8" t="s">
        <v>10</v>
      </c>
      <c r="D37" s="2">
        <v>2050</v>
      </c>
      <c r="E37" s="2" t="s">
        <v>28</v>
      </c>
      <c r="F37" s="15" t="s">
        <v>29</v>
      </c>
      <c r="G37" s="16" t="s">
        <v>30</v>
      </c>
      <c r="J37">
        <f t="shared" ref="J37" si="4">42/90</f>
        <v>0.466666666666667</v>
      </c>
    </row>
    <row r="38" spans="2:7">
      <c r="B38" s="2"/>
      <c r="C38" s="8" t="str">
        <f t="shared" ref="C38:G38" si="5">C37</f>
        <v>INVCOST</v>
      </c>
      <c r="D38" s="17">
        <f t="shared" si="5"/>
        <v>2050</v>
      </c>
      <c r="E38" s="17" t="str">
        <f t="shared" si="5"/>
        <v>*0.466667</v>
      </c>
      <c r="F38" s="14" t="s">
        <v>31</v>
      </c>
      <c r="G38" t="str">
        <f t="shared" si="5"/>
        <v>11_TECHS_Power</v>
      </c>
    </row>
    <row r="39" spans="2:6">
      <c r="B39" s="2"/>
      <c r="C39" s="8" t="s">
        <v>15</v>
      </c>
      <c r="D39" s="2"/>
      <c r="E39" s="2"/>
      <c r="F39" s="14"/>
    </row>
    <row r="40" spans="2:6">
      <c r="B40" s="2"/>
      <c r="C40" s="8" t="s">
        <v>15</v>
      </c>
      <c r="D40" s="2"/>
      <c r="E40" s="2"/>
      <c r="F40" s="14"/>
    </row>
    <row r="41" spans="3:6">
      <c r="C41" s="8" t="s">
        <v>15</v>
      </c>
      <c r="D41" s="2"/>
      <c r="E41" s="2"/>
      <c r="F41" s="14"/>
    </row>
    <row r="42" spans="1:6">
      <c r="A42" s="18"/>
      <c r="C42" s="8" t="s">
        <v>15</v>
      </c>
      <c r="D42" s="2"/>
      <c r="E42" s="2"/>
      <c r="F42" s="14"/>
    </row>
    <row r="43" spans="1:6">
      <c r="A43" s="19"/>
      <c r="C43" s="8" t="s">
        <v>15</v>
      </c>
      <c r="D43" s="2"/>
      <c r="E43" s="2"/>
      <c r="F43" s="14"/>
    </row>
    <row r="44" spans="1:6">
      <c r="A44" s="20"/>
      <c r="C44" s="8" t="s">
        <v>15</v>
      </c>
      <c r="D44" s="2"/>
      <c r="F44" s="12"/>
    </row>
    <row r="45" ht="15.25" spans="1:6">
      <c r="A45" s="21"/>
      <c r="C45" s="8" t="s">
        <v>15</v>
      </c>
      <c r="D45" s="2"/>
      <c r="F45" s="14"/>
    </row>
    <row r="46" ht="23.75" spans="1:10">
      <c r="A46" s="21"/>
      <c r="C46" s="8" t="s">
        <v>10</v>
      </c>
      <c r="D46" s="2">
        <v>2050</v>
      </c>
      <c r="E46" t="s">
        <v>32</v>
      </c>
      <c r="F46" s="12" t="s">
        <v>33</v>
      </c>
      <c r="G46" s="16" t="s">
        <v>30</v>
      </c>
      <c r="J46">
        <f>(1668/1900)/0.9</f>
        <v>0.975438596491228</v>
      </c>
    </row>
    <row r="47" spans="1:6">
      <c r="A47" s="21"/>
      <c r="C47" s="8" t="s">
        <v>15</v>
      </c>
      <c r="D47" s="2"/>
      <c r="F47" s="14"/>
    </row>
    <row r="48" ht="15.25" spans="1:6">
      <c r="A48" s="21"/>
      <c r="C48" s="8" t="s">
        <v>15</v>
      </c>
      <c r="D48" s="2"/>
      <c r="F48" s="14"/>
    </row>
    <row r="49" ht="23.75" spans="1:10">
      <c r="A49" s="21"/>
      <c r="B49" s="2"/>
      <c r="C49" s="8" t="s">
        <v>10</v>
      </c>
      <c r="D49" s="2">
        <v>2030</v>
      </c>
      <c r="E49" s="2" t="s">
        <v>34</v>
      </c>
      <c r="F49" s="12" t="str">
        <f>F37</f>
        <v>*PV*</v>
      </c>
      <c r="G49" s="16" t="s">
        <v>30</v>
      </c>
      <c r="J49">
        <f>(840/1400)/0.95</f>
        <v>0.631578947368421</v>
      </c>
    </row>
    <row r="50" spans="1:10">
      <c r="A50" s="21"/>
      <c r="B50" s="2"/>
      <c r="C50" s="8" t="s">
        <v>10</v>
      </c>
      <c r="D50" s="2">
        <v>2030</v>
      </c>
      <c r="E50" s="2" t="str">
        <f t="shared" ref="E50" si="6">E49</f>
        <v>*0.631579</v>
      </c>
      <c r="F50" s="12" t="str">
        <f>F38</f>
        <v>*CSP*</v>
      </c>
      <c r="G50" t="str">
        <f>G49</f>
        <v>11_TECHS_Power</v>
      </c>
      <c r="J50">
        <f t="shared" ref="J50" si="7">60/95</f>
        <v>0.631578947368421</v>
      </c>
    </row>
    <row r="51" spans="1:6">
      <c r="A51" s="21"/>
      <c r="B51" s="2"/>
      <c r="C51" s="8" t="s">
        <v>15</v>
      </c>
      <c r="D51" s="2"/>
      <c r="E51" s="2"/>
      <c r="F51" s="14"/>
    </row>
    <row r="52" spans="1:6">
      <c r="A52" s="21"/>
      <c r="B52" s="2"/>
      <c r="C52" s="8" t="s">
        <v>15</v>
      </c>
      <c r="D52" s="2"/>
      <c r="E52" s="2"/>
      <c r="F52" s="14"/>
    </row>
    <row r="53" spans="1:6">
      <c r="A53" s="21"/>
      <c r="B53" s="2"/>
      <c r="C53" s="8" t="s">
        <v>15</v>
      </c>
      <c r="D53" s="2"/>
      <c r="E53" s="2"/>
      <c r="F53" s="14"/>
    </row>
    <row r="54" ht="15.25" spans="1:6">
      <c r="A54" s="21"/>
      <c r="B54" s="2"/>
      <c r="C54" s="8" t="s">
        <v>15</v>
      </c>
      <c r="D54" s="2"/>
      <c r="E54" s="2"/>
      <c r="F54" s="14"/>
    </row>
    <row r="55" ht="23.75" spans="1:10">
      <c r="A55" s="18"/>
      <c r="B55" s="2"/>
      <c r="C55" s="8" t="s">
        <v>10</v>
      </c>
      <c r="D55" s="2">
        <v>2030</v>
      </c>
      <c r="E55" s="2" t="s">
        <v>35</v>
      </c>
      <c r="F55" s="14" t="s">
        <v>36</v>
      </c>
      <c r="G55" s="16" t="s">
        <v>30</v>
      </c>
      <c r="J55">
        <f>(3005/3705)/0.95</f>
        <v>0.853753817742737</v>
      </c>
    </row>
    <row r="56" spans="1:10">
      <c r="A56" s="18"/>
      <c r="B56" s="2"/>
      <c r="C56" s="8" t="s">
        <v>10</v>
      </c>
      <c r="D56" s="2">
        <v>2050</v>
      </c>
      <c r="E56" s="2" t="s">
        <v>37</v>
      </c>
      <c r="F56" s="14" t="s">
        <v>36</v>
      </c>
      <c r="G56" t="str">
        <f>G55</f>
        <v>11_TECHS_Power</v>
      </c>
      <c r="J56">
        <f>0.68/0.9</f>
        <v>0.755555555555556</v>
      </c>
    </row>
    <row r="57" spans="1:6">
      <c r="A57" s="18"/>
      <c r="B57" s="2"/>
      <c r="C57" s="8" t="s">
        <v>15</v>
      </c>
      <c r="D57" s="2"/>
      <c r="E57" s="2"/>
      <c r="F57" s="14"/>
    </row>
    <row r="58" spans="1:6">
      <c r="A58" s="18"/>
      <c r="B58" s="2"/>
      <c r="C58" s="8" t="s">
        <v>15</v>
      </c>
      <c r="D58" s="2"/>
      <c r="E58" s="2"/>
      <c r="F58" s="14"/>
    </row>
    <row r="59" spans="1:6">
      <c r="A59" s="18"/>
      <c r="C59" s="8" t="s">
        <v>15</v>
      </c>
      <c r="D59" s="2"/>
      <c r="E59" s="2"/>
      <c r="F59" s="14"/>
    </row>
    <row r="60" spans="1:6">
      <c r="A60" s="18"/>
      <c r="C60" s="8" t="s">
        <v>15</v>
      </c>
      <c r="D60" s="2"/>
      <c r="E60" s="2"/>
      <c r="F60" s="14"/>
    </row>
    <row r="61" spans="1:6">
      <c r="A61" s="18"/>
      <c r="C61" s="8" t="s">
        <v>15</v>
      </c>
      <c r="D61" s="2"/>
      <c r="E61" s="2"/>
      <c r="F61" s="14"/>
    </row>
    <row r="62" spans="1:6">
      <c r="A62" s="18"/>
      <c r="C62" s="8" t="s">
        <v>15</v>
      </c>
      <c r="D62" s="2"/>
      <c r="F62" s="14"/>
    </row>
    <row r="63" spans="1:6">
      <c r="A63" s="18"/>
      <c r="C63" s="8" t="s">
        <v>15</v>
      </c>
      <c r="D63" s="2"/>
      <c r="F63" s="14"/>
    </row>
    <row r="64" spans="1:6">
      <c r="A64" s="18"/>
      <c r="C64" s="8" t="s">
        <v>15</v>
      </c>
      <c r="D64" s="2"/>
      <c r="F64" s="14"/>
    </row>
    <row r="65" spans="1:6">
      <c r="A65" s="18"/>
      <c r="C65" s="8" t="s">
        <v>15</v>
      </c>
      <c r="D65" s="2"/>
      <c r="F65" s="14"/>
    </row>
    <row r="66" spans="1:6">
      <c r="A66" s="18"/>
      <c r="C66" s="8" t="s">
        <v>15</v>
      </c>
      <c r="D66" s="2"/>
      <c r="F66" s="14"/>
    </row>
    <row r="67" spans="1:6">
      <c r="A67" s="21"/>
      <c r="B67" s="2"/>
      <c r="C67" s="8" t="s">
        <v>15</v>
      </c>
      <c r="D67" s="2"/>
      <c r="E67" s="2"/>
      <c r="F67" s="14"/>
    </row>
    <row r="68" spans="1:6">
      <c r="A68" s="20"/>
      <c r="B68" s="2"/>
      <c r="C68" s="8" t="s">
        <v>15</v>
      </c>
      <c r="D68" s="2"/>
      <c r="E68" s="2"/>
      <c r="F68" s="14"/>
    </row>
    <row r="69" spans="1:6">
      <c r="A69" s="18"/>
      <c r="B69" s="2"/>
      <c r="C69" s="8" t="s">
        <v>15</v>
      </c>
      <c r="D69" s="2"/>
      <c r="E69" s="2"/>
      <c r="F69" s="14"/>
    </row>
    <row r="70" spans="2:15">
      <c r="B70" s="2"/>
      <c r="C70" s="8" t="s">
        <v>10</v>
      </c>
      <c r="D70" s="2">
        <v>2030</v>
      </c>
      <c r="E70" s="2" t="s">
        <v>38</v>
      </c>
      <c r="F70" s="14" t="s">
        <v>39</v>
      </c>
      <c r="G70" t="s">
        <v>40</v>
      </c>
      <c r="K70">
        <f>0.82/0.95</f>
        <v>0.863157894736842</v>
      </c>
      <c r="O70" s="31" t="s">
        <v>41</v>
      </c>
    </row>
    <row r="71" spans="2:15">
      <c r="B71" s="2"/>
      <c r="C71" s="8" t="s">
        <v>10</v>
      </c>
      <c r="D71" s="2">
        <v>2050</v>
      </c>
      <c r="E71" s="2" t="s">
        <v>42</v>
      </c>
      <c r="F71" s="14" t="s">
        <v>39</v>
      </c>
      <c r="G71" t="str">
        <f t="shared" ref="G71:G77" si="8">G70</f>
        <v>15_TECHS_HYDROGEN</v>
      </c>
      <c r="K71">
        <f>0.75/0.9</f>
        <v>0.833333333333333</v>
      </c>
      <c r="O71" s="31"/>
    </row>
    <row r="72" spans="2:15">
      <c r="B72" s="2"/>
      <c r="C72" s="8" t="s">
        <v>10</v>
      </c>
      <c r="D72" s="2">
        <v>2030</v>
      </c>
      <c r="E72" s="2" t="s">
        <v>43</v>
      </c>
      <c r="F72" s="14" t="s">
        <v>44</v>
      </c>
      <c r="G72" t="str">
        <f t="shared" si="8"/>
        <v>15_TECHS_HYDROGEN</v>
      </c>
      <c r="K72">
        <f>0.75/0.95</f>
        <v>0.789473684210526</v>
      </c>
      <c r="O72" s="31" t="s">
        <v>45</v>
      </c>
    </row>
    <row r="73" spans="2:15">
      <c r="B73" s="2"/>
      <c r="C73" s="8" t="s">
        <v>10</v>
      </c>
      <c r="D73" s="2">
        <v>2050</v>
      </c>
      <c r="E73" s="2" t="s">
        <v>46</v>
      </c>
      <c r="F73" s="14" t="s">
        <v>44</v>
      </c>
      <c r="G73" t="str">
        <f t="shared" si="8"/>
        <v>15_TECHS_HYDROGEN</v>
      </c>
      <c r="K73">
        <f>0.6/0.9</f>
        <v>0.666666666666667</v>
      </c>
      <c r="O73" s="31"/>
    </row>
    <row r="74" spans="2:15">
      <c r="B74" s="2"/>
      <c r="C74" s="8" t="s">
        <v>10</v>
      </c>
      <c r="D74" s="2">
        <v>2030</v>
      </c>
      <c r="E74" s="2" t="str">
        <f>E72</f>
        <v>*0.78947368</v>
      </c>
      <c r="F74" s="14" t="s">
        <v>47</v>
      </c>
      <c r="G74" t="str">
        <f t="shared" si="8"/>
        <v>15_TECHS_HYDROGEN</v>
      </c>
      <c r="O74" s="32" t="s">
        <v>48</v>
      </c>
    </row>
    <row r="75" spans="2:15">
      <c r="B75" s="2"/>
      <c r="C75" s="8" t="s">
        <v>10</v>
      </c>
      <c r="D75" s="2">
        <v>2050</v>
      </c>
      <c r="E75" s="2" t="str">
        <f>E73</f>
        <v>*0.66666667</v>
      </c>
      <c r="F75" s="14" t="s">
        <v>47</v>
      </c>
      <c r="G75" t="str">
        <f t="shared" si="8"/>
        <v>15_TECHS_HYDROGEN</v>
      </c>
      <c r="O75" s="32"/>
    </row>
    <row r="76" spans="2:15">
      <c r="B76" s="2"/>
      <c r="C76" s="8" t="s">
        <v>10</v>
      </c>
      <c r="D76" s="2">
        <v>2030</v>
      </c>
      <c r="E76" s="2" t="s">
        <v>49</v>
      </c>
      <c r="F76" s="14" t="s">
        <v>50</v>
      </c>
      <c r="G76" t="str">
        <f t="shared" si="8"/>
        <v>15_TECHS_HYDROGEN</v>
      </c>
      <c r="K76">
        <f>0.26/0.95</f>
        <v>0.273684210526316</v>
      </c>
      <c r="O76" s="33" t="s">
        <v>51</v>
      </c>
    </row>
    <row r="77" spans="2:15">
      <c r="B77" s="2"/>
      <c r="C77" s="8" t="s">
        <v>10</v>
      </c>
      <c r="D77" s="2">
        <v>2050</v>
      </c>
      <c r="E77" s="2" t="s">
        <v>52</v>
      </c>
      <c r="F77" s="14" t="s">
        <v>50</v>
      </c>
      <c r="G77" t="str">
        <f t="shared" si="8"/>
        <v>15_TECHS_HYDROGEN</v>
      </c>
      <c r="K77">
        <f>0.18/0.9</f>
        <v>0.2</v>
      </c>
      <c r="O77" s="33"/>
    </row>
    <row r="78" spans="3:15">
      <c r="C78" s="8" t="s">
        <v>15</v>
      </c>
      <c r="D78" s="2"/>
      <c r="E78" s="2"/>
      <c r="F78" s="14"/>
      <c r="O78" s="18"/>
    </row>
    <row r="79" spans="3:15">
      <c r="C79" s="8" t="s">
        <v>15</v>
      </c>
      <c r="D79" s="2"/>
      <c r="E79" s="21"/>
      <c r="F79" s="14"/>
      <c r="O79" s="18"/>
    </row>
    <row r="80" spans="3:15">
      <c r="C80" s="8" t="s">
        <v>15</v>
      </c>
      <c r="D80" s="2"/>
      <c r="E80" s="23"/>
      <c r="F80" s="12"/>
      <c r="O80" s="18"/>
    </row>
    <row r="81" spans="3:15">
      <c r="C81" s="8" t="s">
        <v>15</v>
      </c>
      <c r="D81" s="2"/>
      <c r="E81" s="23"/>
      <c r="F81" s="14"/>
      <c r="O81" s="18"/>
    </row>
    <row r="82" spans="3:15">
      <c r="C82" s="8" t="s">
        <v>10</v>
      </c>
      <c r="D82" s="2">
        <v>2030</v>
      </c>
      <c r="E82" t="s">
        <v>53</v>
      </c>
      <c r="F82" s="12" t="s">
        <v>33</v>
      </c>
      <c r="G82" t="s">
        <v>30</v>
      </c>
      <c r="J82">
        <f>(1763/1900)/0.95</f>
        <v>0.976731301939058</v>
      </c>
      <c r="O82" s="18"/>
    </row>
    <row r="83" spans="3:15">
      <c r="C83" s="8" t="s">
        <v>15</v>
      </c>
      <c r="D83" s="2"/>
      <c r="F83" s="14"/>
      <c r="O83" s="18"/>
    </row>
    <row r="84" spans="3:15">
      <c r="C84" s="8" t="s">
        <v>15</v>
      </c>
      <c r="D84" s="2"/>
      <c r="F84" s="14"/>
      <c r="O84" s="18"/>
    </row>
    <row r="85" spans="2:15">
      <c r="B85" s="2"/>
      <c r="C85" s="8" t="s">
        <v>10</v>
      </c>
      <c r="D85" s="2">
        <v>2030</v>
      </c>
      <c r="E85" s="2" t="s">
        <v>54</v>
      </c>
      <c r="F85" s="24" t="s">
        <v>55</v>
      </c>
      <c r="J85">
        <f>57.37/40</f>
        <v>1.43425</v>
      </c>
      <c r="O85" s="18"/>
    </row>
    <row r="86" spans="2:15">
      <c r="B86" s="2"/>
      <c r="C86" s="8" t="s">
        <v>10</v>
      </c>
      <c r="D86" s="2">
        <v>2030</v>
      </c>
      <c r="E86" s="2" t="str">
        <f t="shared" ref="E86:E88" si="9">E85</f>
        <v>*1.43425</v>
      </c>
      <c r="F86" s="24" t="s">
        <v>56</v>
      </c>
      <c r="J86">
        <f t="shared" ref="J86:J89" si="10">57.37/40</f>
        <v>1.43425</v>
      </c>
      <c r="O86" s="18"/>
    </row>
    <row r="87" spans="2:15">
      <c r="B87" s="2"/>
      <c r="C87" s="8" t="s">
        <v>10</v>
      </c>
      <c r="D87" s="2">
        <v>2030</v>
      </c>
      <c r="E87" s="2" t="str">
        <f t="shared" si="9"/>
        <v>*1.43425</v>
      </c>
      <c r="F87" s="14" t="s">
        <v>57</v>
      </c>
      <c r="G87" s="10" t="s">
        <v>58</v>
      </c>
      <c r="J87">
        <f t="shared" si="10"/>
        <v>1.43425</v>
      </c>
      <c r="O87" s="18"/>
    </row>
    <row r="88" spans="2:15">
      <c r="B88" s="2"/>
      <c r="C88" s="8" t="s">
        <v>10</v>
      </c>
      <c r="D88" s="2">
        <v>2030</v>
      </c>
      <c r="E88" s="2" t="str">
        <f t="shared" si="9"/>
        <v>*1.43425</v>
      </c>
      <c r="F88" s="14" t="s">
        <v>59</v>
      </c>
      <c r="G88" t="str">
        <f t="shared" ref="G88:G94" si="11">G87</f>
        <v>14_TECHS_STORAGE</v>
      </c>
      <c r="J88">
        <f t="shared" si="10"/>
        <v>1.43425</v>
      </c>
      <c r="O88" s="18"/>
    </row>
    <row r="89" spans="2:15">
      <c r="B89" s="2"/>
      <c r="C89" s="8" t="s">
        <v>10</v>
      </c>
      <c r="D89" s="2">
        <v>2030</v>
      </c>
      <c r="E89" s="25" t="s">
        <v>60</v>
      </c>
      <c r="F89" s="14" t="s">
        <v>61</v>
      </c>
      <c r="G89" t="str">
        <f t="shared" si="11"/>
        <v>14_TECHS_STORAGE</v>
      </c>
      <c r="J89">
        <f t="shared" si="10"/>
        <v>1.43425</v>
      </c>
      <c r="O89" s="18"/>
    </row>
    <row r="90" spans="2:15">
      <c r="B90" s="2"/>
      <c r="C90" s="8" t="s">
        <v>10</v>
      </c>
      <c r="D90" s="2">
        <v>2050</v>
      </c>
      <c r="E90" s="2" t="s">
        <v>62</v>
      </c>
      <c r="F90" s="24" t="s">
        <v>55</v>
      </c>
      <c r="J90">
        <f>42/25</f>
        <v>1.68</v>
      </c>
      <c r="O90" s="18"/>
    </row>
    <row r="91" spans="2:15">
      <c r="B91" s="2"/>
      <c r="C91" s="8" t="s">
        <v>10</v>
      </c>
      <c r="D91" s="2">
        <v>2050</v>
      </c>
      <c r="E91" s="2" t="str">
        <f t="shared" ref="E91:E93" si="12">E90</f>
        <v>*1.68</v>
      </c>
      <c r="F91" s="24" t="s">
        <v>56</v>
      </c>
      <c r="J91">
        <f t="shared" ref="J91:J94" si="13">42/25</f>
        <v>1.68</v>
      </c>
      <c r="O91" s="18"/>
    </row>
    <row r="92" spans="2:15">
      <c r="B92" s="2"/>
      <c r="C92" s="8" t="s">
        <v>10</v>
      </c>
      <c r="D92" s="2">
        <v>2050</v>
      </c>
      <c r="E92" s="2" t="str">
        <f t="shared" si="12"/>
        <v>*1.68</v>
      </c>
      <c r="F92" s="14" t="s">
        <v>57</v>
      </c>
      <c r="G92" s="10" t="s">
        <v>58</v>
      </c>
      <c r="J92">
        <f t="shared" si="13"/>
        <v>1.68</v>
      </c>
      <c r="O92" s="21"/>
    </row>
    <row r="93" spans="2:15">
      <c r="B93" s="2"/>
      <c r="C93" s="8" t="s">
        <v>10</v>
      </c>
      <c r="D93" s="2">
        <v>2050</v>
      </c>
      <c r="E93" s="2" t="str">
        <f t="shared" si="12"/>
        <v>*1.68</v>
      </c>
      <c r="F93" s="14" t="s">
        <v>59</v>
      </c>
      <c r="G93" t="str">
        <f t="shared" si="11"/>
        <v>14_TECHS_STORAGE</v>
      </c>
      <c r="J93">
        <f t="shared" si="13"/>
        <v>1.68</v>
      </c>
      <c r="O93" s="20"/>
    </row>
    <row r="94" spans="2:15">
      <c r="B94" s="2"/>
      <c r="C94" s="8" t="s">
        <v>10</v>
      </c>
      <c r="D94" s="2">
        <v>2050</v>
      </c>
      <c r="E94" s="25" t="s">
        <v>60</v>
      </c>
      <c r="F94" s="14" t="s">
        <v>61</v>
      </c>
      <c r="G94" t="str">
        <f t="shared" si="11"/>
        <v>14_TECHS_STORAGE</v>
      </c>
      <c r="J94">
        <f t="shared" si="13"/>
        <v>1.68</v>
      </c>
      <c r="O94" s="18"/>
    </row>
    <row r="95" spans="3:15">
      <c r="C95" s="26" t="s">
        <v>10</v>
      </c>
      <c r="D95" s="27">
        <v>2050</v>
      </c>
      <c r="E95" s="27" t="s">
        <v>60</v>
      </c>
      <c r="F95" s="27" t="s">
        <v>63</v>
      </c>
      <c r="G95" s="10" t="s">
        <v>64</v>
      </c>
      <c r="I95" s="27"/>
      <c r="J95" s="27"/>
      <c r="K95" s="27"/>
      <c r="O95" s="18"/>
    </row>
    <row r="96" spans="3:15">
      <c r="C96" s="26" t="s">
        <v>10</v>
      </c>
      <c r="D96" s="27">
        <v>2035</v>
      </c>
      <c r="E96" s="27" t="s">
        <v>60</v>
      </c>
      <c r="F96" s="27" t="s">
        <v>63</v>
      </c>
      <c r="G96" t="str">
        <f>G95</f>
        <v>23_TECHS_CCUS</v>
      </c>
      <c r="I96" s="27"/>
      <c r="J96" s="27"/>
      <c r="K96" s="27"/>
      <c r="O96" s="18"/>
    </row>
    <row r="97" spans="3:15">
      <c r="C97" s="26" t="s">
        <v>10</v>
      </c>
      <c r="D97" s="27">
        <v>2050</v>
      </c>
      <c r="E97" s="27" t="s">
        <v>60</v>
      </c>
      <c r="F97" s="27" t="s">
        <v>65</v>
      </c>
      <c r="G97" t="str">
        <f>G96</f>
        <v>23_TECHS_CCUS</v>
      </c>
      <c r="I97" s="27"/>
      <c r="J97" s="27"/>
      <c r="K97" s="27">
        <f>20/16</f>
        <v>1.25</v>
      </c>
      <c r="O97" s="18"/>
    </row>
    <row r="98" spans="3:11">
      <c r="C98" s="26" t="s">
        <v>10</v>
      </c>
      <c r="D98" s="27">
        <v>2030</v>
      </c>
      <c r="E98" s="27" t="s">
        <v>60</v>
      </c>
      <c r="F98" s="27" t="s">
        <v>65</v>
      </c>
      <c r="G98" t="str">
        <f>G97</f>
        <v>23_TECHS_CCUS</v>
      </c>
      <c r="I98" s="27"/>
      <c r="J98" s="27"/>
      <c r="K98" s="27"/>
    </row>
    <row r="99" spans="3:15">
      <c r="C99" s="26" t="s">
        <v>10</v>
      </c>
      <c r="D99" s="27">
        <v>2050</v>
      </c>
      <c r="E99" t="s">
        <v>66</v>
      </c>
      <c r="F99" t="s">
        <v>67</v>
      </c>
      <c r="G99" s="28" t="s">
        <v>13</v>
      </c>
      <c r="O99" s="34" t="s">
        <v>68</v>
      </c>
    </row>
    <row r="100" spans="3:15">
      <c r="C100" s="26" t="s">
        <v>10</v>
      </c>
      <c r="D100" s="27">
        <v>2030</v>
      </c>
      <c r="E100" t="s">
        <v>69</v>
      </c>
      <c r="F100" t="s">
        <v>67</v>
      </c>
      <c r="G100" t="str">
        <f t="shared" ref="G100:G106" si="14">G99</f>
        <v>NewTechForOtherSec</v>
      </c>
      <c r="K100">
        <f>840/1400</f>
        <v>0.6</v>
      </c>
      <c r="O100" s="34"/>
    </row>
    <row r="101" spans="3:15">
      <c r="C101" s="26" t="s">
        <v>70</v>
      </c>
      <c r="D101" s="27">
        <v>2050</v>
      </c>
      <c r="E101">
        <v>1</v>
      </c>
      <c r="F101" t="s">
        <v>71</v>
      </c>
      <c r="G101" t="str">
        <f t="shared" si="14"/>
        <v>NewTechForOtherSec</v>
      </c>
      <c r="O101" s="34" t="s">
        <v>72</v>
      </c>
    </row>
    <row r="102" ht="15.25" spans="3:15">
      <c r="C102" s="26" t="s">
        <v>70</v>
      </c>
      <c r="D102" s="27">
        <v>2050</v>
      </c>
      <c r="E102" t="s">
        <v>73</v>
      </c>
      <c r="F102" t="s">
        <v>74</v>
      </c>
      <c r="G102" t="str">
        <f t="shared" si="14"/>
        <v>NewTechForOtherSec</v>
      </c>
      <c r="O102" s="34"/>
    </row>
    <row r="103" ht="23.75" spans="3:10">
      <c r="C103" s="8" t="s">
        <v>10</v>
      </c>
      <c r="D103" s="18">
        <v>2030</v>
      </c>
      <c r="E103" s="18" t="s">
        <v>75</v>
      </c>
      <c r="F103" s="29" t="s">
        <v>76</v>
      </c>
      <c r="G103" s="16" t="s">
        <v>30</v>
      </c>
      <c r="I103" s="18"/>
      <c r="J103" s="18">
        <f>(8348/9262)/0.95</f>
        <v>0.948754958006114</v>
      </c>
    </row>
    <row r="104" spans="3:10">
      <c r="C104" s="8" t="str">
        <f>C103</f>
        <v>INVCOST</v>
      </c>
      <c r="D104" s="18">
        <v>2050</v>
      </c>
      <c r="E104" s="18" t="s">
        <v>77</v>
      </c>
      <c r="F104" s="18" t="str">
        <f>F103</f>
        <v>ENCAN01</v>
      </c>
      <c r="G104" t="str">
        <f t="shared" si="14"/>
        <v>11_TECHS_Power</v>
      </c>
      <c r="I104" s="18"/>
      <c r="J104" s="18">
        <f>(6519/9262)/0.9</f>
        <v>0.782048513639963</v>
      </c>
    </row>
    <row r="105" spans="3:7">
      <c r="C105" s="8" t="s">
        <v>10</v>
      </c>
      <c r="D105" s="18">
        <v>2030</v>
      </c>
      <c r="E105" s="18" t="s">
        <v>75</v>
      </c>
      <c r="F105" s="30" t="s">
        <v>78</v>
      </c>
      <c r="G105" t="str">
        <f t="shared" si="14"/>
        <v>11_TECHS_Power</v>
      </c>
    </row>
    <row r="106" spans="3:11">
      <c r="C106" s="8" t="str">
        <f>C105</f>
        <v>INVCOST</v>
      </c>
      <c r="D106" s="18">
        <v>2050</v>
      </c>
      <c r="E106" s="18" t="s">
        <v>77</v>
      </c>
      <c r="F106" s="30" t="s">
        <v>78</v>
      </c>
      <c r="G106" t="str">
        <f t="shared" si="14"/>
        <v>11_TECHS_Power</v>
      </c>
      <c r="K106">
        <f>1763/1900</f>
        <v>0.927894736842105</v>
      </c>
    </row>
    <row r="125" spans="1:2">
      <c r="A125" s="2"/>
      <c r="B125" s="2"/>
    </row>
    <row r="126" spans="1:2">
      <c r="A126" s="4"/>
      <c r="B126" s="4"/>
    </row>
    <row r="127" spans="11:11">
      <c r="K127">
        <f>1261/2198</f>
        <v>0.573703366696997</v>
      </c>
    </row>
  </sheetData>
  <mergeCells count="6">
    <mergeCell ref="O70:O71"/>
    <mergeCell ref="O72:O73"/>
    <mergeCell ref="O74:O75"/>
    <mergeCell ref="O76:O77"/>
    <mergeCell ref="O99:O100"/>
    <mergeCell ref="O101:O102"/>
  </mergeCells>
  <pageMargins left="0.75" right="0.75" top="1" bottom="1" header="0.5" footer="0.5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cnz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xli9</cp:lastModifiedBy>
  <dcterms:created xsi:type="dcterms:W3CDTF">2024-04-28T20:24:00Z</dcterms:created>
  <dcterms:modified xsi:type="dcterms:W3CDTF">2025-01-13T22:47:32Z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CFC20FA3947B4B448D22A00CCC955D9D_12</vt:lpwstr>
  </property>
  <property fmtid="{D5CDD505-2E9C-101B-9397-08002B2CF9AE}" pid="3" name="KSOProductBuildVer">
    <vt:lpwstr>1033-12.2.0.19307</vt:lpwstr>
  </property>
</Properties>
</file>