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ese-veda01</author>
  </authors>
  <commentList>
    <comment ref="I2" authorId="0">
      <text>
        <r>
          <rPr>
            <b/>
            <sz val="9"/>
            <rFont val="Tahoma"/>
            <charset val="134"/>
          </rPr>
          <t>ese-veda01:</t>
        </r>
        <r>
          <rPr>
            <sz val="9"/>
            <rFont val="Tahoma"/>
            <charset val="134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<sst xmlns="http://schemas.openxmlformats.org/spreadsheetml/2006/main" count="713" uniqueCount="259">
  <si>
    <t>~FI_T</t>
  </si>
  <si>
    <t>*geothermal could live 200 years</t>
  </si>
  <si>
    <t>*The EU defines in By-trans that all E* CAP2ACT is 31.536, but we only defined EL* as 31.536, (and we have deleted it in By_trans yet) so we complementarily defined it here</t>
  </si>
  <si>
    <t>~FI_Process</t>
  </si>
  <si>
    <t>MovedToSysSettings</t>
  </si>
  <si>
    <t>*No peak contribute here, compared with Demo</t>
  </si>
  <si>
    <t>TechName</t>
  </si>
  <si>
    <t>Comm-IN</t>
  </si>
  <si>
    <t>Comm-OUT</t>
  </si>
  <si>
    <t>ELIFE</t>
  </si>
  <si>
    <t>LIFE</t>
  </si>
  <si>
    <t>FIXOM</t>
  </si>
  <si>
    <t>FIXOM~2030</t>
  </si>
  <si>
    <t>NCAP_BND~UP~0</t>
  </si>
  <si>
    <t>FOMX</t>
  </si>
  <si>
    <t>FOMX~2030</t>
  </si>
  <si>
    <t>AFA</t>
  </si>
  <si>
    <t>AFA~2030</t>
  </si>
  <si>
    <t>EFF</t>
  </si>
  <si>
    <t>EFF~2030</t>
  </si>
  <si>
    <t>EFFX</t>
  </si>
  <si>
    <t>CHPR~FX</t>
  </si>
  <si>
    <t>CAP2ACT</t>
  </si>
  <si>
    <t>Sets</t>
  </si>
  <si>
    <t>TechDesc</t>
  </si>
  <si>
    <t>Tact</t>
  </si>
  <si>
    <t>Tcap</t>
  </si>
  <si>
    <t>Tslvl</t>
  </si>
  <si>
    <t>Vintage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</si>
  <si>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</si>
  <si>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</si>
  <si>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</si>
  <si>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</si>
  <si>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</si>
  <si>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</si>
  <si>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</si>
  <si>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</si>
  <si>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ELCWOO</t>
  </si>
  <si>
    <t>ELC,HETHTH</t>
  </si>
  <si>
    <t>CHP</t>
  </si>
  <si>
    <t>ECHP_biomass_thermal</t>
  </si>
  <si>
    <t>PJ</t>
  </si>
  <si>
    <t>GW</t>
  </si>
  <si>
    <t>DAYNITE</t>
  </si>
  <si>
    <t>YES</t>
  </si>
  <si>
    <t>NRG</t>
  </si>
  <si>
    <t>ELCCOH</t>
  </si>
  <si>
    <t>ECHP_coal_thermal</t>
  </si>
  <si>
    <t>ELCDST</t>
  </si>
  <si>
    <t>ELCHFO</t>
  </si>
  <si>
    <t>ECHP_HFO_thermal</t>
  </si>
  <si>
    <t>ELCSOL</t>
  </si>
  <si>
    <t>ECHP_LFO_thermal</t>
  </si>
  <si>
    <t>ELCWIN</t>
  </si>
  <si>
    <t>ELCCOL</t>
  </si>
  <si>
    <t>ECHP_lignite_thermal</t>
  </si>
  <si>
    <t>ELCHIG</t>
  </si>
  <si>
    <t>Electricity - High Voltage WITHOUT grid costs</t>
  </si>
  <si>
    <t>ANNUAL</t>
  </si>
  <si>
    <t>ELC</t>
  </si>
  <si>
    <t>ELCGAS</t>
  </si>
  <si>
    <t>ECHP_naturalgas_CCGT</t>
  </si>
  <si>
    <t>HETHTH</t>
  </si>
  <si>
    <t>SEASON</t>
  </si>
  <si>
    <t>LTHEAT</t>
  </si>
  <si>
    <t>ECHP_naturalgas_OCGT</t>
  </si>
  <si>
    <t>ELCHYD</t>
  </si>
  <si>
    <t>ECHP_naturalgas_thermal</t>
  </si>
  <si>
    <t>ECHP_PV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</si>
  <si>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</si>
  <si>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</si>
  <si>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</si>
  <si>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</si>
  <si>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</si>
  <si>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</si>
  <si>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</si>
  <si>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</si>
  <si>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</si>
  <si>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</si>
  <si>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</si>
  <si>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</si>
  <si>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</si>
  <si>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</si>
  <si>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EEPP_CSP</t>
  </si>
  <si>
    <t>EEPP_windOFF</t>
  </si>
  <si>
    <t>EEPP_windON</t>
  </si>
  <si>
    <t>ELCTID</t>
  </si>
  <si>
    <t>EEPP_OCE</t>
  </si>
  <si>
    <t>EUHYDDAM00</t>
  </si>
  <si>
    <t>Existing Hydro Dams</t>
  </si>
  <si>
    <t>EUHYDRUN00</t>
  </si>
  <si>
    <t>Existing Run-of-river hydro</t>
  </si>
  <si>
    <t>Existing pumped storage was moved to non-EEpp processes</t>
  </si>
  <si>
    <t>ELE,STS</t>
  </si>
  <si>
    <t>EEPP_HYDPS</t>
  </si>
  <si>
    <t>*ELIFE is set as the half of LIFE for hydropower ,follwing the proportion of EU-TIMES</t>
  </si>
  <si>
    <t>*Most cost (investment cost, fixed operation cost, variable operation cost) refers the NATEM because this part is open, and the lacking data we referred EU-TIMES</t>
  </si>
  <si>
    <t>* all of the fixed operation cost unit is Meur/GW or Meur/PJ while for VAROM in Demos; while in NATEM it was CAD/kW, which is the same unit; the EU-TIMES same too</t>
  </si>
  <si>
    <t>*in base-year file, you don.t need to define the invescost because it was prohibitted here</t>
  </si>
  <si>
    <t>*here the FOMX we think same as VAROM, but the unit is CAD/MWh, we not sure about this point</t>
  </si>
  <si>
    <t>*assumes same parameters for natural gas ccgt and ocgt</t>
  </si>
  <si>
    <t>Used for FOMX</t>
  </si>
  <si>
    <t>*assumes same parameters for echp and eepp</t>
  </si>
  <si>
    <t>*assumes same parameters for concentrated solar and PV</t>
  </si>
  <si>
    <t>*assuming there is no HYDPS now</t>
  </si>
  <si>
    <t xml:space="preserve">*assuming the FIXOM for large hydropower and small hydro account for 2% and 1% of invcost, respectively </t>
  </si>
  <si>
    <t>Attribute</t>
  </si>
  <si>
    <t>Year</t>
  </si>
  <si>
    <t>Pset_PN</t>
  </si>
  <si>
    <t>AllRegions</t>
  </si>
  <si>
    <t>AT</t>
  </si>
  <si>
    <t>QU</t>
  </si>
  <si>
    <t>ON</t>
  </si>
  <si>
    <t>MA</t>
  </si>
  <si>
    <t>SA</t>
  </si>
  <si>
    <t>AL</t>
  </si>
  <si>
    <t>BC</t>
  </si>
  <si>
    <t>STOCK</t>
  </si>
  <si>
    <t>*https://en.wikipedia.org/wiki/Geothermal_power_in_Canada</t>
  </si>
  <si>
    <t>*We don't have the data of oil-plants and gas-plants stock data, so we use the rest of coal and biomass and geothermal and split evenly to these plants</t>
  </si>
  <si>
    <t>Canada's Bioenergy Installed Generating Capacity, by Province (2014, in megawatts)</t>
  </si>
  <si>
    <t>About Renewable Energy (canada.ca)</t>
  </si>
  <si>
    <t>*Provincial biomass capacities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</si>
  <si>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</si>
  <si>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</si>
  <si>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</si>
  <si>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</si>
  <si>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</si>
  <si>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</si>
  <si>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</si>
  <si>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</si>
  <si>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</si>
  <si>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</si>
  <si>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</si>
  <si>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</si>
  <si>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</si>
  <si>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Existing coal plants in Canada - Global Energy Monitor (gem.wiki)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</si>
  <si>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</si>
  <si>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</si>
  <si>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</si>
  <si>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</si>
  <si>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</si>
  <si>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</si>
  <si>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</si>
  <si>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</si>
  <si>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</si>
  <si>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</si>
  <si>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</si>
  <si>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</si>
  <si>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</si>
  <si>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</si>
  <si>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</si>
  <si>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</si>
  <si>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</si>
  <si>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</si>
  <si>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</si>
  <si>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</si>
  <si>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</si>
  <si>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</si>
  <si>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</si>
  <si>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</si>
  <si>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</si>
  <si>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</si>
  <si>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</si>
  <si>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</si>
  <si>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</si>
  <si>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</si>
  <si>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</si>
  <si>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</si>
  <si>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</si>
  <si>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</si>
  <si>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</si>
  <si>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</si>
  <si>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</si>
  <si>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</si>
  <si>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</si>
  <si>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</si>
  <si>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</si>
  <si>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</si>
  <si>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</si>
  <si>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</si>
  <si>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</si>
  <si>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</si>
  <si>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</si>
  <si>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</si>
  <si>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</si>
  <si>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</si>
  <si>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</si>
  <si>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</si>
  <si>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</si>
  <si>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</si>
  <si>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</si>
  <si>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</si>
  <si>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</si>
  <si>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</si>
  <si>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</si>
  <si>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</si>
  <si>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</si>
  <si>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</si>
  <si>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</si>
  <si>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</si>
  <si>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</si>
  <si>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Cap2ACT</t>
  </si>
  <si>
    <t>PrimaryCG</t>
  </si>
  <si>
    <t>COAHAR</t>
  </si>
  <si>
    <t>PRE</t>
  </si>
  <si>
    <t>Fuel Tech - Hard Coal (ELC)</t>
  </si>
  <si>
    <t>PJa</t>
  </si>
  <si>
    <t>COALIG</t>
  </si>
  <si>
    <t>Fuel Tech - Lignite (ELC)</t>
  </si>
  <si>
    <t>OILDST</t>
  </si>
  <si>
    <t>Fuel Tech - Diesel (ELC)</t>
  </si>
  <si>
    <t>GASNAT</t>
  </si>
  <si>
    <t>Fuel Tech - Natural Gas  (ELC)</t>
  </si>
  <si>
    <t>RENGEO</t>
  </si>
  <si>
    <t>Fuel Tech - Geothermal  (ELC)</t>
  </si>
  <si>
    <t>OILHFO</t>
  </si>
  <si>
    <t>Fuel Tech - Heavy Fuel Oil  (ELC)</t>
  </si>
  <si>
    <t>RENHYD</t>
  </si>
  <si>
    <t>Fuel Tech - Hydro (ELC)</t>
  </si>
  <si>
    <t>RENSOL</t>
  </si>
  <si>
    <t>Fuel Tech - Solar  (ELC)</t>
  </si>
  <si>
    <t>RENWIN</t>
  </si>
  <si>
    <t>Fuel Tech - Wind (ELC)</t>
  </si>
  <si>
    <t>WOOD</t>
  </si>
  <si>
    <t>Fuel Tech - Biomass (ELC)</t>
  </si>
  <si>
    <t>BIOMUN</t>
  </si>
  <si>
    <t>ELCMUN</t>
  </si>
  <si>
    <t>Fuel Tech - Municipal Solid Waste (ELC)</t>
  </si>
  <si>
    <t>BIOSLU</t>
  </si>
  <si>
    <t>ELCSLU</t>
  </si>
  <si>
    <t>Fuel Tech - Sludge (ELC)</t>
  </si>
  <si>
    <t>*</t>
  </si>
  <si>
    <t>EVTRANS_H-H</t>
  </si>
  <si>
    <t>Grid High Voltage</t>
  </si>
  <si>
    <t>EVTRANS_H-M</t>
  </si>
  <si>
    <t>Grid medium Voltage and Voltage Transformer: High to Medium</t>
  </si>
  <si>
    <t>EVTRANS_M-L</t>
  </si>
  <si>
    <t>Grid low Voltage and Voltage Transformer: Medium to Low</t>
  </si>
  <si>
    <t>EVTRANS_L-M</t>
  </si>
  <si>
    <t>Grid low Voltage and Voltage Transformer: Low to Medium</t>
  </si>
  <si>
    <t>BIOGAS</t>
  </si>
  <si>
    <t>ELCBGS</t>
  </si>
  <si>
    <t>Fuel Tech - Biogas (ELC)</t>
  </si>
  <si>
    <t>~COMEMI</t>
  </si>
  <si>
    <t>ELCOIL</t>
  </si>
  <si>
    <t>ELCRFG</t>
  </si>
  <si>
    <t>ELCDGS</t>
  </si>
  <si>
    <t>ELCCO2N</t>
  </si>
  <si>
    <t>HPL</t>
  </si>
  <si>
    <t>Existing Dist Heating Stock</t>
  </si>
  <si>
    <t>*We have adjusted the elc sol share to zero, to make the results more reasonable, if it was a total clean energy</t>
  </si>
  <si>
    <t>~FI_T: Share-I~UP</t>
  </si>
  <si>
    <t>EEHP_DistHeating</t>
  </si>
  <si>
    <t>*average</t>
  </si>
  <si>
    <t>*delete ACT_BND because it makes the running unsolvable</t>
  </si>
  <si>
    <t>LO</t>
  </si>
  <si>
    <t>PASTI</t>
  </si>
  <si>
    <t>NCAP_BND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</si>
</sst>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0.00000%"/>
  </numFmts>
  <fonts count="5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"/>
      <name val="Arial"/>
      <charset val="134"/>
    </font>
    <font>
      <sz val="10"/>
      <color rgb="FFFF0000"/>
      <name val="Arial"/>
      <charset val="134"/>
    </font>
    <font>
      <b/>
      <sz val="10"/>
      <color rgb="FFFF0000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color theme="0" tint="-0.499984740745262"/>
      <name val="Arial"/>
      <charset val="134"/>
    </font>
    <font>
      <b/>
      <i/>
      <sz val="10"/>
      <color rgb="FFFF0000"/>
      <name val="Arial"/>
      <charset val="134"/>
    </font>
    <font>
      <sz val="11"/>
      <color rgb="FF9C6500"/>
      <name val="Calibri"/>
      <charset val="134"/>
      <scheme val="minor"/>
    </font>
    <font>
      <sz val="10"/>
      <color theme="1"/>
      <name val="Arial"/>
      <charset val="134"/>
    </font>
    <font>
      <b/>
      <sz val="11"/>
      <color rgb="FFFF0000"/>
      <name val="Arial"/>
      <charset val="134"/>
    </font>
    <font>
      <b/>
      <sz val="12.1"/>
      <color rgb="FF333333"/>
      <name val="Calibri"/>
      <charset val="134"/>
      <scheme val="minor"/>
    </font>
    <font>
      <b/>
      <sz val="15"/>
      <color rgb="FF333333"/>
      <name val="Noto Sans"/>
      <charset val="134"/>
    </font>
    <font>
      <sz val="15"/>
      <color rgb="FF333333"/>
      <name val="Noto Sans"/>
      <charset val="134"/>
    </font>
    <font>
      <b/>
      <sz val="11"/>
      <color rgb="FF222222"/>
      <name val="Calibri"/>
      <charset val="134"/>
      <scheme val="minor"/>
    </font>
    <font>
      <sz val="11"/>
      <color rgb="FF222222"/>
      <name val="Calibri"/>
      <charset val="134"/>
      <scheme val="minor"/>
    </font>
    <font>
      <u/>
      <sz val="10"/>
      <color theme="10"/>
      <name val="Arial"/>
      <charset val="134"/>
    </font>
    <font>
      <sz val="11"/>
      <color rgb="FF222222"/>
      <name val="Segoe U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38"/>
    </font>
    <font>
      <sz val="11"/>
      <color indexed="9"/>
      <name val="Calibri"/>
      <charset val="238"/>
    </font>
    <font>
      <sz val="11"/>
      <color indexed="62"/>
      <name val="Calibri"/>
      <charset val="238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b/>
      <sz val="11"/>
      <color indexed="9"/>
      <name val="Calibri"/>
      <charset val="238"/>
    </font>
    <font>
      <sz val="11"/>
      <color indexed="10"/>
      <name val="Calibri"/>
      <charset val="238"/>
    </font>
    <font>
      <sz val="11"/>
      <color indexed="52"/>
      <name val="Calibri"/>
      <charset val="238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i/>
      <sz val="11"/>
      <color indexed="23"/>
      <name val="Calibri"/>
      <charset val="238"/>
    </font>
    <font>
      <sz val="10"/>
      <name val="Arial"/>
      <charset val="238"/>
    </font>
    <font>
      <sz val="10"/>
      <name val="Courier"/>
      <charset val="134"/>
    </font>
    <font>
      <sz val="10"/>
      <color indexed="8"/>
      <name val="Arial"/>
      <charset val="134"/>
    </font>
    <font>
      <b/>
      <sz val="11"/>
      <color indexed="8"/>
      <name val="Calibri"/>
      <charset val="238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1"/>
      <color indexed="52"/>
      <name val="Calibri"/>
      <charset val="238"/>
    </font>
    <font>
      <b/>
      <sz val="9"/>
      <name val="Tahoma"/>
      <charset val="134"/>
    </font>
    <font>
      <sz val="9"/>
      <name val="Tahoma"/>
      <charset val="134"/>
    </font>
  </fonts>
  <fills count="6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3" borderId="10" applyNumberFormat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4" borderId="10" applyNumberFormat="0" applyAlignment="0" applyProtection="0">
      <alignment vertical="center"/>
    </xf>
    <xf numFmtId="0" fontId="30" fillId="15" borderId="12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44" borderId="0" applyNumberFormat="0" applyBorder="0" applyAlignment="0" applyProtection="0"/>
    <xf numFmtId="0" fontId="37" fillId="47" borderId="0" applyNumberFormat="0" applyBorder="0" applyAlignment="0" applyProtection="0"/>
    <xf numFmtId="0" fontId="37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9" fillId="46" borderId="15" applyNumberFormat="0" applyAlignment="0" applyProtection="0"/>
    <xf numFmtId="0" fontId="40" fillId="0" borderId="0" applyNumberFormat="0" applyFill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44" fillId="55" borderId="19" applyNumberFormat="0" applyAlignment="0" applyProtection="0"/>
    <xf numFmtId="43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56" borderId="21" applyNumberFormat="0" applyFont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60" borderId="0" applyNumberFormat="0" applyBorder="0" applyAlignment="0" applyProtection="0"/>
    <xf numFmtId="0" fontId="47" fillId="43" borderId="0" applyNumberFormat="0" applyBorder="0" applyAlignment="0" applyProtection="0"/>
    <xf numFmtId="0" fontId="48" fillId="61" borderId="22" applyNumberFormat="0" applyAlignment="0" applyProtection="0"/>
    <xf numFmtId="0" fontId="49" fillId="0" borderId="0" applyNumberFormat="0" applyFill="0" applyBorder="0" applyAlignment="0" applyProtection="0"/>
    <xf numFmtId="0" fontId="3" fillId="0" borderId="0"/>
    <xf numFmtId="0" fontId="0" fillId="0" borderId="0"/>
    <xf numFmtId="0" fontId="0" fillId="0" borderId="0"/>
    <xf numFmtId="0" fontId="0" fillId="0" borderId="0"/>
    <xf numFmtId="0" fontId="3" fillId="0" borderId="0"/>
    <xf numFmtId="0" fontId="50" fillId="0" borderId="0"/>
    <xf numFmtId="0" fontId="0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51" fillId="0" borderId="0"/>
    <xf numFmtId="0" fontId="52" fillId="0" borderId="0"/>
    <xf numFmtId="0" fontId="0" fillId="12" borderId="7" applyNumberFormat="0" applyFont="0" applyAlignment="0" applyProtection="0"/>
    <xf numFmtId="0" fontId="53" fillId="0" borderId="23" applyNumberFormat="0" applyFill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4" fillId="42" borderId="0" applyNumberFormat="0" applyBorder="0" applyAlignment="0" applyProtection="0"/>
    <xf numFmtId="0" fontId="55" fillId="62" borderId="0" applyNumberFormat="0" applyBorder="0" applyAlignment="0" applyProtection="0"/>
    <xf numFmtId="0" fontId="3" fillId="0" borderId="0"/>
    <xf numFmtId="0" fontId="56" fillId="61" borderId="15" applyNumberFormat="0" applyAlignment="0" applyProtection="0"/>
  </cellStyleXfs>
  <cellXfs count="74">
    <xf numFmtId="0" fontId="0" fillId="0" borderId="0" xfId="0"/>
    <xf numFmtId="178" fontId="1" fillId="2" borderId="0" xfId="0" applyNumberFormat="1" applyFont="1" applyFill="1"/>
    <xf numFmtId="178" fontId="1" fillId="0" borderId="0" xfId="0" applyNumberFormat="1" applyFon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1" fontId="2" fillId="3" borderId="1" xfId="89" applyNumberFormat="1" applyFont="1" applyFill="1" applyBorder="1" applyAlignment="1">
      <alignment vertical="center"/>
    </xf>
    <xf numFmtId="1" fontId="2" fillId="4" borderId="1" xfId="89" applyNumberFormat="1" applyFont="1" applyFill="1" applyBorder="1" applyAlignment="1">
      <alignment vertical="center"/>
    </xf>
    <xf numFmtId="9" fontId="1" fillId="0" borderId="0" xfId="0" applyNumberFormat="1" applyFont="1" applyFill="1"/>
    <xf numFmtId="0" fontId="1" fillId="0" borderId="0" xfId="0" applyFont="1" applyFill="1"/>
    <xf numFmtId="9" fontId="1" fillId="0" borderId="0" xfId="0" applyNumberFormat="1" applyFont="1"/>
    <xf numFmtId="0" fontId="0" fillId="5" borderId="0" xfId="0" applyFill="1"/>
    <xf numFmtId="179" fontId="0" fillId="0" borderId="0" xfId="0" applyNumberFormat="1"/>
    <xf numFmtId="0" fontId="0" fillId="2" borderId="0" xfId="0" applyFill="1"/>
    <xf numFmtId="178" fontId="0" fillId="0" borderId="0" xfId="0" applyNumberFormat="1"/>
    <xf numFmtId="0" fontId="3" fillId="6" borderId="0" xfId="92" applyFill="1"/>
    <xf numFmtId="0" fontId="4" fillId="0" borderId="0" xfId="92" applyFont="1"/>
    <xf numFmtId="0" fontId="3" fillId="0" borderId="0" xfId="92"/>
    <xf numFmtId="0" fontId="5" fillId="0" borderId="0" xfId="92" applyFont="1"/>
    <xf numFmtId="0" fontId="3" fillId="0" borderId="0" xfId="92" applyFont="1"/>
    <xf numFmtId="0" fontId="3" fillId="6" borderId="0" xfId="92" applyFont="1" applyFill="1"/>
    <xf numFmtId="0" fontId="6" fillId="6" borderId="0" xfId="92" applyFont="1" applyFill="1"/>
    <xf numFmtId="0" fontId="7" fillId="6" borderId="0" xfId="92" applyFont="1" applyFill="1"/>
    <xf numFmtId="178" fontId="3" fillId="6" borderId="0" xfId="92" applyNumberFormat="1" applyFill="1"/>
    <xf numFmtId="0" fontId="5" fillId="6" borderId="0" xfId="92" applyFont="1" applyFill="1"/>
    <xf numFmtId="0" fontId="8" fillId="0" borderId="0" xfId="92" applyFont="1"/>
    <xf numFmtId="0" fontId="3" fillId="7" borderId="0" xfId="92" applyFill="1"/>
    <xf numFmtId="0" fontId="9" fillId="0" borderId="0" xfId="92" applyFont="1"/>
    <xf numFmtId="0" fontId="10" fillId="7" borderId="0" xfId="24" applyFill="1"/>
    <xf numFmtId="0" fontId="4" fillId="4" borderId="0" xfId="92" applyFont="1" applyFill="1"/>
    <xf numFmtId="0" fontId="11" fillId="6" borderId="0" xfId="92" applyFont="1" applyFill="1"/>
    <xf numFmtId="9" fontId="11" fillId="6" borderId="0" xfId="92" applyNumberFormat="1" applyFont="1" applyFill="1"/>
    <xf numFmtId="0" fontId="1" fillId="6" borderId="0" xfId="0" applyFont="1" applyFill="1"/>
    <xf numFmtId="9" fontId="7" fillId="6" borderId="0" xfId="92" applyNumberFormat="1" applyFont="1" applyFill="1"/>
    <xf numFmtId="0" fontId="4" fillId="6" borderId="0" xfId="92" applyFont="1" applyFill="1"/>
    <xf numFmtId="9" fontId="3" fillId="6" borderId="0" xfId="92" applyNumberFormat="1" applyFill="1"/>
    <xf numFmtId="9" fontId="5" fillId="6" borderId="0" xfId="92" applyNumberFormat="1" applyFont="1" applyFill="1"/>
    <xf numFmtId="178" fontId="3" fillId="0" borderId="0" xfId="92" applyNumberFormat="1"/>
    <xf numFmtId="178" fontId="4" fillId="0" borderId="0" xfId="92" applyNumberFormat="1" applyFont="1"/>
    <xf numFmtId="0" fontId="3" fillId="8" borderId="0" xfId="92" applyFill="1"/>
    <xf numFmtId="178" fontId="3" fillId="8" borderId="0" xfId="92" applyNumberFormat="1" applyFill="1"/>
    <xf numFmtId="178" fontId="12" fillId="0" borderId="0" xfId="92" applyNumberFormat="1" applyFont="1"/>
    <xf numFmtId="178" fontId="4" fillId="0" borderId="0" xfId="92" applyNumberFormat="1" applyFont="1" applyFill="1"/>
    <xf numFmtId="0" fontId="0" fillId="6" borderId="0" xfId="0" applyFill="1"/>
    <xf numFmtId="0" fontId="3" fillId="0" borderId="0" xfId="92" applyFill="1"/>
    <xf numFmtId="0" fontId="3" fillId="0" borderId="0" xfId="92" applyFont="1" applyFill="1"/>
    <xf numFmtId="0" fontId="4" fillId="0" borderId="0" xfId="92" applyFont="1" applyFill="1"/>
    <xf numFmtId="0" fontId="3" fillId="0" borderId="2" xfId="98" applyBorder="1"/>
    <xf numFmtId="0" fontId="7" fillId="0" borderId="2" xfId="98" applyFont="1" applyBorder="1"/>
    <xf numFmtId="0" fontId="11" fillId="0" borderId="0" xfId="92" applyFont="1" applyFill="1"/>
    <xf numFmtId="178" fontId="11" fillId="0" borderId="0" xfId="92" applyNumberFormat="1" applyFont="1" applyFill="1"/>
    <xf numFmtId="0" fontId="7" fillId="0" borderId="0" xfId="98" applyFont="1" applyBorder="1"/>
    <xf numFmtId="0" fontId="7" fillId="0" borderId="0" xfId="92" applyFont="1" applyFill="1"/>
    <xf numFmtId="0" fontId="11" fillId="0" borderId="2" xfId="98" applyFont="1" applyBorder="1"/>
    <xf numFmtId="0" fontId="13" fillId="9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0" xfId="0" applyBorder="1"/>
    <xf numFmtId="0" fontId="14" fillId="9" borderId="4" xfId="0" applyFont="1" applyFill="1" applyBorder="1" applyAlignment="1">
      <alignment horizontal="left" vertical="top" wrapText="1"/>
    </xf>
    <xf numFmtId="0" fontId="14" fillId="9" borderId="0" xfId="0" applyFont="1" applyFill="1" applyBorder="1" applyAlignment="1">
      <alignment horizontal="left" vertical="top" wrapText="1"/>
    </xf>
    <xf numFmtId="0" fontId="15" fillId="9" borderId="4" xfId="0" applyFont="1" applyFill="1" applyBorder="1" applyAlignment="1">
      <alignment vertical="top" wrapText="1"/>
    </xf>
    <xf numFmtId="0" fontId="15" fillId="9" borderId="0" xfId="0" applyFont="1" applyFill="1" applyBorder="1" applyAlignment="1">
      <alignment vertical="top" wrapText="1"/>
    </xf>
    <xf numFmtId="0" fontId="14" fillId="9" borderId="4" xfId="0" applyFont="1" applyFill="1" applyBorder="1" applyAlignment="1">
      <alignment vertical="top" wrapText="1"/>
    </xf>
    <xf numFmtId="3" fontId="14" fillId="9" borderId="4" xfId="0" applyNumberFormat="1" applyFont="1" applyFill="1" applyBorder="1" applyAlignment="1">
      <alignment vertical="top" wrapText="1"/>
    </xf>
    <xf numFmtId="3" fontId="14" fillId="9" borderId="0" xfId="0" applyNumberFormat="1" applyFont="1" applyFill="1" applyBorder="1" applyAlignment="1">
      <alignment vertical="top" wrapText="1"/>
    </xf>
    <xf numFmtId="0" fontId="16" fillId="10" borderId="5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vertical="center" wrapText="1"/>
    </xf>
    <xf numFmtId="0" fontId="18" fillId="11" borderId="5" xfId="6" applyFill="1" applyBorder="1" applyAlignment="1">
      <alignment vertical="center" wrapText="1"/>
    </xf>
    <xf numFmtId="0" fontId="19" fillId="11" borderId="5" xfId="0" applyFont="1" applyFill="1" applyBorder="1" applyAlignment="1">
      <alignment horizontal="left" vertical="center" wrapText="1"/>
    </xf>
    <xf numFmtId="0" fontId="18" fillId="11" borderId="5" xfId="6" applyFill="1" applyBorder="1" applyAlignment="1">
      <alignment horizontal="left" vertical="center" wrapText="1"/>
    </xf>
    <xf numFmtId="0" fontId="18" fillId="0" borderId="0" xfId="6"/>
    <xf numFmtId="0" fontId="7" fillId="0" borderId="0" xfId="92" applyFont="1"/>
    <xf numFmtId="0" fontId="6" fillId="0" borderId="2" xfId="98" applyFont="1" applyBorder="1"/>
    <xf numFmtId="0" fontId="0" fillId="11" borderId="6" xfId="0" applyFill="1" applyBorder="1"/>
  </cellXfs>
  <cellStyles count="12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1. jelölőszín" xfId="49"/>
    <cellStyle name="20% - 2. jelölőszín" xfId="50"/>
    <cellStyle name="20% - 3. jelölőszín" xfId="51"/>
    <cellStyle name="20% - 4. jelölőszín" xfId="52"/>
    <cellStyle name="20% - 5. jelölőszín" xfId="53"/>
    <cellStyle name="20% - 6. jelölőszín" xfId="54"/>
    <cellStyle name="40% - 1. jelölőszín" xfId="55"/>
    <cellStyle name="40% - 2. jelölőszín" xfId="56"/>
    <cellStyle name="40% - 3. jelölőszín" xfId="57"/>
    <cellStyle name="40% - 4. jelölőszín" xfId="58"/>
    <cellStyle name="40% - 5. jelölőszín" xfId="59"/>
    <cellStyle name="40% - 6. jelölőszín" xfId="60"/>
    <cellStyle name="60% - 1. jelölőszín" xfId="61"/>
    <cellStyle name="60% - 2. jelölőszín" xfId="62"/>
    <cellStyle name="60% - 3. jelölőszín" xfId="63"/>
    <cellStyle name="60% - 4. jelölőszín" xfId="64"/>
    <cellStyle name="60% - 5. jelölőszín" xfId="65"/>
    <cellStyle name="60% - 6. jelölőszín" xfId="66"/>
    <cellStyle name="Bevitel" xfId="67"/>
    <cellStyle name="Cím" xfId="68"/>
    <cellStyle name="Címsor 1" xfId="69"/>
    <cellStyle name="Címsor 2" xfId="70"/>
    <cellStyle name="Címsor 3" xfId="71"/>
    <cellStyle name="Címsor 4" xfId="72"/>
    <cellStyle name="Comma 2" xfId="73"/>
    <cellStyle name="Ellenőrzőcella" xfId="74"/>
    <cellStyle name="Ezres_vegleges_en" xfId="75"/>
    <cellStyle name="Figyelmeztetés" xfId="76"/>
    <cellStyle name="Hivatkozott cella" xfId="77"/>
    <cellStyle name="Jegyzet" xfId="78"/>
    <cellStyle name="Jelölőszín (1)" xfId="79"/>
    <cellStyle name="Jelölőszín (2)" xfId="80"/>
    <cellStyle name="Jelölőszín (3)" xfId="81"/>
    <cellStyle name="Jelölőszín (4)" xfId="82"/>
    <cellStyle name="Jelölőszín (5)" xfId="83"/>
    <cellStyle name="Jelölőszín (6)" xfId="84"/>
    <cellStyle name="Jó" xfId="85"/>
    <cellStyle name="Kimenet" xfId="86"/>
    <cellStyle name="Magyarázó szöveg" xfId="87"/>
    <cellStyle name="Normal 10" xfId="88"/>
    <cellStyle name="Normal 11 2" xfId="89"/>
    <cellStyle name="Normal 11 2 2" xfId="90"/>
    <cellStyle name="Normal 14" xfId="91"/>
    <cellStyle name="Normal 2" xfId="92"/>
    <cellStyle name="Normál 2" xfId="93"/>
    <cellStyle name="Normal 3" xfId="94"/>
    <cellStyle name="Normal 4" xfId="95"/>
    <cellStyle name="Normal 4 2" xfId="96"/>
    <cellStyle name="Normal 5" xfId="97"/>
    <cellStyle name="Normal 6" xfId="98"/>
    <cellStyle name="Normal 8" xfId="99"/>
    <cellStyle name="Normal 9 2" xfId="100"/>
    <cellStyle name="Normál_C3EM_v2" xfId="101"/>
    <cellStyle name="Normale_B2020" xfId="102"/>
    <cellStyle name="normální_List1" xfId="103"/>
    <cellStyle name="Note 2" xfId="104"/>
    <cellStyle name="Összesen" xfId="105"/>
    <cellStyle name="Percent 2" xfId="106"/>
    <cellStyle name="Percent 3" xfId="107"/>
    <cellStyle name="Percent 3 2" xfId="108"/>
    <cellStyle name="Percent 3 3" xfId="109"/>
    <cellStyle name="Percent 3 4" xfId="110"/>
    <cellStyle name="Percent 4" xfId="111"/>
    <cellStyle name="Percent 4 2" xfId="112"/>
    <cellStyle name="Percent 4 3" xfId="113"/>
    <cellStyle name="Percent 4 4" xfId="114"/>
    <cellStyle name="Percent 5" xfId="115"/>
    <cellStyle name="Percent 6" xfId="116"/>
    <cellStyle name="Percent 7" xfId="117"/>
    <cellStyle name="Percent 8" xfId="118"/>
    <cellStyle name="Rossz" xfId="119"/>
    <cellStyle name="Semleges" xfId="120"/>
    <cellStyle name="Standard_Sce_D_Extraction" xfId="121"/>
    <cellStyle name="Számítás" xfId="12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27</xdr:col>
      <xdr:colOff>412115</xdr:colOff>
      <xdr:row>4</xdr:row>
      <xdr:rowOff>78740</xdr:rowOff>
    </xdr:from>
    <xdr:to>
      <xdr:col>38</xdr:col>
      <xdr:colOff>556699</xdr:colOff>
      <xdr:row>47</xdr:row>
      <xdr:rowOff>71046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330890" y="789940"/>
          <a:ext cx="7273925" cy="7757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gem.wiki/H.R._Milner_power_station" TargetMode="External"/><Relationship Id="rId8" Type="http://schemas.openxmlformats.org/officeDocument/2006/relationships/hyperlink" Target="https://www.gem.wiki/w/index.php?title=Capital_Power_Corporation&amp;action=edit&amp;redlink=1" TargetMode="External"/><Relationship Id="rId7" Type="http://schemas.openxmlformats.org/officeDocument/2006/relationships/hyperlink" Target="https://www.gem.wiki/Genesee_3" TargetMode="External"/><Relationship Id="rId6" Type="http://schemas.openxmlformats.org/officeDocument/2006/relationships/hyperlink" Target="https://www.gem.wiki/w/index.php?title=Atco_Power&amp;action=edit&amp;redlink=1" TargetMode="External"/><Relationship Id="rId5" Type="http://schemas.openxmlformats.org/officeDocument/2006/relationships/hyperlink" Target="https://www.gem.wiki/Battle_River_power_station" TargetMode="External"/><Relationship Id="rId4" Type="http://schemas.openxmlformats.org/officeDocument/2006/relationships/hyperlink" Target="https://natural-resources.canada.ca/our-natural-resources/energy-sources-distribution/renewable-energy/about-renewable-energy/7295" TargetMode="External"/><Relationship Id="rId38" Type="http://schemas.openxmlformats.org/officeDocument/2006/relationships/hyperlink" Target="https://www.gem.wiki/Existing_coal_plants_in_Canada" TargetMode="External"/><Relationship Id="rId37" Type="http://schemas.openxmlformats.org/officeDocument/2006/relationships/hyperlink" Target="https://www.gem.wiki/Grand_Lake_power_station" TargetMode="External"/><Relationship Id="rId36" Type="http://schemas.openxmlformats.org/officeDocument/2006/relationships/hyperlink" Target="https://www.gem.wiki/Shand_power_station" TargetMode="External"/><Relationship Id="rId35" Type="http://schemas.openxmlformats.org/officeDocument/2006/relationships/hyperlink" Target="https://www.gem.wiki/Poplar_River_power_station" TargetMode="External"/><Relationship Id="rId34" Type="http://schemas.openxmlformats.org/officeDocument/2006/relationships/hyperlink" Target="https://www.gem.wiki/SaskPower" TargetMode="External"/><Relationship Id="rId33" Type="http://schemas.openxmlformats.org/officeDocument/2006/relationships/hyperlink" Target="https://www.gem.wiki/Boundary_Dam_Power_Station" TargetMode="External"/><Relationship Id="rId32" Type="http://schemas.openxmlformats.org/officeDocument/2006/relationships/hyperlink" Target="https://www.gem.wiki/Thunder_Bay_power_station" TargetMode="External"/><Relationship Id="rId31" Type="http://schemas.openxmlformats.org/officeDocument/2006/relationships/hyperlink" Target="https://www.gem.wiki/Nanticoke_power_station" TargetMode="External"/><Relationship Id="rId30" Type="http://schemas.openxmlformats.org/officeDocument/2006/relationships/hyperlink" Target="https://www.gem.wiki/Lambton_generating_station" TargetMode="External"/><Relationship Id="rId3" Type="http://schemas.openxmlformats.org/officeDocument/2006/relationships/vmlDrawing" Target="../drawings/vmlDrawing1.vml"/><Relationship Id="rId29" Type="http://schemas.openxmlformats.org/officeDocument/2006/relationships/hyperlink" Target="https://www.gem.wiki/Lakeview_Generating_Station" TargetMode="External"/><Relationship Id="rId28" Type="http://schemas.openxmlformats.org/officeDocument/2006/relationships/hyperlink" Target="https://www.gem.wiki/w/index.php?title=Hearn_Generating_Station&amp;action=edit&amp;redlink=1" TargetMode="External"/><Relationship Id="rId27" Type="http://schemas.openxmlformats.org/officeDocument/2006/relationships/hyperlink" Target="https://www.gem.wiki/w/index.php?title=Ontario_Power_Generation&amp;action=edit&amp;redlink=1" TargetMode="External"/><Relationship Id="rId26" Type="http://schemas.openxmlformats.org/officeDocument/2006/relationships/hyperlink" Target="https://www.gem.wiki/Atikokan_power_station" TargetMode="External"/><Relationship Id="rId25" Type="http://schemas.openxmlformats.org/officeDocument/2006/relationships/hyperlink" Target="https://www.gem.wiki/Trenton_Generating_Station" TargetMode="External"/><Relationship Id="rId24" Type="http://schemas.openxmlformats.org/officeDocument/2006/relationships/hyperlink" Target="https://www.gem.wiki/Point_Tupper_power_station" TargetMode="External"/><Relationship Id="rId23" Type="http://schemas.openxmlformats.org/officeDocument/2006/relationships/hyperlink" Target="https://www.gem.wiki/Point_Aconi_Generating_Station" TargetMode="External"/><Relationship Id="rId22" Type="http://schemas.openxmlformats.org/officeDocument/2006/relationships/hyperlink" Target="https://www.gem.wiki/w/index.php?title=Nova_Scotia_Power&amp;action=edit&amp;redlink=1" TargetMode="External"/><Relationship Id="rId21" Type="http://schemas.openxmlformats.org/officeDocument/2006/relationships/hyperlink" Target="https://www.gem.wiki/Lingan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2" Type="http://schemas.openxmlformats.org/officeDocument/2006/relationships/drawing" Target="../drawings/drawing1.xml"/><Relationship Id="rId19" Type="http://schemas.openxmlformats.org/officeDocument/2006/relationships/hyperlink" Target="https://www.gem.wiki/w/index.php?title=New_Brunswick_Power&amp;action=edit&amp;redlink=1" TargetMode="External"/><Relationship Id="rId18" Type="http://schemas.openxmlformats.org/officeDocument/2006/relationships/hyperlink" Target="https://www.gem.wiki/Belledune_power_station" TargetMode="External"/><Relationship Id="rId17" Type="http://schemas.openxmlformats.org/officeDocument/2006/relationships/hyperlink" Target="https://www.gem.wiki/w/index.php?title=Manitoba_Hydro&amp;action=edit&amp;redlink=1" TargetMode="External"/><Relationship Id="rId16" Type="http://schemas.openxmlformats.org/officeDocument/2006/relationships/hyperlink" Target="https://www.gem.wiki/Manitoba_Brandon_power_station" TargetMode="External"/><Relationship Id="rId15" Type="http://schemas.openxmlformats.org/officeDocument/2006/relationships/hyperlink" Target="https://www.gem.wiki/Wabamum_Generating_Station" TargetMode="External"/><Relationship Id="rId14" Type="http://schemas.openxmlformats.org/officeDocument/2006/relationships/hyperlink" Target="https://www.gem.wiki/Sundance" TargetMode="External"/><Relationship Id="rId13" Type="http://schemas.openxmlformats.org/officeDocument/2006/relationships/hyperlink" Target="https://www.gem.wiki/Sheerness" TargetMode="External"/><Relationship Id="rId12" Type="http://schemas.openxmlformats.org/officeDocument/2006/relationships/hyperlink" Target="https://www.gem.wiki/TransAlta" TargetMode="External"/><Relationship Id="rId11" Type="http://schemas.openxmlformats.org/officeDocument/2006/relationships/hyperlink" Target="https://www.gem.wiki/Keephills" TargetMode="External"/><Relationship Id="rId10" Type="http://schemas.openxmlformats.org/officeDocument/2006/relationships/hyperlink" Target="https://www.gem.wiki/w/index.php?title=Maxim_Power_Corp&amp;action=edit&amp;redlink=1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AI176"/>
  <sheetViews>
    <sheetView tabSelected="1" workbookViewId="0">
      <pane xSplit="4" ySplit="2" topLeftCell="E33" activePane="bottomRight" state="frozen"/>
      <selection/>
      <selection pane="topRight"/>
      <selection pane="bottomLeft"/>
      <selection pane="bottomRight" activeCell="H49" sqref="H49"/>
    </sheetView>
  </sheetViews>
  <sheetFormatPr defaultColWidth="9.13636363636364" defaultRowHeight="13"/>
  <cols>
    <col min="1" max="1" width="2" style="18" customWidth="1"/>
    <col min="2" max="2" width="23.2818181818182" style="18" customWidth="1"/>
    <col min="3" max="3" width="9.28181818181818" style="18" customWidth="1"/>
    <col min="4" max="4" width="15.5727272727273" style="18" customWidth="1"/>
    <col min="5" max="5" width="6.13636363636364" style="18" customWidth="1"/>
    <col min="6" max="6" width="4.85454545454545" style="18" customWidth="1"/>
    <col min="7" max="7" width="8.57272727272727" style="19" customWidth="1"/>
    <col min="8" max="8" width="11.5727272727273" style="19" customWidth="1"/>
    <col min="9" max="9" width="17" style="18" customWidth="1"/>
    <col min="10" max="10" width="30.8545454545455" style="17" customWidth="1"/>
    <col min="11" max="11" width="6.28181818181818" style="17" customWidth="1"/>
    <col min="12" max="13" width="23.2818181818182" style="18" customWidth="1"/>
    <col min="14" max="15" width="9.28181818181818" style="18" customWidth="1"/>
    <col min="16" max="16" width="23.2818181818182" style="17" customWidth="1"/>
    <col min="17" max="17" width="163.572727272727" style="17" customWidth="1"/>
    <col min="18" max="18" width="9.42727272727273" style="18" customWidth="1"/>
    <col min="19" max="19" width="8.13636363636364" style="18" customWidth="1"/>
    <col min="20" max="20" width="11.5727272727273" style="18" customWidth="1"/>
    <col min="21" max="21" width="23.2818181818182" style="18" customWidth="1"/>
    <col min="22" max="22" width="39.5727272727273" style="18" customWidth="1"/>
    <col min="23" max="23" width="4.57272727272727" style="18" customWidth="1"/>
    <col min="24" max="24" width="5" style="18" customWidth="1"/>
    <col min="25" max="25" width="8.85454545454546" style="18" customWidth="1"/>
    <col min="26" max="26" width="7.28181818181818" style="18" customWidth="1"/>
    <col min="27" max="29" width="9.13636363636364" style="18"/>
    <col min="30" max="30" width="10.7090909090909" style="18" customWidth="1"/>
    <col min="31" max="16384" width="9.13636363636364" style="18"/>
  </cols>
  <sheetData>
    <row r="1" ht="14" spans="4:35">
      <c r="D1" s="18" t="s">
        <v>0</v>
      </c>
      <c r="J1" s="17" t="s">
        <v>1</v>
      </c>
      <c r="Q1" s="19" t="s">
        <v>2</v>
      </c>
      <c r="T1" s="38" t="s">
        <v>3</v>
      </c>
      <c r="U1" s="38"/>
      <c r="V1" s="38"/>
      <c r="W1" s="38"/>
      <c r="X1" s="38"/>
      <c r="Y1" s="38"/>
      <c r="Z1" s="38"/>
      <c r="AB1" s="38" t="s">
        <v>4</v>
      </c>
      <c r="AC1" s="38"/>
      <c r="AD1" s="38"/>
      <c r="AE1" s="38"/>
      <c r="AF1" s="42" t="s">
        <v>5</v>
      </c>
      <c r="AG1" s="38"/>
      <c r="AH1" s="38"/>
      <c r="AI1" s="38"/>
    </row>
    <row r="2" spans="2:35">
      <c r="B2" s="18" t="s">
        <v>6</v>
      </c>
      <c r="C2" s="20" t="s">
        <v>7</v>
      </c>
      <c r="D2" s="20" t="s">
        <v>8</v>
      </c>
      <c r="E2" s="20" t="s">
        <v>9</v>
      </c>
      <c r="F2" s="20" t="s">
        <v>10</v>
      </c>
      <c r="G2" s="19" t="s">
        <v>11</v>
      </c>
      <c r="H2" s="19" t="s">
        <v>12</v>
      </c>
      <c r="I2" s="20" t="s">
        <v>13</v>
      </c>
      <c r="J2" s="17" t="s">
        <v>14</v>
      </c>
      <c r="K2" s="17" t="s">
        <v>15</v>
      </c>
      <c r="L2" s="20" t="s">
        <v>16</v>
      </c>
      <c r="M2" s="20" t="s">
        <v>17</v>
      </c>
      <c r="N2" s="20" t="s">
        <v>18</v>
      </c>
      <c r="O2" s="20" t="s">
        <v>19</v>
      </c>
      <c r="P2" s="17" t="s">
        <v>20</v>
      </c>
      <c r="Q2" s="17" t="s">
        <v>21</v>
      </c>
      <c r="R2" s="20" t="s">
        <v>22</v>
      </c>
      <c r="T2" s="38" t="s">
        <v>23</v>
      </c>
      <c r="U2" s="38" t="s">
        <v>6</v>
      </c>
      <c r="V2" s="38" t="s">
        <v>24</v>
      </c>
      <c r="W2" s="38" t="s">
        <v>25</v>
      </c>
      <c r="X2" s="38" t="s">
        <v>26</v>
      </c>
      <c r="Y2" s="38" t="s">
        <v>27</v>
      </c>
      <c r="Z2" s="38" t="s">
        <v>28</v>
      </c>
      <c r="AB2" s="38" t="s">
        <v>29</v>
      </c>
      <c r="AC2" s="38" t="s">
        <v>30</v>
      </c>
      <c r="AD2" s="38" t="s">
        <v>31</v>
      </c>
      <c r="AE2" s="38" t="s">
        <v>32</v>
      </c>
      <c r="AF2" s="38" t="s">
        <v>33</v>
      </c>
      <c r="AG2" s="38" t="s">
        <v>34</v>
      </c>
      <c r="AH2" s="38" t="s">
        <v>35</v>
      </c>
      <c r="AI2" s="38" t="s">
        <v>36</v>
      </c>
    </row>
    <row r="3" s="16" customFormat="1" ht="14.5" spans="2:35">
      <c r="B3" s="16" t="str">
        <f>U3</f>
        <v>ECHP_biomass_thermal</v>
      </c>
      <c r="C3" s="21" t="s">
        <v>37</v>
      </c>
      <c r="D3" s="21" t="s">
        <v>38</v>
      </c>
      <c r="E3" s="16">
        <v>5</v>
      </c>
      <c r="F3" s="16">
        <v>30</v>
      </c>
      <c r="G3" s="22">
        <v>106</v>
      </c>
      <c r="H3" s="22">
        <v>106</v>
      </c>
      <c r="I3" s="31">
        <v>2</v>
      </c>
      <c r="J3" s="31">
        <v>1.06</v>
      </c>
      <c r="K3" s="31">
        <v>1.06</v>
      </c>
      <c r="L3" s="32">
        <v>0.75</v>
      </c>
      <c r="M3" s="32">
        <v>0.75</v>
      </c>
      <c r="N3" s="32">
        <v>0.35</v>
      </c>
      <c r="O3" s="32">
        <v>0.35</v>
      </c>
      <c r="P3" s="33"/>
      <c r="Q3" s="35">
        <v>1.2</v>
      </c>
      <c r="R3" s="16">
        <v>31.54</v>
      </c>
      <c r="T3" s="24" t="s">
        <v>39</v>
      </c>
      <c r="U3" s="24" t="s">
        <v>40</v>
      </c>
      <c r="V3" s="24" t="str">
        <f>"Existing CHP plant - "&amp;MID(U3,6,50)</f>
        <v>Existing CHP plant - biomass_thermal</v>
      </c>
      <c r="W3" s="24" t="s">
        <v>41</v>
      </c>
      <c r="X3" s="24" t="s">
        <v>42</v>
      </c>
      <c r="Y3" s="24" t="s">
        <v>43</v>
      </c>
      <c r="Z3" s="24" t="s">
        <v>44</v>
      </c>
      <c r="AB3" s="24" t="s">
        <v>45</v>
      </c>
      <c r="AC3" s="24" t="s">
        <v>37</v>
      </c>
      <c r="AD3" s="24" t="str">
        <f>AC3</f>
        <v>ELCWOO</v>
      </c>
      <c r="AE3" s="24" t="s">
        <v>41</v>
      </c>
      <c r="AF3" s="24"/>
      <c r="AG3" s="24"/>
      <c r="AH3" s="24"/>
      <c r="AI3" s="24"/>
    </row>
    <row r="4" s="16" customFormat="1" ht="14.5" spans="2:35">
      <c r="B4" s="16" t="str">
        <f t="shared" ref="B4:B26" si="0">U4</f>
        <v>ECHP_coal_thermal</v>
      </c>
      <c r="C4" s="21" t="s">
        <v>46</v>
      </c>
      <c r="D4" s="21" t="s">
        <v>38</v>
      </c>
      <c r="E4" s="23">
        <v>5</v>
      </c>
      <c r="F4" s="23">
        <v>35</v>
      </c>
      <c r="G4" s="22">
        <v>26</v>
      </c>
      <c r="H4" s="22">
        <v>26</v>
      </c>
      <c r="I4" s="23">
        <v>2</v>
      </c>
      <c r="J4" s="22">
        <v>1.05</v>
      </c>
      <c r="K4" s="22">
        <v>1.05</v>
      </c>
      <c r="L4" s="23">
        <v>0.86</v>
      </c>
      <c r="M4" s="23">
        <v>0.86</v>
      </c>
      <c r="N4" s="34">
        <v>0.38</v>
      </c>
      <c r="O4" s="34">
        <v>0.38</v>
      </c>
      <c r="P4" s="33"/>
      <c r="Q4" s="35">
        <v>1.2</v>
      </c>
      <c r="R4" s="16">
        <v>31.54</v>
      </c>
      <c r="T4" s="24" t="s">
        <v>39</v>
      </c>
      <c r="U4" s="24" t="s">
        <v>47</v>
      </c>
      <c r="V4" s="24" t="str">
        <f t="shared" ref="V4:V11" si="1">"Existing CHP plant - "&amp;MID(U4,6,50)</f>
        <v>Existing CHP plant - coal_thermal</v>
      </c>
      <c r="W4" s="24" t="s">
        <v>41</v>
      </c>
      <c r="X4" s="24" t="s">
        <v>42</v>
      </c>
      <c r="Y4" s="24" t="s">
        <v>43</v>
      </c>
      <c r="Z4" s="24" t="s">
        <v>44</v>
      </c>
      <c r="AB4" s="24"/>
      <c r="AC4" s="24" t="s">
        <v>48</v>
      </c>
      <c r="AD4" s="24" t="str">
        <f t="shared" ref="AD4:AD9" si="2">AC4</f>
        <v>ELCDST</v>
      </c>
      <c r="AE4" s="24" t="s">
        <v>41</v>
      </c>
      <c r="AF4" s="24"/>
      <c r="AG4" s="24"/>
      <c r="AH4" s="24"/>
      <c r="AI4" s="24"/>
    </row>
    <row r="5" s="16" customFormat="1" ht="14.5" spans="2:35">
      <c r="B5" s="16" t="str">
        <f t="shared" si="0"/>
        <v>ECHP_HFO_thermal</v>
      </c>
      <c r="C5" s="21" t="s">
        <v>49</v>
      </c>
      <c r="D5" s="21" t="s">
        <v>38</v>
      </c>
      <c r="E5" s="16">
        <v>5</v>
      </c>
      <c r="F5" s="16">
        <v>35</v>
      </c>
      <c r="G5" s="22">
        <v>15</v>
      </c>
      <c r="H5" s="22">
        <v>15</v>
      </c>
      <c r="I5" s="16">
        <v>2</v>
      </c>
      <c r="J5" s="35">
        <v>0.89</v>
      </c>
      <c r="K5" s="35">
        <v>0.89</v>
      </c>
      <c r="L5" s="16">
        <v>0.6</v>
      </c>
      <c r="M5" s="16">
        <v>0.6</v>
      </c>
      <c r="N5" s="36">
        <v>0.3</v>
      </c>
      <c r="O5" s="36">
        <v>0.3</v>
      </c>
      <c r="P5" s="33"/>
      <c r="Q5" s="35">
        <v>1.2</v>
      </c>
      <c r="R5" s="16">
        <v>31.54</v>
      </c>
      <c r="T5" s="24" t="s">
        <v>39</v>
      </c>
      <c r="U5" s="24" t="s">
        <v>50</v>
      </c>
      <c r="V5" s="24" t="str">
        <f t="shared" si="1"/>
        <v>Existing CHP plant - HFO_thermal</v>
      </c>
      <c r="W5" s="24" t="s">
        <v>41</v>
      </c>
      <c r="X5" s="24" t="s">
        <v>42</v>
      </c>
      <c r="Y5" s="24" t="s">
        <v>43</v>
      </c>
      <c r="Z5" s="24" t="s">
        <v>44</v>
      </c>
      <c r="AB5" s="24"/>
      <c r="AC5" s="24" t="s">
        <v>51</v>
      </c>
      <c r="AD5" s="24" t="str">
        <f t="shared" si="2"/>
        <v>ELCSOL</v>
      </c>
      <c r="AE5" s="24" t="s">
        <v>41</v>
      </c>
      <c r="AF5" s="24"/>
      <c r="AG5" s="24"/>
      <c r="AH5" s="24"/>
      <c r="AI5" s="24"/>
    </row>
    <row r="6" s="17" customFormat="1" ht="14.5" spans="2:35">
      <c r="B6" s="17" t="str">
        <f t="shared" si="0"/>
        <v>ECHP_LFO_thermal</v>
      </c>
      <c r="C6" s="17" t="s">
        <v>48</v>
      </c>
      <c r="D6" s="17" t="s">
        <v>38</v>
      </c>
      <c r="E6" s="17">
        <v>25</v>
      </c>
      <c r="F6" s="17">
        <v>200</v>
      </c>
      <c r="G6" s="19">
        <v>18</v>
      </c>
      <c r="H6" s="19">
        <v>18</v>
      </c>
      <c r="I6" s="17">
        <v>2</v>
      </c>
      <c r="J6" s="17">
        <f t="shared" ref="J6:K27" si="3">IFERROR(VLOOKUP(G6,$B$40:$C$42,2,FALSE),"")</f>
        <v>4</v>
      </c>
      <c r="K6" s="17">
        <f t="shared" si="3"/>
        <v>4</v>
      </c>
      <c r="L6" s="17">
        <v>0.9</v>
      </c>
      <c r="M6" s="17">
        <v>0.9</v>
      </c>
      <c r="P6" s="4">
        <v>11</v>
      </c>
      <c r="Q6" s="17">
        <v>1.2</v>
      </c>
      <c r="R6" s="17">
        <v>31.54</v>
      </c>
      <c r="T6" s="39" t="s">
        <v>39</v>
      </c>
      <c r="U6" s="39" t="s">
        <v>52</v>
      </c>
      <c r="V6" s="39" t="str">
        <f t="shared" si="1"/>
        <v>Existing CHP plant - LFO_thermal</v>
      </c>
      <c r="W6" s="39" t="s">
        <v>41</v>
      </c>
      <c r="X6" s="39" t="s">
        <v>42</v>
      </c>
      <c r="Y6" s="39" t="s">
        <v>43</v>
      </c>
      <c r="Z6" s="39" t="s">
        <v>44</v>
      </c>
      <c r="AB6" s="39"/>
      <c r="AC6" s="39" t="s">
        <v>53</v>
      </c>
      <c r="AD6" s="39" t="str">
        <f t="shared" si="2"/>
        <v>ELCWIN</v>
      </c>
      <c r="AE6" s="39" t="s">
        <v>41</v>
      </c>
      <c r="AF6" s="39"/>
      <c r="AG6" s="39"/>
      <c r="AH6" s="39"/>
      <c r="AI6" s="39"/>
    </row>
    <row r="7" s="17" customFormat="1" ht="14.5" spans="2:35">
      <c r="B7" s="17" t="str">
        <f t="shared" si="0"/>
        <v>ECHP_lignite_thermal</v>
      </c>
      <c r="C7" s="17" t="s">
        <v>54</v>
      </c>
      <c r="D7" s="17" t="s">
        <v>38</v>
      </c>
      <c r="E7" s="17">
        <v>25</v>
      </c>
      <c r="F7" s="17">
        <v>200</v>
      </c>
      <c r="G7" s="19">
        <v>30</v>
      </c>
      <c r="H7" s="19">
        <v>30</v>
      </c>
      <c r="I7" s="17">
        <v>2</v>
      </c>
      <c r="J7" s="17">
        <f t="shared" si="3"/>
        <v>2</v>
      </c>
      <c r="K7" s="17">
        <f t="shared" si="3"/>
        <v>2</v>
      </c>
      <c r="L7" s="17">
        <v>0.91</v>
      </c>
      <c r="M7" s="17">
        <v>0.91</v>
      </c>
      <c r="P7" s="4">
        <v>11</v>
      </c>
      <c r="Q7" s="17">
        <v>1.2</v>
      </c>
      <c r="R7" s="17">
        <v>31.54</v>
      </c>
      <c r="T7" s="39" t="s">
        <v>39</v>
      </c>
      <c r="U7" s="39" t="s">
        <v>55</v>
      </c>
      <c r="V7" s="39" t="str">
        <f t="shared" si="1"/>
        <v>Existing CHP plant - lignite_thermal</v>
      </c>
      <c r="W7" s="39" t="s">
        <v>41</v>
      </c>
      <c r="X7" s="39" t="s">
        <v>42</v>
      </c>
      <c r="Y7" s="39" t="s">
        <v>43</v>
      </c>
      <c r="Z7" s="39" t="s">
        <v>44</v>
      </c>
      <c r="AB7" s="39"/>
      <c r="AC7" s="43" t="s">
        <v>56</v>
      </c>
      <c r="AD7" s="39" t="s">
        <v>57</v>
      </c>
      <c r="AE7" s="39" t="s">
        <v>41</v>
      </c>
      <c r="AF7" s="39"/>
      <c r="AG7" s="39" t="s">
        <v>43</v>
      </c>
      <c r="AH7" s="39" t="s">
        <v>58</v>
      </c>
      <c r="AI7" s="39" t="s">
        <v>59</v>
      </c>
    </row>
    <row r="8" s="16" customFormat="1" ht="14.5" spans="2:35">
      <c r="B8" s="16" t="str">
        <f t="shared" si="0"/>
        <v>ECHP_naturalgas_CCGT</v>
      </c>
      <c r="C8" s="21" t="s">
        <v>60</v>
      </c>
      <c r="D8" s="21" t="s">
        <v>38</v>
      </c>
      <c r="E8" s="16">
        <v>25</v>
      </c>
      <c r="F8" s="16">
        <v>200</v>
      </c>
      <c r="G8" s="22">
        <v>7</v>
      </c>
      <c r="H8" s="22">
        <v>7</v>
      </c>
      <c r="I8" s="16">
        <v>2</v>
      </c>
      <c r="J8" s="35">
        <v>0.65</v>
      </c>
      <c r="K8" s="35">
        <v>0.65</v>
      </c>
      <c r="L8" s="16">
        <v>0.85</v>
      </c>
      <c r="M8" s="16">
        <v>0.85</v>
      </c>
      <c r="N8" s="36">
        <v>0.97</v>
      </c>
      <c r="O8" s="36">
        <v>0.97</v>
      </c>
      <c r="P8" s="33"/>
      <c r="Q8" s="35">
        <v>1.2</v>
      </c>
      <c r="R8" s="16">
        <v>31.54</v>
      </c>
      <c r="T8" s="24" t="s">
        <v>39</v>
      </c>
      <c r="U8" s="24" t="s">
        <v>61</v>
      </c>
      <c r="V8" s="24" t="str">
        <f t="shared" si="1"/>
        <v>Existing CHP plant - naturalgas_CCGT</v>
      </c>
      <c r="W8" s="24" t="s">
        <v>41</v>
      </c>
      <c r="X8" s="24" t="s">
        <v>42</v>
      </c>
      <c r="Y8" s="24" t="s">
        <v>43</v>
      </c>
      <c r="Z8" s="24" t="s">
        <v>44</v>
      </c>
      <c r="AB8" s="24"/>
      <c r="AC8" s="24" t="s">
        <v>62</v>
      </c>
      <c r="AD8" s="24" t="str">
        <f t="shared" si="2"/>
        <v>HETHTH</v>
      </c>
      <c r="AE8" s="24" t="s">
        <v>41</v>
      </c>
      <c r="AF8" s="24"/>
      <c r="AG8" s="24" t="s">
        <v>63</v>
      </c>
      <c r="AH8" s="24" t="s">
        <v>58</v>
      </c>
      <c r="AI8" s="24" t="s">
        <v>64</v>
      </c>
    </row>
    <row r="9" s="16" customFormat="1" ht="14.5" spans="2:31">
      <c r="B9" s="16" t="str">
        <f t="shared" si="0"/>
        <v>ECHP_naturalgas_OCGT</v>
      </c>
      <c r="C9" s="21" t="s">
        <v>60</v>
      </c>
      <c r="D9" s="21" t="s">
        <v>38</v>
      </c>
      <c r="E9" s="16">
        <v>25</v>
      </c>
      <c r="F9" s="16">
        <v>200</v>
      </c>
      <c r="G9" s="22">
        <v>7</v>
      </c>
      <c r="H9" s="22">
        <v>7</v>
      </c>
      <c r="I9" s="16">
        <v>2</v>
      </c>
      <c r="J9" s="35">
        <v>0.65</v>
      </c>
      <c r="K9" s="35">
        <v>0.65</v>
      </c>
      <c r="L9" s="16">
        <v>0.85</v>
      </c>
      <c r="M9" s="16">
        <v>0.85</v>
      </c>
      <c r="N9" s="36">
        <v>0.97</v>
      </c>
      <c r="O9" s="36">
        <v>0.97</v>
      </c>
      <c r="P9" s="33"/>
      <c r="Q9" s="35">
        <v>1.2</v>
      </c>
      <c r="R9" s="16">
        <v>31.54</v>
      </c>
      <c r="T9" s="24" t="s">
        <v>39</v>
      </c>
      <c r="U9" s="24" t="s">
        <v>65</v>
      </c>
      <c r="V9" s="24" t="str">
        <f t="shared" si="1"/>
        <v>Existing CHP plant - naturalgas_OCGT</v>
      </c>
      <c r="W9" s="24" t="s">
        <v>41</v>
      </c>
      <c r="X9" s="24" t="s">
        <v>42</v>
      </c>
      <c r="Y9" s="24" t="s">
        <v>43</v>
      </c>
      <c r="Z9" s="24" t="s">
        <v>44</v>
      </c>
      <c r="AC9" s="24" t="s">
        <v>66</v>
      </c>
      <c r="AD9" s="16" t="str">
        <f t="shared" si="2"/>
        <v>ELCHYD</v>
      </c>
      <c r="AE9" s="24" t="s">
        <v>41</v>
      </c>
    </row>
    <row r="10" s="16" customFormat="1" ht="14.5" spans="2:29">
      <c r="B10" s="16" t="str">
        <f t="shared" si="0"/>
        <v>ECHP_naturalgas_thermal</v>
      </c>
      <c r="C10" s="21" t="s">
        <v>60</v>
      </c>
      <c r="D10" s="21" t="s">
        <v>38</v>
      </c>
      <c r="E10" s="16">
        <v>5</v>
      </c>
      <c r="F10" s="16">
        <v>35</v>
      </c>
      <c r="G10" s="22">
        <v>6</v>
      </c>
      <c r="H10" s="22">
        <v>6</v>
      </c>
      <c r="I10" s="16">
        <v>2</v>
      </c>
      <c r="J10" s="35">
        <v>1.12</v>
      </c>
      <c r="K10" s="35">
        <v>1.12</v>
      </c>
      <c r="L10" s="16">
        <v>0.85</v>
      </c>
      <c r="M10" s="16">
        <v>0.85</v>
      </c>
      <c r="N10" s="36">
        <v>0.4</v>
      </c>
      <c r="O10" s="36">
        <v>0.4</v>
      </c>
      <c r="P10" s="33"/>
      <c r="Q10" s="35">
        <v>1.2</v>
      </c>
      <c r="R10" s="16">
        <v>31.54</v>
      </c>
      <c r="T10" s="24" t="s">
        <v>39</v>
      </c>
      <c r="U10" s="24" t="s">
        <v>67</v>
      </c>
      <c r="V10" s="24" t="str">
        <f t="shared" si="1"/>
        <v>Existing CHP plant - naturalgas_thermal</v>
      </c>
      <c r="W10" s="24" t="s">
        <v>41</v>
      </c>
      <c r="X10" s="24" t="s">
        <v>42</v>
      </c>
      <c r="Y10" s="24" t="s">
        <v>43</v>
      </c>
      <c r="Z10" s="24" t="s">
        <v>44</v>
      </c>
      <c r="AC10" s="44"/>
    </row>
    <row r="11" s="16" customFormat="1" ht="14.5" spans="2:29">
      <c r="B11" s="16" t="str">
        <f t="shared" si="0"/>
        <v>ECHP_PV</v>
      </c>
      <c r="C11" s="21" t="s">
        <v>51</v>
      </c>
      <c r="D11" s="21" t="s">
        <v>38</v>
      </c>
      <c r="E11" s="16">
        <v>20</v>
      </c>
      <c r="F11" s="16">
        <v>25</v>
      </c>
      <c r="G11" s="22">
        <v>57</v>
      </c>
      <c r="H11" s="22">
        <v>57</v>
      </c>
      <c r="I11" s="16">
        <v>2</v>
      </c>
      <c r="J11" s="35" t="str">
        <f t="shared" ref="J11:K11" si="4">IFERROR(VLOOKUP(G11,$B$40:$C$42,2,FALSE),"")</f>
        <v/>
      </c>
      <c r="K11" s="35" t="str">
        <f t="shared" si="4"/>
        <v/>
      </c>
      <c r="N11" s="16">
        <v>1</v>
      </c>
      <c r="O11" s="16">
        <v>1</v>
      </c>
      <c r="P11" s="33"/>
      <c r="Q11" s="35">
        <v>1.2</v>
      </c>
      <c r="R11" s="16">
        <v>31.54</v>
      </c>
      <c r="T11" s="24" t="s">
        <v>39</v>
      </c>
      <c r="U11" s="24" t="s">
        <v>68</v>
      </c>
      <c r="V11" s="24" t="str">
        <f t="shared" si="1"/>
        <v>Existing CHP plant - PV</v>
      </c>
      <c r="W11" s="24" t="s">
        <v>41</v>
      </c>
      <c r="X11" s="24" t="s">
        <v>42</v>
      </c>
      <c r="Y11" s="24" t="s">
        <v>43</v>
      </c>
      <c r="Z11" s="24" t="s">
        <v>44</v>
      </c>
      <c r="AC11" s="44"/>
    </row>
    <row r="12" s="16" customFormat="1" ht="14.5" spans="2:29">
      <c r="B12" s="16" t="str">
        <f t="shared" si="0"/>
        <v>EEPP_biomass_CCGT</v>
      </c>
      <c r="C12" s="21" t="s">
        <v>37</v>
      </c>
      <c r="D12" s="21" t="s">
        <v>59</v>
      </c>
      <c r="E12" s="16">
        <v>5</v>
      </c>
      <c r="F12" s="16">
        <v>30</v>
      </c>
      <c r="G12" s="22">
        <v>106</v>
      </c>
      <c r="H12" s="22">
        <v>106</v>
      </c>
      <c r="I12" s="31">
        <v>2</v>
      </c>
      <c r="J12" s="31">
        <v>1.06</v>
      </c>
      <c r="K12" s="31">
        <v>1.06</v>
      </c>
      <c r="L12" s="32">
        <v>0.75</v>
      </c>
      <c r="M12" s="32">
        <v>0.75</v>
      </c>
      <c r="N12" s="32">
        <v>0.53</v>
      </c>
      <c r="O12" s="32">
        <v>0.53</v>
      </c>
      <c r="P12" s="33"/>
      <c r="Q12" s="35"/>
      <c r="R12" s="16">
        <v>31.54</v>
      </c>
      <c r="T12" s="24" t="s">
        <v>69</v>
      </c>
      <c r="U12" s="24" t="s">
        <v>70</v>
      </c>
      <c r="V12" s="24" t="str">
        <f>"Existing Electricity plant - "&amp;MID(U12,6,50)</f>
        <v>Existing Electricity plant - biomass_CCGT</v>
      </c>
      <c r="W12" s="24" t="s">
        <v>41</v>
      </c>
      <c r="X12" s="24" t="s">
        <v>42</v>
      </c>
      <c r="Y12" s="24" t="s">
        <v>43</v>
      </c>
      <c r="Z12" s="24" t="s">
        <v>44</v>
      </c>
      <c r="AC12" s="44"/>
    </row>
    <row r="13" s="16" customFormat="1" ht="14.5" spans="2:29">
      <c r="B13" s="24" t="str">
        <f t="shared" si="0"/>
        <v>EEPP_biomass_thermal</v>
      </c>
      <c r="C13" s="21" t="s">
        <v>37</v>
      </c>
      <c r="D13" s="21" t="s">
        <v>59</v>
      </c>
      <c r="E13" s="16">
        <v>5</v>
      </c>
      <c r="F13" s="16">
        <v>30</v>
      </c>
      <c r="G13" s="22">
        <v>106</v>
      </c>
      <c r="H13" s="22">
        <v>106</v>
      </c>
      <c r="I13" s="31">
        <v>2</v>
      </c>
      <c r="J13" s="31">
        <v>1.06</v>
      </c>
      <c r="K13" s="31">
        <v>1.06</v>
      </c>
      <c r="L13" s="32">
        <v>0.75</v>
      </c>
      <c r="M13" s="32">
        <v>0.75</v>
      </c>
      <c r="N13" s="32">
        <v>0.35</v>
      </c>
      <c r="O13" s="32">
        <v>0.35</v>
      </c>
      <c r="P13" s="33"/>
      <c r="Q13" s="35"/>
      <c r="R13" s="16">
        <v>31.54</v>
      </c>
      <c r="T13" s="24" t="s">
        <v>69</v>
      </c>
      <c r="U13" s="24" t="s">
        <v>71</v>
      </c>
      <c r="V13" s="24" t="str">
        <f t="shared" ref="V13:V24" si="5">"Existing Electricity plant - "&amp;MID(U13,6,50)</f>
        <v>Existing Electricity plant - biomass_thermal</v>
      </c>
      <c r="W13" s="24" t="s">
        <v>41</v>
      </c>
      <c r="X13" s="24" t="s">
        <v>42</v>
      </c>
      <c r="Y13" s="24" t="s">
        <v>43</v>
      </c>
      <c r="Z13" s="24" t="s">
        <v>44</v>
      </c>
      <c r="AC13" s="44"/>
    </row>
    <row r="14" s="16" customFormat="1" ht="14.5" spans="2:29">
      <c r="B14" s="16" t="str">
        <f t="shared" si="0"/>
        <v>EEPP_coal_CCGT</v>
      </c>
      <c r="C14" s="21" t="s">
        <v>46</v>
      </c>
      <c r="D14" s="21" t="s">
        <v>59</v>
      </c>
      <c r="E14" s="16">
        <v>5</v>
      </c>
      <c r="F14" s="16">
        <v>40</v>
      </c>
      <c r="G14" s="22">
        <v>47</v>
      </c>
      <c r="H14" s="22">
        <v>47</v>
      </c>
      <c r="I14" s="16">
        <v>2</v>
      </c>
      <c r="J14" s="35">
        <v>1.46</v>
      </c>
      <c r="K14" s="35">
        <v>1.46</v>
      </c>
      <c r="L14" s="16">
        <v>0.86</v>
      </c>
      <c r="M14" s="16">
        <v>0.86</v>
      </c>
      <c r="N14" s="36">
        <v>0.4</v>
      </c>
      <c r="O14" s="36">
        <v>0.4</v>
      </c>
      <c r="P14" s="33"/>
      <c r="Q14" s="35"/>
      <c r="R14" s="16">
        <v>31.54</v>
      </c>
      <c r="T14" s="24" t="s">
        <v>69</v>
      </c>
      <c r="U14" s="24" t="s">
        <v>72</v>
      </c>
      <c r="V14" s="24" t="str">
        <f t="shared" si="5"/>
        <v>Existing Electricity plant - coal_CCGT</v>
      </c>
      <c r="W14" s="24" t="s">
        <v>41</v>
      </c>
      <c r="X14" s="24" t="s">
        <v>42</v>
      </c>
      <c r="Y14" s="24" t="s">
        <v>43</v>
      </c>
      <c r="Z14" s="24" t="s">
        <v>44</v>
      </c>
      <c r="AC14" s="44"/>
    </row>
    <row r="15" s="16" customFormat="1" ht="14.5" spans="2:29">
      <c r="B15" s="16" t="str">
        <f t="shared" si="0"/>
        <v>EEPP_coal_thermal</v>
      </c>
      <c r="C15" s="21" t="s">
        <v>46</v>
      </c>
      <c r="D15" s="21" t="s">
        <v>59</v>
      </c>
      <c r="E15" s="23">
        <v>5</v>
      </c>
      <c r="F15" s="23">
        <v>35</v>
      </c>
      <c r="G15" s="22">
        <v>26</v>
      </c>
      <c r="H15" s="22">
        <v>26</v>
      </c>
      <c r="I15" s="23">
        <v>2</v>
      </c>
      <c r="J15" s="22">
        <v>1.05</v>
      </c>
      <c r="K15" s="22">
        <v>1.05</v>
      </c>
      <c r="L15" s="23">
        <v>0.86</v>
      </c>
      <c r="M15" s="23">
        <v>0.86</v>
      </c>
      <c r="N15" s="34">
        <v>0.38</v>
      </c>
      <c r="O15" s="34">
        <v>0.38</v>
      </c>
      <c r="P15" s="33"/>
      <c r="Q15" s="35"/>
      <c r="R15" s="16">
        <v>31.54</v>
      </c>
      <c r="T15" s="24" t="s">
        <v>69</v>
      </c>
      <c r="U15" s="24" t="s">
        <v>73</v>
      </c>
      <c r="V15" s="24" t="str">
        <f t="shared" si="5"/>
        <v>Existing Electricity plant - coal_thermal</v>
      </c>
      <c r="W15" s="24" t="s">
        <v>41</v>
      </c>
      <c r="X15" s="24" t="s">
        <v>42</v>
      </c>
      <c r="Y15" s="24" t="s">
        <v>43</v>
      </c>
      <c r="Z15" s="24" t="s">
        <v>44</v>
      </c>
      <c r="AC15" s="44"/>
    </row>
    <row r="16" s="16" customFormat="1" ht="14.5" spans="2:29">
      <c r="B16" s="16" t="str">
        <f t="shared" si="0"/>
        <v>EEPP_geothermal</v>
      </c>
      <c r="C16" s="21" t="s">
        <v>74</v>
      </c>
      <c r="D16" s="21" t="s">
        <v>59</v>
      </c>
      <c r="E16" s="16">
        <v>25</v>
      </c>
      <c r="F16" s="16">
        <v>200</v>
      </c>
      <c r="G16" s="22">
        <v>100</v>
      </c>
      <c r="H16" s="22">
        <v>100</v>
      </c>
      <c r="I16" s="16">
        <v>2</v>
      </c>
      <c r="J16" s="35">
        <v>15.93</v>
      </c>
      <c r="K16" s="35">
        <v>15.93</v>
      </c>
      <c r="L16" s="16">
        <v>0.9</v>
      </c>
      <c r="M16" s="16">
        <v>0.9</v>
      </c>
      <c r="N16" s="16">
        <v>1</v>
      </c>
      <c r="O16" s="16">
        <v>1</v>
      </c>
      <c r="P16" s="33"/>
      <c r="Q16" s="35"/>
      <c r="R16" s="16">
        <v>31.54</v>
      </c>
      <c r="T16" s="24" t="s">
        <v>69</v>
      </c>
      <c r="U16" s="24" t="s">
        <v>75</v>
      </c>
      <c r="V16" s="24" t="str">
        <f t="shared" si="5"/>
        <v>Existing Electricity plant - geothermal</v>
      </c>
      <c r="W16" s="24" t="s">
        <v>41</v>
      </c>
      <c r="X16" s="24" t="s">
        <v>42</v>
      </c>
      <c r="Y16" s="24" t="s">
        <v>43</v>
      </c>
      <c r="Z16" s="24" t="s">
        <v>44</v>
      </c>
      <c r="AC16" s="44"/>
    </row>
    <row r="17" s="16" customFormat="1" ht="14.5" spans="2:29">
      <c r="B17" s="16" t="str">
        <f t="shared" si="0"/>
        <v>EEPP_HFO_thermal</v>
      </c>
      <c r="C17" s="21" t="s">
        <v>49</v>
      </c>
      <c r="D17" s="21" t="s">
        <v>59</v>
      </c>
      <c r="E17" s="16">
        <v>5</v>
      </c>
      <c r="F17" s="16">
        <v>35</v>
      </c>
      <c r="G17" s="22">
        <v>15</v>
      </c>
      <c r="H17" s="22">
        <v>15</v>
      </c>
      <c r="I17" s="16">
        <v>2</v>
      </c>
      <c r="J17" s="35">
        <v>0.89</v>
      </c>
      <c r="K17" s="35">
        <v>0.89</v>
      </c>
      <c r="L17" s="16">
        <v>0.6</v>
      </c>
      <c r="M17" s="16">
        <v>0.6</v>
      </c>
      <c r="N17" s="36">
        <v>0.3</v>
      </c>
      <c r="O17" s="36">
        <v>0.3</v>
      </c>
      <c r="P17" s="33"/>
      <c r="Q17" s="35"/>
      <c r="R17" s="16">
        <v>31.54</v>
      </c>
      <c r="T17" s="24" t="s">
        <v>69</v>
      </c>
      <c r="U17" s="24" t="s">
        <v>76</v>
      </c>
      <c r="V17" s="24" t="str">
        <f t="shared" si="5"/>
        <v>Existing Electricity plant - HFO_thermal</v>
      </c>
      <c r="W17" s="24" t="s">
        <v>41</v>
      </c>
      <c r="X17" s="24" t="s">
        <v>42</v>
      </c>
      <c r="Y17" s="24" t="s">
        <v>43</v>
      </c>
      <c r="Z17" s="24" t="s">
        <v>44</v>
      </c>
      <c r="AC17" s="44"/>
    </row>
    <row r="18" s="17" customFormat="1" ht="14.5" spans="2:29">
      <c r="B18" s="17" t="str">
        <f t="shared" si="0"/>
        <v>EEPP_LFO_thermal</v>
      </c>
      <c r="C18" s="17" t="s">
        <v>48</v>
      </c>
      <c r="D18" s="17" t="s">
        <v>59</v>
      </c>
      <c r="E18" s="17">
        <v>25</v>
      </c>
      <c r="F18" s="17">
        <v>200</v>
      </c>
      <c r="G18" s="19">
        <v>18</v>
      </c>
      <c r="H18" s="19">
        <v>18</v>
      </c>
      <c r="I18" s="17">
        <v>2</v>
      </c>
      <c r="J18" s="17">
        <f t="shared" si="3"/>
        <v>4</v>
      </c>
      <c r="K18" s="17">
        <f t="shared" si="3"/>
        <v>4</v>
      </c>
      <c r="L18" s="17">
        <v>0.9</v>
      </c>
      <c r="M18" s="17">
        <v>0.9</v>
      </c>
      <c r="P18" s="4">
        <v>11</v>
      </c>
      <c r="R18" s="17">
        <v>31.54</v>
      </c>
      <c r="T18" s="39" t="s">
        <v>69</v>
      </c>
      <c r="U18" s="39" t="s">
        <v>77</v>
      </c>
      <c r="V18" s="39" t="str">
        <f t="shared" si="5"/>
        <v>Existing Electricity plant - LFO_thermal</v>
      </c>
      <c r="W18" s="39" t="s">
        <v>41</v>
      </c>
      <c r="X18" s="39" t="s">
        <v>42</v>
      </c>
      <c r="Y18" s="39" t="s">
        <v>43</v>
      </c>
      <c r="Z18" s="39" t="s">
        <v>44</v>
      </c>
      <c r="AC18" s="4"/>
    </row>
    <row r="19" s="17" customFormat="1" ht="14.5" spans="2:29">
      <c r="B19" s="17" t="str">
        <f t="shared" si="0"/>
        <v>EEPP_lignite_thermal</v>
      </c>
      <c r="C19" s="17" t="s">
        <v>54</v>
      </c>
      <c r="D19" s="17" t="s">
        <v>59</v>
      </c>
      <c r="E19" s="17">
        <v>25</v>
      </c>
      <c r="F19" s="17">
        <v>200</v>
      </c>
      <c r="G19" s="19">
        <v>30</v>
      </c>
      <c r="H19" s="19">
        <v>30</v>
      </c>
      <c r="I19" s="17">
        <v>2</v>
      </c>
      <c r="J19" s="17">
        <f t="shared" si="3"/>
        <v>2</v>
      </c>
      <c r="K19" s="17">
        <f t="shared" si="3"/>
        <v>2</v>
      </c>
      <c r="L19" s="17">
        <v>0.9</v>
      </c>
      <c r="M19" s="17">
        <v>0.9</v>
      </c>
      <c r="P19" s="4">
        <v>11</v>
      </c>
      <c r="R19" s="17">
        <v>31.54</v>
      </c>
      <c r="T19" s="39" t="s">
        <v>69</v>
      </c>
      <c r="U19" s="39" t="s">
        <v>78</v>
      </c>
      <c r="V19" s="39" t="str">
        <f t="shared" si="5"/>
        <v>Existing Electricity plant - lignite_thermal</v>
      </c>
      <c r="W19" s="39" t="s">
        <v>41</v>
      </c>
      <c r="X19" s="39" t="s">
        <v>42</v>
      </c>
      <c r="Y19" s="39" t="s">
        <v>43</v>
      </c>
      <c r="Z19" s="39" t="s">
        <v>44</v>
      </c>
      <c r="AC19" s="4"/>
    </row>
    <row r="20" s="16" customFormat="1" ht="14.5" spans="2:29">
      <c r="B20" s="16" t="str">
        <f t="shared" si="0"/>
        <v>EEPP_naturalgas_CCGT</v>
      </c>
      <c r="C20" s="21" t="s">
        <v>60</v>
      </c>
      <c r="D20" s="21" t="s">
        <v>59</v>
      </c>
      <c r="E20" s="16">
        <v>25</v>
      </c>
      <c r="F20" s="16">
        <v>200</v>
      </c>
      <c r="G20" s="22">
        <v>7</v>
      </c>
      <c r="H20" s="22">
        <v>7</v>
      </c>
      <c r="I20" s="16">
        <v>2</v>
      </c>
      <c r="J20" s="35">
        <v>0.65</v>
      </c>
      <c r="K20" s="35">
        <v>0.65</v>
      </c>
      <c r="L20" s="16">
        <v>0.85</v>
      </c>
      <c r="M20" s="16">
        <v>0.85</v>
      </c>
      <c r="N20" s="36">
        <v>0.97</v>
      </c>
      <c r="O20" s="36">
        <v>0.97</v>
      </c>
      <c r="P20" s="33"/>
      <c r="Q20" s="35"/>
      <c r="R20" s="16">
        <v>31.54</v>
      </c>
      <c r="T20" s="24" t="s">
        <v>69</v>
      </c>
      <c r="U20" s="24" t="s">
        <v>79</v>
      </c>
      <c r="V20" s="24" t="str">
        <f t="shared" si="5"/>
        <v>Existing Electricity plant - naturalgas_CCGT</v>
      </c>
      <c r="W20" s="24" t="s">
        <v>41</v>
      </c>
      <c r="X20" s="24" t="s">
        <v>42</v>
      </c>
      <c r="Y20" s="24" t="s">
        <v>43</v>
      </c>
      <c r="Z20" s="24" t="s">
        <v>44</v>
      </c>
      <c r="AC20" s="44"/>
    </row>
    <row r="21" s="16" customFormat="1" ht="14.5" spans="2:29">
      <c r="B21" s="16" t="str">
        <f t="shared" si="0"/>
        <v>EEPP_naturalgas_OCGT</v>
      </c>
      <c r="C21" s="21" t="s">
        <v>60</v>
      </c>
      <c r="D21" s="21" t="s">
        <v>59</v>
      </c>
      <c r="E21" s="16">
        <v>25</v>
      </c>
      <c r="F21" s="16">
        <v>200</v>
      </c>
      <c r="G21" s="22">
        <v>7</v>
      </c>
      <c r="H21" s="22">
        <v>7</v>
      </c>
      <c r="I21" s="16">
        <v>2</v>
      </c>
      <c r="J21" s="35">
        <v>0.65</v>
      </c>
      <c r="K21" s="35">
        <v>0.65</v>
      </c>
      <c r="L21" s="16">
        <v>0.85</v>
      </c>
      <c r="M21" s="16">
        <v>0.85</v>
      </c>
      <c r="N21" s="36">
        <v>0.97</v>
      </c>
      <c r="O21" s="36">
        <v>0.97</v>
      </c>
      <c r="P21" s="33"/>
      <c r="Q21" s="35"/>
      <c r="R21" s="16">
        <v>31.54</v>
      </c>
      <c r="T21" s="24" t="s">
        <v>69</v>
      </c>
      <c r="U21" s="24" t="s">
        <v>80</v>
      </c>
      <c r="V21" s="24" t="str">
        <f t="shared" si="5"/>
        <v>Existing Electricity plant - naturalgas_OCGT</v>
      </c>
      <c r="W21" s="24" t="s">
        <v>41</v>
      </c>
      <c r="X21" s="24" t="s">
        <v>42</v>
      </c>
      <c r="Y21" s="24" t="s">
        <v>43</v>
      </c>
      <c r="Z21" s="24" t="s">
        <v>44</v>
      </c>
      <c r="AC21" s="44"/>
    </row>
    <row r="22" s="16" customFormat="1" ht="14.5" spans="2:29">
      <c r="B22" s="16" t="str">
        <f t="shared" si="0"/>
        <v>EEPP_naturalgas_thermal</v>
      </c>
      <c r="C22" s="21" t="s">
        <v>60</v>
      </c>
      <c r="D22" s="21" t="s">
        <v>59</v>
      </c>
      <c r="E22" s="16">
        <v>5</v>
      </c>
      <c r="F22" s="16">
        <v>35</v>
      </c>
      <c r="G22" s="22">
        <v>6</v>
      </c>
      <c r="H22" s="22">
        <v>6</v>
      </c>
      <c r="I22" s="16">
        <v>2</v>
      </c>
      <c r="J22" s="35">
        <v>1.12</v>
      </c>
      <c r="K22" s="35">
        <v>1.12</v>
      </c>
      <c r="L22" s="16">
        <v>0.85</v>
      </c>
      <c r="M22" s="16">
        <v>0.85</v>
      </c>
      <c r="N22" s="36">
        <v>0.4</v>
      </c>
      <c r="O22" s="36">
        <v>0.4</v>
      </c>
      <c r="P22" s="33"/>
      <c r="Q22" s="35"/>
      <c r="R22" s="16">
        <v>31.54</v>
      </c>
      <c r="T22" s="24" t="s">
        <v>69</v>
      </c>
      <c r="U22" s="24" t="s">
        <v>81</v>
      </c>
      <c r="V22" s="24" t="str">
        <f t="shared" si="5"/>
        <v>Existing Electricity plant - naturalgas_thermal</v>
      </c>
      <c r="W22" s="24" t="s">
        <v>41</v>
      </c>
      <c r="X22" s="24" t="s">
        <v>42</v>
      </c>
      <c r="Y22" s="24" t="s">
        <v>43</v>
      </c>
      <c r="Z22" s="24" t="s">
        <v>44</v>
      </c>
      <c r="AC22" s="44"/>
    </row>
    <row r="23" s="16" customFormat="1" ht="14.5" spans="2:29">
      <c r="B23" s="16" t="str">
        <f t="shared" si="0"/>
        <v>EEPP_PV</v>
      </c>
      <c r="C23" s="21" t="s">
        <v>51</v>
      </c>
      <c r="D23" s="21" t="s">
        <v>59</v>
      </c>
      <c r="E23" s="16">
        <v>20</v>
      </c>
      <c r="F23" s="16">
        <v>25</v>
      </c>
      <c r="G23" s="22"/>
      <c r="H23" s="22"/>
      <c r="I23" s="16">
        <v>2</v>
      </c>
      <c r="J23" s="35" t="str">
        <f t="shared" si="3"/>
        <v/>
      </c>
      <c r="K23" s="35" t="str">
        <f t="shared" si="3"/>
        <v/>
      </c>
      <c r="N23" s="16">
        <v>1</v>
      </c>
      <c r="O23" s="16">
        <v>1</v>
      </c>
      <c r="P23" s="33"/>
      <c r="Q23" s="35"/>
      <c r="R23" s="16">
        <v>31.54</v>
      </c>
      <c r="T23" s="24" t="s">
        <v>69</v>
      </c>
      <c r="U23" s="24" t="s">
        <v>82</v>
      </c>
      <c r="V23" s="24" t="str">
        <f t="shared" si="5"/>
        <v>Existing Electricity plant - PV</v>
      </c>
      <c r="W23" s="24" t="s">
        <v>41</v>
      </c>
      <c r="X23" s="24" t="s">
        <v>42</v>
      </c>
      <c r="Y23" s="24" t="s">
        <v>43</v>
      </c>
      <c r="Z23" s="24" t="s">
        <v>44</v>
      </c>
      <c r="AC23" s="44"/>
    </row>
    <row r="24" s="16" customFormat="1" ht="14.5" spans="2:29">
      <c r="B24" s="16" t="str">
        <f t="shared" si="0"/>
        <v>EEPP_CSP</v>
      </c>
      <c r="C24" s="21" t="s">
        <v>51</v>
      </c>
      <c r="D24" s="21" t="s">
        <v>59</v>
      </c>
      <c r="E24" s="16">
        <v>20</v>
      </c>
      <c r="F24" s="16">
        <v>25</v>
      </c>
      <c r="G24" s="22"/>
      <c r="H24" s="22"/>
      <c r="I24" s="16">
        <v>2</v>
      </c>
      <c r="J24" s="35" t="str">
        <f t="shared" ref="J24:K24" si="6">IFERROR(VLOOKUP(G24,$B$40:$C$42,2,FALSE),"")</f>
        <v/>
      </c>
      <c r="K24" s="35" t="str">
        <f t="shared" si="6"/>
        <v/>
      </c>
      <c r="N24" s="16">
        <v>1</v>
      </c>
      <c r="O24" s="16">
        <v>1</v>
      </c>
      <c r="P24" s="33"/>
      <c r="Q24" s="35"/>
      <c r="R24" s="16">
        <v>31.54</v>
      </c>
      <c r="T24" s="24" t="s">
        <v>69</v>
      </c>
      <c r="U24" s="24" t="s">
        <v>83</v>
      </c>
      <c r="V24" s="24" t="str">
        <f t="shared" si="5"/>
        <v>Existing Electricity plant - CSP</v>
      </c>
      <c r="W24" s="24" t="s">
        <v>41</v>
      </c>
      <c r="X24" s="24" t="s">
        <v>42</v>
      </c>
      <c r="Y24" s="24" t="s">
        <v>43</v>
      </c>
      <c r="Z24" s="24" t="s">
        <v>44</v>
      </c>
      <c r="AC24" s="44"/>
    </row>
    <row r="25" s="16" customFormat="1" ht="14.5" spans="2:29">
      <c r="B25" s="16" t="str">
        <f t="shared" si="0"/>
        <v>EEPP_windOFF</v>
      </c>
      <c r="C25" s="21" t="s">
        <v>53</v>
      </c>
      <c r="D25" s="21" t="s">
        <v>59</v>
      </c>
      <c r="E25" s="23">
        <v>25</v>
      </c>
      <c r="F25" s="25">
        <v>50</v>
      </c>
      <c r="G25" s="22"/>
      <c r="H25" s="22"/>
      <c r="I25" s="16">
        <v>2</v>
      </c>
      <c r="J25" s="35" t="str">
        <f t="shared" ref="J25:K25" si="7">IFERROR(VLOOKUP(G25,$B$40:$C$42,2,FALSE),"")</f>
        <v/>
      </c>
      <c r="K25" s="35" t="str">
        <f t="shared" si="7"/>
        <v/>
      </c>
      <c r="N25" s="23">
        <v>1</v>
      </c>
      <c r="O25" s="23">
        <v>1</v>
      </c>
      <c r="P25" s="33"/>
      <c r="Q25" s="35"/>
      <c r="R25" s="16">
        <v>31.54</v>
      </c>
      <c r="T25" s="24" t="s">
        <v>69</v>
      </c>
      <c r="U25" s="24" t="s">
        <v>84</v>
      </c>
      <c r="V25" s="24" t="str">
        <f>"Existing Electricity plant - "&amp;MID(U25,6,50)&amp;" - offshore"</f>
        <v>Existing Electricity plant - windOFF - offshore</v>
      </c>
      <c r="W25" s="24" t="s">
        <v>41</v>
      </c>
      <c r="X25" s="24" t="s">
        <v>42</v>
      </c>
      <c r="Y25" s="24" t="s">
        <v>43</v>
      </c>
      <c r="Z25" s="24" t="s">
        <v>44</v>
      </c>
      <c r="AC25" s="44"/>
    </row>
    <row r="26" s="16" customFormat="1" ht="14.5" spans="2:29">
      <c r="B26" s="16" t="str">
        <f t="shared" si="0"/>
        <v>EEPP_windON</v>
      </c>
      <c r="C26" s="21" t="s">
        <v>53</v>
      </c>
      <c r="D26" s="21" t="s">
        <v>59</v>
      </c>
      <c r="E26" s="23">
        <v>25</v>
      </c>
      <c r="F26" s="25">
        <v>50</v>
      </c>
      <c r="G26" s="22"/>
      <c r="H26" s="22"/>
      <c r="I26" s="16">
        <v>2</v>
      </c>
      <c r="J26" s="35" t="str">
        <f t="shared" si="3"/>
        <v/>
      </c>
      <c r="K26" s="35" t="str">
        <f t="shared" si="3"/>
        <v/>
      </c>
      <c r="N26" s="23">
        <v>1</v>
      </c>
      <c r="O26" s="23">
        <v>1</v>
      </c>
      <c r="P26" s="33"/>
      <c r="Q26" s="35"/>
      <c r="R26" s="16">
        <v>31.54</v>
      </c>
      <c r="T26" s="24" t="s">
        <v>69</v>
      </c>
      <c r="U26" s="24" t="s">
        <v>85</v>
      </c>
      <c r="V26" s="24" t="str">
        <f>"Existing Electricity plant - "&amp;MID(U26,6,50)&amp;" - onshore"</f>
        <v>Existing Electricity plant - windON - onshore</v>
      </c>
      <c r="W26" s="24" t="s">
        <v>41</v>
      </c>
      <c r="X26" s="24" t="s">
        <v>42</v>
      </c>
      <c r="Y26" s="24" t="s">
        <v>43</v>
      </c>
      <c r="Z26" s="24" t="s">
        <v>44</v>
      </c>
      <c r="AC26" s="44"/>
    </row>
    <row r="27" s="16" customFormat="1" ht="14.5" spans="2:29">
      <c r="B27" s="16" t="str">
        <f t="shared" ref="B27" si="8">U27</f>
        <v>EEPP_OCE</v>
      </c>
      <c r="C27" s="21" t="s">
        <v>86</v>
      </c>
      <c r="D27" s="21" t="s">
        <v>59</v>
      </c>
      <c r="E27" s="16">
        <v>20</v>
      </c>
      <c r="F27" s="16">
        <v>25</v>
      </c>
      <c r="G27" s="22"/>
      <c r="H27" s="22"/>
      <c r="I27" s="16">
        <v>2</v>
      </c>
      <c r="J27" s="35" t="str">
        <f t="shared" si="3"/>
        <v/>
      </c>
      <c r="K27" s="35" t="str">
        <f t="shared" si="3"/>
        <v/>
      </c>
      <c r="L27" s="16">
        <v>0.3</v>
      </c>
      <c r="M27" s="16">
        <v>0.3</v>
      </c>
      <c r="N27" s="16">
        <v>1</v>
      </c>
      <c r="O27" s="16">
        <v>1</v>
      </c>
      <c r="P27" s="33"/>
      <c r="Q27" s="35"/>
      <c r="R27" s="16">
        <v>31.54</v>
      </c>
      <c r="T27" s="24" t="s">
        <v>69</v>
      </c>
      <c r="U27" s="24" t="s">
        <v>87</v>
      </c>
      <c r="V27" s="24" t="str">
        <f>"Existing Electricity plant - "&amp;MID(U27,6,50)&amp;" - offshore"</f>
        <v>Existing Electricity plant - OCE - offshore</v>
      </c>
      <c r="W27" s="24" t="s">
        <v>41</v>
      </c>
      <c r="X27" s="24" t="s">
        <v>42</v>
      </c>
      <c r="Y27" s="24" t="s">
        <v>43</v>
      </c>
      <c r="Z27" s="24" t="s">
        <v>44</v>
      </c>
      <c r="AC27" s="44"/>
    </row>
    <row r="28" spans="2:26">
      <c r="B28" s="16" t="str">
        <f t="shared" ref="B28:B29" si="9">U28</f>
        <v>EUHYDDAM00</v>
      </c>
      <c r="C28" s="16" t="s">
        <v>66</v>
      </c>
      <c r="D28" s="21" t="s">
        <v>59</v>
      </c>
      <c r="E28" s="23">
        <v>50</v>
      </c>
      <c r="F28" s="23">
        <v>100</v>
      </c>
      <c r="G28" s="25"/>
      <c r="H28" s="25"/>
      <c r="I28" s="23">
        <v>2</v>
      </c>
      <c r="J28" s="25"/>
      <c r="K28" s="25"/>
      <c r="L28" s="23"/>
      <c r="M28" s="23"/>
      <c r="N28" s="35">
        <v>1</v>
      </c>
      <c r="O28" s="35">
        <v>1</v>
      </c>
      <c r="P28" s="25"/>
      <c r="Q28" s="25"/>
      <c r="R28" s="23">
        <v>31.54</v>
      </c>
      <c r="T28" s="38" t="s">
        <v>69</v>
      </c>
      <c r="U28" s="18" t="s">
        <v>88</v>
      </c>
      <c r="V28" s="18" t="s">
        <v>89</v>
      </c>
      <c r="W28" s="38" t="s">
        <v>41</v>
      </c>
      <c r="X28" s="38" t="s">
        <v>42</v>
      </c>
      <c r="Y28" s="38" t="s">
        <v>43</v>
      </c>
      <c r="Z28" s="38" t="s">
        <v>44</v>
      </c>
    </row>
    <row r="29" spans="2:26">
      <c r="B29" s="16" t="str">
        <f t="shared" si="9"/>
        <v>EUHYDRUN00</v>
      </c>
      <c r="C29" s="16" t="s">
        <v>66</v>
      </c>
      <c r="D29" s="21" t="s">
        <v>59</v>
      </c>
      <c r="E29" s="23">
        <v>50</v>
      </c>
      <c r="F29" s="23">
        <v>100</v>
      </c>
      <c r="G29" s="25"/>
      <c r="H29" s="25"/>
      <c r="I29" s="23">
        <v>2</v>
      </c>
      <c r="J29" s="25"/>
      <c r="K29" s="25"/>
      <c r="L29" s="23"/>
      <c r="M29" s="23"/>
      <c r="N29" s="35">
        <v>1</v>
      </c>
      <c r="O29" s="35">
        <v>1</v>
      </c>
      <c r="P29" s="25"/>
      <c r="Q29" s="25"/>
      <c r="R29" s="23">
        <v>31.54</v>
      </c>
      <c r="T29" s="38" t="s">
        <v>69</v>
      </c>
      <c r="U29" s="18" t="s">
        <v>90</v>
      </c>
      <c r="V29" s="18" t="s">
        <v>91</v>
      </c>
      <c r="W29" s="38" t="s">
        <v>41</v>
      </c>
      <c r="X29" s="38" t="s">
        <v>42</v>
      </c>
      <c r="Y29" s="38" t="s">
        <v>43</v>
      </c>
      <c r="Z29" s="38" t="s">
        <v>44</v>
      </c>
    </row>
    <row r="30" spans="2:19">
      <c r="B30" s="16"/>
      <c r="C30" s="16"/>
      <c r="D30" s="16"/>
      <c r="E30" s="16"/>
      <c r="F30" s="23"/>
      <c r="G30" s="25"/>
      <c r="H30" s="25"/>
      <c r="I30" s="23"/>
      <c r="J30" s="25"/>
      <c r="K30" s="25"/>
      <c r="L30" s="23"/>
      <c r="M30" s="23"/>
      <c r="N30" s="37"/>
      <c r="O30" s="37"/>
      <c r="P30" s="25"/>
      <c r="Q30" s="25"/>
      <c r="R30" s="23"/>
      <c r="S30" s="40"/>
    </row>
    <row r="31" spans="4:4">
      <c r="D31" s="20"/>
    </row>
    <row r="32" spans="2:26">
      <c r="B32" s="18" t="s">
        <v>92</v>
      </c>
      <c r="D32" s="20"/>
      <c r="T32" s="40" t="s">
        <v>93</v>
      </c>
      <c r="U32" s="40" t="s">
        <v>94</v>
      </c>
      <c r="V32" s="40" t="str">
        <f>"Existing Pumped Storage Plants - "&amp;MID(U32,8,55)</f>
        <v>Existing Pumped Storage Plants - DPS</v>
      </c>
      <c r="W32" s="41" t="s">
        <v>41</v>
      </c>
      <c r="X32" s="41" t="s">
        <v>42</v>
      </c>
      <c r="Y32" s="41" t="s">
        <v>43</v>
      </c>
      <c r="Z32" s="41" t="s">
        <v>44</v>
      </c>
    </row>
    <row r="33" spans="5:26">
      <c r="E33" s="17" t="s">
        <v>95</v>
      </c>
      <c r="T33" s="38"/>
      <c r="W33" s="38"/>
      <c r="X33" s="38"/>
      <c r="Y33" s="38"/>
      <c r="Z33" s="38"/>
    </row>
    <row r="34" spans="5:5">
      <c r="E34" s="17" t="s">
        <v>96</v>
      </c>
    </row>
    <row r="35" spans="5:5">
      <c r="E35" s="19" t="s">
        <v>97</v>
      </c>
    </row>
    <row r="36" ht="14.5" spans="5:21">
      <c r="E36" s="26" t="s">
        <v>98</v>
      </c>
      <c r="U36"/>
    </row>
    <row r="37" ht="14.5" spans="5:21">
      <c r="E37" s="26" t="s">
        <v>99</v>
      </c>
      <c r="U37"/>
    </row>
    <row r="38" ht="14.5" spans="5:21">
      <c r="E38" s="17" t="s">
        <v>100</v>
      </c>
      <c r="U38"/>
    </row>
    <row r="39" ht="14.5" spans="2:21">
      <c r="B39" s="27" t="s">
        <v>101</v>
      </c>
      <c r="C39" s="27"/>
      <c r="E39" s="28" t="s">
        <v>102</v>
      </c>
      <c r="U39"/>
    </row>
    <row r="40" ht="14.5" spans="2:21">
      <c r="B40" s="29">
        <v>23</v>
      </c>
      <c r="C40" s="29">
        <v>3</v>
      </c>
      <c r="E40" s="19" t="s">
        <v>103</v>
      </c>
      <c r="U40"/>
    </row>
    <row r="41" ht="14.5" spans="2:21">
      <c r="B41" s="29">
        <v>18</v>
      </c>
      <c r="C41" s="29">
        <v>4</v>
      </c>
      <c r="E41" s="30" t="s">
        <v>104</v>
      </c>
      <c r="U41"/>
    </row>
    <row r="42" ht="14.5" spans="2:21">
      <c r="B42" s="29">
        <v>30</v>
      </c>
      <c r="C42" s="29">
        <v>2</v>
      </c>
      <c r="U42"/>
    </row>
    <row r="43" ht="14.5" spans="5:21">
      <c r="E43" s="30" t="s">
        <v>105</v>
      </c>
      <c r="U43"/>
    </row>
    <row r="44" ht="14.5" spans="21:21">
      <c r="U44"/>
    </row>
    <row r="45" ht="14.5" spans="21:21">
      <c r="U45"/>
    </row>
    <row r="46" ht="14.5" spans="21:21">
      <c r="U46"/>
    </row>
    <row r="47" ht="14.5" spans="21:21">
      <c r="U47"/>
    </row>
    <row r="48" ht="14.5" spans="21:21">
      <c r="U48"/>
    </row>
    <row r="49" ht="14.5" spans="21:21">
      <c r="U49"/>
    </row>
    <row r="50" ht="14.5" spans="21:21">
      <c r="U50"/>
    </row>
    <row r="51" ht="14.5" spans="21:21">
      <c r="U51"/>
    </row>
    <row r="65" spans="12:17">
      <c r="L65" s="45"/>
      <c r="M65" s="45"/>
      <c r="N65" s="45"/>
      <c r="O65" s="45"/>
      <c r="P65" s="45"/>
      <c r="Q65" s="45"/>
    </row>
    <row r="66" spans="12:17">
      <c r="L66" s="45"/>
      <c r="M66" s="45"/>
      <c r="N66" s="46"/>
      <c r="O66" s="46"/>
      <c r="P66" s="46"/>
      <c r="Q66" s="46"/>
    </row>
    <row r="67" spans="12:17">
      <c r="L67" s="45"/>
      <c r="M67" s="45"/>
      <c r="N67" s="46"/>
      <c r="O67" s="46"/>
      <c r="P67" s="46"/>
      <c r="Q67" s="45"/>
    </row>
    <row r="68" spans="12:17">
      <c r="L68" s="45"/>
      <c r="M68" s="45"/>
      <c r="N68" s="46"/>
      <c r="O68" s="46"/>
      <c r="P68" s="46"/>
      <c r="Q68" s="53"/>
    </row>
    <row r="69" spans="12:17">
      <c r="L69" s="45"/>
      <c r="M69" s="45"/>
      <c r="N69" s="46"/>
      <c r="O69" s="46"/>
      <c r="P69" s="46"/>
      <c r="Q69" s="45"/>
    </row>
    <row r="70" spans="12:17">
      <c r="L70" s="45"/>
      <c r="M70" s="45"/>
      <c r="N70" s="47"/>
      <c r="O70" s="47"/>
      <c r="P70" s="47"/>
      <c r="Q70" s="47"/>
    </row>
    <row r="71" spans="12:17">
      <c r="L71" s="45"/>
      <c r="M71" s="45"/>
      <c r="N71" s="47"/>
      <c r="O71" s="47"/>
      <c r="P71" s="47"/>
      <c r="Q71" s="47"/>
    </row>
    <row r="72" spans="12:17">
      <c r="L72" s="45"/>
      <c r="M72" s="45"/>
      <c r="N72" s="46"/>
      <c r="O72" s="46"/>
      <c r="P72" s="46"/>
      <c r="Q72" s="45"/>
    </row>
    <row r="73" spans="12:17">
      <c r="L73" s="45"/>
      <c r="M73" s="45"/>
      <c r="N73" s="46"/>
      <c r="O73" s="46"/>
      <c r="P73" s="46"/>
      <c r="Q73" s="45"/>
    </row>
    <row r="74" spans="12:17">
      <c r="L74" s="45"/>
      <c r="M74" s="45"/>
      <c r="N74" s="46"/>
      <c r="O74" s="46"/>
      <c r="P74" s="46"/>
      <c r="Q74" s="45"/>
    </row>
    <row r="75" spans="12:17">
      <c r="L75" s="45"/>
      <c r="M75" s="45"/>
      <c r="N75" s="46"/>
      <c r="O75" s="46"/>
      <c r="P75" s="46"/>
      <c r="Q75" s="45"/>
    </row>
    <row r="76" spans="12:17">
      <c r="L76" s="45"/>
      <c r="M76" s="45"/>
      <c r="N76" s="46"/>
      <c r="O76" s="46"/>
      <c r="P76" s="46"/>
      <c r="Q76" s="45"/>
    </row>
    <row r="77" spans="12:17">
      <c r="L77" s="45"/>
      <c r="M77" s="45"/>
      <c r="N77" s="46"/>
      <c r="O77" s="46"/>
      <c r="P77" s="46"/>
      <c r="Q77" s="45"/>
    </row>
    <row r="78" spans="12:17">
      <c r="L78" s="45"/>
      <c r="M78" s="45"/>
      <c r="N78" s="46"/>
      <c r="O78" s="46"/>
      <c r="P78" s="46"/>
      <c r="Q78" s="45"/>
    </row>
    <row r="79" spans="12:17">
      <c r="L79" s="45"/>
      <c r="M79" s="45"/>
      <c r="N79" s="46"/>
      <c r="O79" s="46"/>
      <c r="P79" s="46"/>
      <c r="Q79" s="53"/>
    </row>
    <row r="80" spans="12:17">
      <c r="L80" s="45"/>
      <c r="M80" s="45"/>
      <c r="N80" s="46"/>
      <c r="O80" s="46"/>
      <c r="P80" s="46"/>
      <c r="Q80" s="45"/>
    </row>
    <row r="81" spans="12:17">
      <c r="L81" s="45"/>
      <c r="M81" s="45"/>
      <c r="N81" s="46"/>
      <c r="O81" s="46"/>
      <c r="P81" s="46"/>
      <c r="Q81" s="45"/>
    </row>
    <row r="82" spans="12:17">
      <c r="L82" s="45"/>
      <c r="M82" s="45"/>
      <c r="N82" s="47"/>
      <c r="O82" s="47"/>
      <c r="P82" s="47"/>
      <c r="Q82" s="47"/>
    </row>
    <row r="83" spans="12:17">
      <c r="L83" s="45"/>
      <c r="M83" s="45"/>
      <c r="N83" s="47"/>
      <c r="O83" s="47"/>
      <c r="P83" s="47"/>
      <c r="Q83" s="47"/>
    </row>
    <row r="84" spans="12:17">
      <c r="L84" s="45"/>
      <c r="M84" s="45"/>
      <c r="N84" s="46"/>
      <c r="O84" s="46"/>
      <c r="P84" s="46"/>
      <c r="Q84" s="45"/>
    </row>
    <row r="85" spans="12:17">
      <c r="L85" s="45"/>
      <c r="M85" s="45"/>
      <c r="N85" s="46"/>
      <c r="O85" s="46"/>
      <c r="P85" s="46"/>
      <c r="Q85" s="45"/>
    </row>
    <row r="86" spans="12:17">
      <c r="L86" s="45"/>
      <c r="M86" s="45"/>
      <c r="N86" s="46"/>
      <c r="O86" s="46"/>
      <c r="P86" s="46"/>
      <c r="Q86" s="45"/>
    </row>
    <row r="87" spans="12:17">
      <c r="L87" s="45"/>
      <c r="M87" s="45"/>
      <c r="N87" s="46"/>
      <c r="O87" s="46"/>
      <c r="P87" s="46"/>
      <c r="Q87" s="45"/>
    </row>
    <row r="97" spans="16:16">
      <c r="P97" s="18" t="s">
        <v>0</v>
      </c>
    </row>
    <row r="98" spans="14:24">
      <c r="N98" s="48" t="s">
        <v>106</v>
      </c>
      <c r="O98" s="48" t="s">
        <v>107</v>
      </c>
      <c r="P98" s="48" t="s">
        <v>108</v>
      </c>
      <c r="Q98" s="48" t="s">
        <v>109</v>
      </c>
      <c r="R98" s="48" t="s">
        <v>110</v>
      </c>
      <c r="S98" s="48" t="s">
        <v>111</v>
      </c>
      <c r="T98" s="48" t="s">
        <v>112</v>
      </c>
      <c r="U98" s="48" t="s">
        <v>113</v>
      </c>
      <c r="V98" s="48" t="s">
        <v>114</v>
      </c>
      <c r="W98" s="48" t="s">
        <v>115</v>
      </c>
      <c r="X98" s="48" t="s">
        <v>116</v>
      </c>
    </row>
    <row r="99" spans="14:24">
      <c r="N99" s="49" t="s">
        <v>117</v>
      </c>
      <c r="O99" s="48">
        <v>2020</v>
      </c>
      <c r="P99" s="50" t="s">
        <v>40</v>
      </c>
      <c r="Q99" s="48"/>
      <c r="R99" s="54">
        <f>R133/3</f>
        <v>0.0693333333333333</v>
      </c>
      <c r="S99" s="54">
        <f t="shared" ref="S99:X99" si="10">S133/3</f>
        <v>0.0683333333333333</v>
      </c>
      <c r="T99" s="54">
        <f t="shared" si="10"/>
        <v>0.227</v>
      </c>
      <c r="U99" s="54">
        <f t="shared" si="10"/>
        <v>0.0173333333333333</v>
      </c>
      <c r="V99" s="54">
        <f t="shared" si="10"/>
        <v>0.00533333333333333</v>
      </c>
      <c r="W99" s="54">
        <f t="shared" si="10"/>
        <v>0.0183333333333333</v>
      </c>
      <c r="X99" s="54">
        <f t="shared" si="10"/>
        <v>0.275666666666667</v>
      </c>
    </row>
    <row r="100" spans="14:26">
      <c r="N100" s="49" t="s">
        <v>117</v>
      </c>
      <c r="O100" s="48"/>
      <c r="P100" s="50" t="s">
        <v>47</v>
      </c>
      <c r="Q100" s="48"/>
      <c r="R100" s="54">
        <f>V153/3</f>
        <v>0.700666666666667</v>
      </c>
      <c r="S100" s="54">
        <f t="shared" ref="S100:X100" si="11">W153/3</f>
        <v>0</v>
      </c>
      <c r="T100" s="54">
        <f t="shared" si="11"/>
        <v>1.38333333333333</v>
      </c>
      <c r="U100" s="54">
        <f t="shared" si="11"/>
        <v>0.09</v>
      </c>
      <c r="V100" s="54">
        <f t="shared" si="11"/>
        <v>0.528666666666667</v>
      </c>
      <c r="W100" s="54">
        <f t="shared" si="11"/>
        <v>2.102</v>
      </c>
      <c r="X100" s="54">
        <f t="shared" si="11"/>
        <v>0</v>
      </c>
      <c r="Z100" s="18">
        <f>SUM(R99:X100,R107:X111)</f>
        <v>16.499</v>
      </c>
    </row>
    <row r="101" spans="14:24">
      <c r="N101" s="49" t="s">
        <v>117</v>
      </c>
      <c r="P101" s="50" t="s">
        <v>50</v>
      </c>
      <c r="R101" s="18">
        <f>(35-16.5)/12*R100/SUM(R100:X100)</f>
        <v>0.224821932380556</v>
      </c>
      <c r="S101" s="18">
        <f>(35-16.5)/12*S100/SUM(R100:X100)</f>
        <v>0</v>
      </c>
      <c r="T101" s="18">
        <f>(35-16.5)/12*T100/SUM(R100:X100)</f>
        <v>0.443868229961612</v>
      </c>
      <c r="U101" s="18">
        <f>(35-16.5)/12*U100/SUM(R100:X100)</f>
        <v>0.0288781739975024</v>
      </c>
      <c r="V101" s="18">
        <f>(35-16.5)/12*V100/SUM(R100:X100)</f>
        <v>0.169632533185329</v>
      </c>
      <c r="W101" s="18">
        <f>(35-16.5)/12*W100/SUM(R100:X100)</f>
        <v>0.674465797141668</v>
      </c>
      <c r="X101" s="18">
        <f>(35-16.5)/12*X100/SUM(R100:X100)</f>
        <v>0</v>
      </c>
    </row>
    <row r="102" spans="14:24">
      <c r="N102" s="49" t="s">
        <v>117</v>
      </c>
      <c r="P102" s="50" t="s">
        <v>52</v>
      </c>
      <c r="R102" s="18">
        <f>R101</f>
        <v>0.224821932380556</v>
      </c>
      <c r="S102" s="18">
        <f t="shared" ref="S102:X103" si="12">S101</f>
        <v>0</v>
      </c>
      <c r="T102" s="18">
        <f t="shared" si="12"/>
        <v>0.443868229961612</v>
      </c>
      <c r="U102" s="18">
        <f t="shared" si="12"/>
        <v>0.0288781739975024</v>
      </c>
      <c r="V102" s="18">
        <f t="shared" si="12"/>
        <v>0.169632533185329</v>
      </c>
      <c r="W102" s="18">
        <f t="shared" si="12"/>
        <v>0.674465797141668</v>
      </c>
      <c r="X102" s="18">
        <f t="shared" si="12"/>
        <v>0</v>
      </c>
    </row>
    <row r="103" spans="14:24">
      <c r="N103" s="49" t="s">
        <v>117</v>
      </c>
      <c r="P103" s="50" t="s">
        <v>55</v>
      </c>
      <c r="R103" s="18">
        <f>R102</f>
        <v>0.224821932380556</v>
      </c>
      <c r="S103" s="18">
        <f t="shared" si="12"/>
        <v>0</v>
      </c>
      <c r="T103" s="18">
        <f t="shared" si="12"/>
        <v>0.443868229961612</v>
      </c>
      <c r="U103" s="18">
        <f t="shared" si="12"/>
        <v>0.0288781739975024</v>
      </c>
      <c r="V103" s="18">
        <f t="shared" si="12"/>
        <v>0.169632533185329</v>
      </c>
      <c r="W103" s="18">
        <f t="shared" si="12"/>
        <v>0.674465797141668</v>
      </c>
      <c r="X103" s="18">
        <f t="shared" si="12"/>
        <v>0</v>
      </c>
    </row>
    <row r="104" spans="14:24">
      <c r="N104" s="49" t="s">
        <v>117</v>
      </c>
      <c r="P104" s="50" t="s">
        <v>61</v>
      </c>
      <c r="R104" s="18">
        <f t="shared" ref="R104:R106" si="13">R103</f>
        <v>0.224821932380556</v>
      </c>
      <c r="S104" s="18">
        <f t="shared" ref="S104:S106" si="14">S103</f>
        <v>0</v>
      </c>
      <c r="T104" s="18">
        <f t="shared" ref="T104:T106" si="15">T103</f>
        <v>0.443868229961612</v>
      </c>
      <c r="U104" s="18">
        <f t="shared" ref="U104:U106" si="16">U103</f>
        <v>0.0288781739975024</v>
      </c>
      <c r="V104" s="18">
        <f t="shared" ref="V104:V106" si="17">V103</f>
        <v>0.169632533185329</v>
      </c>
      <c r="W104" s="18">
        <f t="shared" ref="W104:W106" si="18">W103</f>
        <v>0.674465797141668</v>
      </c>
      <c r="X104" s="18">
        <f t="shared" ref="X104:X106" si="19">X103</f>
        <v>0</v>
      </c>
    </row>
    <row r="105" spans="14:24">
      <c r="N105" s="49" t="s">
        <v>117</v>
      </c>
      <c r="P105" s="50" t="s">
        <v>65</v>
      </c>
      <c r="R105" s="18">
        <f t="shared" si="13"/>
        <v>0.224821932380556</v>
      </c>
      <c r="S105" s="18">
        <f t="shared" si="14"/>
        <v>0</v>
      </c>
      <c r="T105" s="18">
        <f t="shared" si="15"/>
        <v>0.443868229961612</v>
      </c>
      <c r="U105" s="18">
        <f t="shared" si="16"/>
        <v>0.0288781739975024</v>
      </c>
      <c r="V105" s="18">
        <f t="shared" si="17"/>
        <v>0.169632533185329</v>
      </c>
      <c r="W105" s="18">
        <f t="shared" si="18"/>
        <v>0.674465797141668</v>
      </c>
      <c r="X105" s="18">
        <f t="shared" si="19"/>
        <v>0</v>
      </c>
    </row>
    <row r="106" spans="14:24">
      <c r="N106" s="49" t="s">
        <v>117</v>
      </c>
      <c r="P106" s="50" t="s">
        <v>67</v>
      </c>
      <c r="R106" s="18">
        <f t="shared" si="13"/>
        <v>0.224821932380556</v>
      </c>
      <c r="S106" s="18">
        <f t="shared" si="14"/>
        <v>0</v>
      </c>
      <c r="T106" s="18">
        <f t="shared" si="15"/>
        <v>0.443868229961612</v>
      </c>
      <c r="U106" s="18">
        <f t="shared" si="16"/>
        <v>0.0288781739975024</v>
      </c>
      <c r="V106" s="18">
        <f t="shared" si="17"/>
        <v>0.169632533185329</v>
      </c>
      <c r="W106" s="18">
        <f t="shared" si="18"/>
        <v>0.674465797141668</v>
      </c>
      <c r="X106" s="18">
        <f t="shared" si="19"/>
        <v>0</v>
      </c>
    </row>
    <row r="107" spans="14:27">
      <c r="N107" s="49" t="s">
        <v>117</v>
      </c>
      <c r="P107" s="50" t="s">
        <v>70</v>
      </c>
      <c r="R107" s="18">
        <f>R99</f>
        <v>0.0693333333333333</v>
      </c>
      <c r="S107" s="18">
        <f t="shared" ref="S107:X107" si="20">S99</f>
        <v>0.0683333333333333</v>
      </c>
      <c r="T107" s="18">
        <f t="shared" si="20"/>
        <v>0.227</v>
      </c>
      <c r="U107" s="18">
        <f t="shared" si="20"/>
        <v>0.0173333333333333</v>
      </c>
      <c r="V107" s="18">
        <f t="shared" si="20"/>
        <v>0.00533333333333333</v>
      </c>
      <c r="W107" s="18">
        <f t="shared" si="20"/>
        <v>0.0183333333333333</v>
      </c>
      <c r="X107" s="18">
        <f t="shared" si="20"/>
        <v>0.275666666666667</v>
      </c>
      <c r="AA107" s="18" t="s">
        <v>118</v>
      </c>
    </row>
    <row r="108" spans="14:24">
      <c r="N108" s="49" t="s">
        <v>117</v>
      </c>
      <c r="P108" s="51" t="s">
        <v>71</v>
      </c>
      <c r="R108" s="18">
        <f>R99</f>
        <v>0.0693333333333333</v>
      </c>
      <c r="S108" s="18">
        <f t="shared" ref="S108:X108" si="21">S99</f>
        <v>0.0683333333333333</v>
      </c>
      <c r="T108" s="18">
        <f t="shared" si="21"/>
        <v>0.227</v>
      </c>
      <c r="U108" s="18">
        <f t="shared" si="21"/>
        <v>0.0173333333333333</v>
      </c>
      <c r="V108" s="18">
        <f t="shared" si="21"/>
        <v>0.00533333333333333</v>
      </c>
      <c r="W108" s="18">
        <f t="shared" si="21"/>
        <v>0.0183333333333333</v>
      </c>
      <c r="X108" s="18">
        <f t="shared" si="21"/>
        <v>0.275666666666667</v>
      </c>
    </row>
    <row r="109" spans="14:24">
      <c r="N109" s="49" t="s">
        <v>117</v>
      </c>
      <c r="P109" s="50" t="s">
        <v>72</v>
      </c>
      <c r="R109" s="18">
        <f>R100</f>
        <v>0.700666666666667</v>
      </c>
      <c r="S109" s="18">
        <f t="shared" ref="S109:X109" si="22">S100</f>
        <v>0</v>
      </c>
      <c r="T109" s="18">
        <f t="shared" si="22"/>
        <v>1.38333333333333</v>
      </c>
      <c r="U109" s="18">
        <f t="shared" si="22"/>
        <v>0.09</v>
      </c>
      <c r="V109" s="18">
        <f t="shared" si="22"/>
        <v>0.528666666666667</v>
      </c>
      <c r="W109" s="18">
        <f t="shared" si="22"/>
        <v>2.102</v>
      </c>
      <c r="X109" s="18">
        <f t="shared" si="22"/>
        <v>0</v>
      </c>
    </row>
    <row r="110" spans="14:24">
      <c r="N110" s="49" t="s">
        <v>117</v>
      </c>
      <c r="P110" s="50" t="s">
        <v>73</v>
      </c>
      <c r="R110" s="18">
        <f>R109</f>
        <v>0.700666666666667</v>
      </c>
      <c r="S110" s="18">
        <f t="shared" ref="S110:X110" si="23">S109</f>
        <v>0</v>
      </c>
      <c r="T110" s="18">
        <f t="shared" si="23"/>
        <v>1.38333333333333</v>
      </c>
      <c r="U110" s="18">
        <f t="shared" si="23"/>
        <v>0.09</v>
      </c>
      <c r="V110" s="18">
        <f t="shared" si="23"/>
        <v>0.528666666666667</v>
      </c>
      <c r="W110" s="18">
        <f t="shared" si="23"/>
        <v>2.102</v>
      </c>
      <c r="X110" s="18">
        <f t="shared" si="23"/>
        <v>0</v>
      </c>
    </row>
    <row r="111" spans="14:23">
      <c r="N111" s="49" t="s">
        <v>117</v>
      </c>
      <c r="P111" s="50" t="s">
        <v>75</v>
      </c>
      <c r="V111" s="18">
        <f>5/1000</f>
        <v>0.005</v>
      </c>
      <c r="W111" s="18">
        <f>36/1000</f>
        <v>0.036</v>
      </c>
    </row>
    <row r="112" spans="14:24">
      <c r="N112" s="49" t="s">
        <v>117</v>
      </c>
      <c r="P112" s="50" t="s">
        <v>76</v>
      </c>
      <c r="R112" s="18">
        <f>R102</f>
        <v>0.224821932380556</v>
      </c>
      <c r="S112" s="18">
        <f t="shared" ref="S112:X112" si="24">S102</f>
        <v>0</v>
      </c>
      <c r="T112" s="18">
        <f t="shared" si="24"/>
        <v>0.443868229961612</v>
      </c>
      <c r="U112" s="18">
        <f t="shared" si="24"/>
        <v>0.0288781739975024</v>
      </c>
      <c r="V112" s="18">
        <f t="shared" si="24"/>
        <v>0.169632533185329</v>
      </c>
      <c r="W112" s="18">
        <f t="shared" si="24"/>
        <v>0.674465797141668</v>
      </c>
      <c r="X112" s="18">
        <f t="shared" si="24"/>
        <v>0</v>
      </c>
    </row>
    <row r="113" spans="14:24">
      <c r="N113" s="49" t="s">
        <v>117</v>
      </c>
      <c r="P113" s="50" t="s">
        <v>77</v>
      </c>
      <c r="R113" s="18">
        <f t="shared" ref="R113:X113" si="25">R103</f>
        <v>0.224821932380556</v>
      </c>
      <c r="S113" s="18">
        <f t="shared" si="25"/>
        <v>0</v>
      </c>
      <c r="T113" s="18">
        <f t="shared" si="25"/>
        <v>0.443868229961612</v>
      </c>
      <c r="U113" s="18">
        <f t="shared" si="25"/>
        <v>0.0288781739975024</v>
      </c>
      <c r="V113" s="18">
        <f t="shared" si="25"/>
        <v>0.169632533185329</v>
      </c>
      <c r="W113" s="18">
        <f t="shared" si="25"/>
        <v>0.674465797141668</v>
      </c>
      <c r="X113" s="18">
        <f t="shared" si="25"/>
        <v>0</v>
      </c>
    </row>
    <row r="114" spans="14:24">
      <c r="N114" s="49" t="s">
        <v>117</v>
      </c>
      <c r="P114" s="50" t="s">
        <v>78</v>
      </c>
      <c r="R114" s="18">
        <f t="shared" ref="R114:X114" si="26">R104</f>
        <v>0.224821932380556</v>
      </c>
      <c r="S114" s="18">
        <f t="shared" si="26"/>
        <v>0</v>
      </c>
      <c r="T114" s="18">
        <f t="shared" si="26"/>
        <v>0.443868229961612</v>
      </c>
      <c r="U114" s="18">
        <f t="shared" si="26"/>
        <v>0.0288781739975024</v>
      </c>
      <c r="V114" s="18">
        <f t="shared" si="26"/>
        <v>0.169632533185329</v>
      </c>
      <c r="W114" s="18">
        <f t="shared" si="26"/>
        <v>0.674465797141668</v>
      </c>
      <c r="X114" s="18">
        <f t="shared" si="26"/>
        <v>0</v>
      </c>
    </row>
    <row r="115" spans="14:24">
      <c r="N115" s="49" t="s">
        <v>117</v>
      </c>
      <c r="P115" s="50" t="s">
        <v>79</v>
      </c>
      <c r="R115" s="18">
        <f t="shared" ref="R115:X115" si="27">R105</f>
        <v>0.224821932380556</v>
      </c>
      <c r="S115" s="18">
        <f t="shared" si="27"/>
        <v>0</v>
      </c>
      <c r="T115" s="18">
        <f t="shared" si="27"/>
        <v>0.443868229961612</v>
      </c>
      <c r="U115" s="18">
        <f t="shared" si="27"/>
        <v>0.0288781739975024</v>
      </c>
      <c r="V115" s="18">
        <f t="shared" si="27"/>
        <v>0.169632533185329</v>
      </c>
      <c r="W115" s="18">
        <f t="shared" si="27"/>
        <v>0.674465797141668</v>
      </c>
      <c r="X115" s="18">
        <f t="shared" si="27"/>
        <v>0</v>
      </c>
    </row>
    <row r="116" spans="14:24">
      <c r="N116" s="49" t="s">
        <v>117</v>
      </c>
      <c r="P116" s="50" t="s">
        <v>80</v>
      </c>
      <c r="R116" s="18">
        <f t="shared" ref="R116:X116" si="28">R106</f>
        <v>0.224821932380556</v>
      </c>
      <c r="S116" s="18">
        <f t="shared" si="28"/>
        <v>0</v>
      </c>
      <c r="T116" s="18">
        <f t="shared" si="28"/>
        <v>0.443868229961612</v>
      </c>
      <c r="U116" s="18">
        <f t="shared" si="28"/>
        <v>0.0288781739975024</v>
      </c>
      <c r="V116" s="18">
        <f t="shared" si="28"/>
        <v>0.169632533185329</v>
      </c>
      <c r="W116" s="18">
        <f t="shared" si="28"/>
        <v>0.674465797141668</v>
      </c>
      <c r="X116" s="18">
        <f t="shared" si="28"/>
        <v>0</v>
      </c>
    </row>
    <row r="117" spans="14:24">
      <c r="N117" s="49" t="s">
        <v>117</v>
      </c>
      <c r="P117" s="50" t="s">
        <v>81</v>
      </c>
      <c r="R117" s="18">
        <f>R116</f>
        <v>0.224821932380556</v>
      </c>
      <c r="S117" s="18">
        <f t="shared" ref="S117:X117" si="29">S116</f>
        <v>0</v>
      </c>
      <c r="T117" s="18">
        <f t="shared" si="29"/>
        <v>0.443868229961612</v>
      </c>
      <c r="U117" s="18">
        <f t="shared" si="29"/>
        <v>0.0288781739975024</v>
      </c>
      <c r="V117" s="18">
        <f t="shared" si="29"/>
        <v>0.169632533185329</v>
      </c>
      <c r="W117" s="18">
        <f t="shared" si="29"/>
        <v>0.674465797141668</v>
      </c>
      <c r="X117" s="18">
        <f t="shared" si="29"/>
        <v>0</v>
      </c>
    </row>
    <row r="118" spans="12:16">
      <c r="L118" s="49"/>
      <c r="M118" s="52"/>
      <c r="P118" s="50"/>
    </row>
    <row r="125" spans="17:17">
      <c r="Q125" s="17" t="s">
        <v>119</v>
      </c>
    </row>
    <row r="131" ht="16.25" spans="12:18">
      <c r="L131" s="55" t="s">
        <v>120</v>
      </c>
      <c r="M131" s="55"/>
      <c r="N131" s="56"/>
      <c r="O131" s="57"/>
      <c r="Q131" s="70" t="s">
        <v>121</v>
      </c>
      <c r="R131" s="18" t="s">
        <v>122</v>
      </c>
    </row>
    <row r="132" ht="57.75" spans="12:24">
      <c r="L132" s="58" t="s">
        <v>123</v>
      </c>
      <c r="M132" s="58"/>
      <c r="N132" s="58" t="s">
        <v>124</v>
      </c>
      <c r="O132" s="59"/>
      <c r="R132" s="48" t="s">
        <v>110</v>
      </c>
      <c r="S132" s="48" t="s">
        <v>111</v>
      </c>
      <c r="T132" s="48" t="s">
        <v>112</v>
      </c>
      <c r="U132" s="48" t="s">
        <v>113</v>
      </c>
      <c r="V132" s="48" t="s">
        <v>114</v>
      </c>
      <c r="W132" s="48" t="s">
        <v>115</v>
      </c>
      <c r="X132" s="48" t="s">
        <v>116</v>
      </c>
    </row>
    <row r="133" ht="38.75" spans="12:24">
      <c r="L133" s="60" t="s">
        <v>125</v>
      </c>
      <c r="M133" s="60"/>
      <c r="N133" s="60">
        <v>27</v>
      </c>
      <c r="O133" s="61"/>
      <c r="R133" s="54">
        <f>(27+2+66+113)/1000</f>
        <v>0.208</v>
      </c>
      <c r="S133" s="54">
        <f>205/1000</f>
        <v>0.205</v>
      </c>
      <c r="T133" s="54">
        <f>681/1000</f>
        <v>0.681</v>
      </c>
      <c r="U133" s="54">
        <f>52/1000</f>
        <v>0.052</v>
      </c>
      <c r="V133" s="54">
        <f>16/1000</f>
        <v>0.016</v>
      </c>
      <c r="W133" s="54">
        <f>55/1000</f>
        <v>0.055</v>
      </c>
      <c r="X133" s="54">
        <f>827/1000</f>
        <v>0.827</v>
      </c>
    </row>
    <row r="134" ht="38.75" spans="12:15">
      <c r="L134" s="60" t="s">
        <v>126</v>
      </c>
      <c r="M134" s="60"/>
      <c r="N134" s="60">
        <v>2</v>
      </c>
      <c r="O134" s="61"/>
    </row>
    <row r="135" ht="19.75" spans="12:15">
      <c r="L135" s="60" t="s">
        <v>127</v>
      </c>
      <c r="M135" s="60"/>
      <c r="N135" s="60">
        <v>66</v>
      </c>
      <c r="O135" s="61"/>
    </row>
    <row r="136" ht="19.75" spans="12:15">
      <c r="L136" s="60" t="s">
        <v>128</v>
      </c>
      <c r="M136" s="60"/>
      <c r="N136" s="60">
        <v>113</v>
      </c>
      <c r="O136" s="61"/>
    </row>
    <row r="137" ht="19.75" spans="12:15">
      <c r="L137" s="60" t="s">
        <v>129</v>
      </c>
      <c r="M137" s="60"/>
      <c r="N137" s="60">
        <v>205</v>
      </c>
      <c r="O137" s="61"/>
    </row>
    <row r="138" ht="19.75" spans="12:15">
      <c r="L138" s="60" t="s">
        <v>130</v>
      </c>
      <c r="M138" s="60"/>
      <c r="N138" s="60">
        <v>681</v>
      </c>
      <c r="O138" s="61"/>
    </row>
    <row r="139" ht="19.75" spans="12:15">
      <c r="L139" s="60" t="s">
        <v>131</v>
      </c>
      <c r="M139" s="60"/>
      <c r="N139" s="60">
        <v>52</v>
      </c>
      <c r="O139" s="61"/>
    </row>
    <row r="140" ht="19.75" spans="12:15">
      <c r="L140" s="60" t="s">
        <v>132</v>
      </c>
      <c r="M140" s="60"/>
      <c r="N140" s="60">
        <v>16</v>
      </c>
      <c r="O140" s="61"/>
    </row>
    <row r="141" ht="19.75" spans="12:15">
      <c r="L141" s="60" t="s">
        <v>133</v>
      </c>
      <c r="M141" s="60"/>
      <c r="N141" s="60">
        <v>55</v>
      </c>
      <c r="O141" s="61"/>
    </row>
    <row r="142" ht="19.75" spans="12:15">
      <c r="L142" s="60" t="s">
        <v>134</v>
      </c>
      <c r="M142" s="60"/>
      <c r="N142" s="60">
        <v>827</v>
      </c>
      <c r="O142" s="61"/>
    </row>
    <row r="143" ht="19.75" spans="12:15">
      <c r="L143" s="62" t="s">
        <v>135</v>
      </c>
      <c r="M143" s="62"/>
      <c r="N143" s="63">
        <v>2043</v>
      </c>
      <c r="O143" s="64"/>
    </row>
    <row r="151" ht="13.75" spans="17:28">
      <c r="Q151" s="70" t="s">
        <v>136</v>
      </c>
      <c r="V151" s="71" t="s">
        <v>122</v>
      </c>
      <c r="W151" s="71"/>
      <c r="X151" s="71"/>
      <c r="Y151" s="71"/>
      <c r="Z151" s="71"/>
      <c r="AA151" s="71"/>
      <c r="AB151" s="71"/>
    </row>
    <row r="152" ht="29.75" spans="12:28">
      <c r="L152" s="65" t="s">
        <v>137</v>
      </c>
      <c r="M152" s="65"/>
      <c r="N152" s="65" t="s">
        <v>138</v>
      </c>
      <c r="O152" s="65"/>
      <c r="P152" s="65" t="s">
        <v>139</v>
      </c>
      <c r="Q152" s="65" t="s">
        <v>140</v>
      </c>
      <c r="R152" s="65" t="s">
        <v>141</v>
      </c>
      <c r="S152" s="65" t="s">
        <v>142</v>
      </c>
      <c r="V152" s="49" t="s">
        <v>110</v>
      </c>
      <c r="W152" s="49" t="s">
        <v>111</v>
      </c>
      <c r="X152" s="49" t="s">
        <v>112</v>
      </c>
      <c r="Y152" s="49" t="s">
        <v>113</v>
      </c>
      <c r="Z152" s="49" t="s">
        <v>114</v>
      </c>
      <c r="AA152" s="49" t="s">
        <v>115</v>
      </c>
      <c r="AB152" s="49" t="s">
        <v>116</v>
      </c>
    </row>
    <row r="153" ht="50.75" spans="12:28">
      <c r="L153" s="66" t="s">
        <v>133</v>
      </c>
      <c r="M153" s="66"/>
      <c r="N153" s="67" t="s">
        <v>143</v>
      </c>
      <c r="O153" s="67"/>
      <c r="P153" s="67" t="s">
        <v>144</v>
      </c>
      <c r="Q153" s="66" t="s">
        <v>145</v>
      </c>
      <c r="R153" s="66"/>
      <c r="S153" s="66"/>
      <c r="T153" s="18">
        <f>165+165+165</f>
        <v>495</v>
      </c>
      <c r="V153" s="72">
        <f>SUM(T161:T166,T176)/1000</f>
        <v>2.102</v>
      </c>
      <c r="W153" s="72">
        <v>0</v>
      </c>
      <c r="X153" s="72">
        <f>SUM(T167:T172)/1000</f>
        <v>4.15</v>
      </c>
      <c r="Y153" s="72">
        <f>T160/1000</f>
        <v>0.27</v>
      </c>
      <c r="Z153" s="72">
        <f>SUM(T173:T175)/1000</f>
        <v>1.586</v>
      </c>
      <c r="AA153" s="72">
        <f>SUM(T153:T159)/1000</f>
        <v>6.306</v>
      </c>
      <c r="AB153" s="72">
        <f>0</f>
        <v>0</v>
      </c>
    </row>
    <row r="154" ht="25.75" spans="12:20">
      <c r="L154" s="66" t="s">
        <v>133</v>
      </c>
      <c r="M154" s="66"/>
      <c r="N154" s="67" t="s">
        <v>146</v>
      </c>
      <c r="O154" s="67"/>
      <c r="P154" s="67" t="s">
        <v>147</v>
      </c>
      <c r="Q154" s="66" t="s">
        <v>148</v>
      </c>
      <c r="R154" s="66" t="s">
        <v>149</v>
      </c>
      <c r="S154" s="66"/>
      <c r="T154" s="18">
        <f>430+430+450</f>
        <v>1310</v>
      </c>
    </row>
    <row r="155" ht="50.75" spans="12:20">
      <c r="L155" s="66" t="s">
        <v>133</v>
      </c>
      <c r="M155" s="66"/>
      <c r="N155" s="67" t="s">
        <v>150</v>
      </c>
      <c r="O155" s="67"/>
      <c r="P155" s="67" t="s">
        <v>151</v>
      </c>
      <c r="Q155" s="66">
        <v>150</v>
      </c>
      <c r="R155" s="66">
        <v>172</v>
      </c>
      <c r="S155" s="66"/>
      <c r="T155" s="18">
        <v>150</v>
      </c>
    </row>
    <row r="156" ht="15.25" spans="12:20">
      <c r="L156" s="66" t="s">
        <v>133</v>
      </c>
      <c r="M156" s="66"/>
      <c r="N156" s="67" t="s">
        <v>152</v>
      </c>
      <c r="O156" s="67"/>
      <c r="P156" s="67" t="s">
        <v>153</v>
      </c>
      <c r="Q156" s="66" t="s">
        <v>154</v>
      </c>
      <c r="R156" s="66" t="s">
        <v>155</v>
      </c>
      <c r="S156" s="66"/>
      <c r="T156" s="18">
        <v>800</v>
      </c>
    </row>
    <row r="157" ht="15.25" spans="12:20">
      <c r="L157" s="66" t="s">
        <v>133</v>
      </c>
      <c r="M157" s="66"/>
      <c r="N157" s="67" t="s">
        <v>156</v>
      </c>
      <c r="O157" s="67"/>
      <c r="P157" s="67" t="s">
        <v>144</v>
      </c>
      <c r="Q157" s="66" t="s">
        <v>154</v>
      </c>
      <c r="R157" s="66" t="s">
        <v>157</v>
      </c>
      <c r="S157" s="66"/>
      <c r="T157" s="18">
        <v>800</v>
      </c>
    </row>
    <row r="158" ht="15.25" spans="12:20">
      <c r="L158" s="66" t="s">
        <v>133</v>
      </c>
      <c r="M158" s="66"/>
      <c r="N158" s="67" t="s">
        <v>158</v>
      </c>
      <c r="O158" s="67"/>
      <c r="P158" s="67" t="s">
        <v>153</v>
      </c>
      <c r="Q158" s="66" t="s">
        <v>159</v>
      </c>
      <c r="R158" s="66" t="s">
        <v>160</v>
      </c>
      <c r="S158" s="66"/>
      <c r="T158" s="18">
        <f>304+304+380+380+380+433</f>
        <v>2181</v>
      </c>
    </row>
    <row r="159" ht="44.25" spans="12:20">
      <c r="L159" s="66" t="s">
        <v>133</v>
      </c>
      <c r="M159" s="66"/>
      <c r="N159" s="67" t="s">
        <v>161</v>
      </c>
      <c r="O159" s="67"/>
      <c r="P159" s="67" t="s">
        <v>153</v>
      </c>
      <c r="Q159" s="66" t="s">
        <v>162</v>
      </c>
      <c r="R159" s="66" t="s">
        <v>163</v>
      </c>
      <c r="S159" s="66" t="s">
        <v>164</v>
      </c>
      <c r="T159" s="18">
        <f>66+66+159+279</f>
        <v>570</v>
      </c>
    </row>
    <row r="160" ht="38.25" spans="12:20">
      <c r="L160" s="66" t="s">
        <v>131</v>
      </c>
      <c r="M160" s="66"/>
      <c r="N160" s="67" t="s">
        <v>165</v>
      </c>
      <c r="O160" s="67"/>
      <c r="P160" s="67" t="s">
        <v>166</v>
      </c>
      <c r="Q160" s="66" t="s">
        <v>167</v>
      </c>
      <c r="R160" s="66" t="s">
        <v>168</v>
      </c>
      <c r="S160" s="66"/>
      <c r="T160" s="18">
        <f>33*5+105</f>
        <v>270</v>
      </c>
    </row>
    <row r="161" ht="38.25" spans="12:20">
      <c r="L161" s="66" t="s">
        <v>128</v>
      </c>
      <c r="M161" s="66"/>
      <c r="N161" s="67" t="s">
        <v>169</v>
      </c>
      <c r="O161" s="67"/>
      <c r="P161" s="67" t="s">
        <v>170</v>
      </c>
      <c r="Q161" s="66">
        <v>450</v>
      </c>
      <c r="R161" s="66">
        <v>1993</v>
      </c>
      <c r="S161" s="66"/>
      <c r="T161" s="18">
        <f>Q161</f>
        <v>450</v>
      </c>
    </row>
    <row r="162" ht="38.25" spans="12:20">
      <c r="L162" s="66" t="s">
        <v>128</v>
      </c>
      <c r="M162" s="66"/>
      <c r="N162" s="67" t="s">
        <v>171</v>
      </c>
      <c r="O162" s="67"/>
      <c r="P162" s="67" t="s">
        <v>170</v>
      </c>
      <c r="Q162" s="66">
        <v>300</v>
      </c>
      <c r="R162" s="66">
        <v>1969</v>
      </c>
      <c r="S162" s="66"/>
      <c r="T162" s="18">
        <f>Q162</f>
        <v>300</v>
      </c>
    </row>
    <row r="163" ht="38.25" spans="12:20">
      <c r="L163" s="66" t="s">
        <v>127</v>
      </c>
      <c r="M163" s="66"/>
      <c r="N163" s="67" t="s">
        <v>172</v>
      </c>
      <c r="O163" s="67"/>
      <c r="P163" s="67" t="s">
        <v>173</v>
      </c>
      <c r="Q163" s="66" t="s">
        <v>174</v>
      </c>
      <c r="R163" s="66" t="s">
        <v>175</v>
      </c>
      <c r="S163" s="66"/>
      <c r="T163" s="18">
        <f>158*4</f>
        <v>632</v>
      </c>
    </row>
    <row r="164" ht="50.75" spans="12:20">
      <c r="L164" s="66" t="s">
        <v>127</v>
      </c>
      <c r="M164" s="66"/>
      <c r="N164" s="67" t="s">
        <v>176</v>
      </c>
      <c r="O164" s="67"/>
      <c r="P164" s="67" t="s">
        <v>173</v>
      </c>
      <c r="Q164" s="66">
        <v>210</v>
      </c>
      <c r="R164" s="66">
        <v>1994</v>
      </c>
      <c r="S164" s="66"/>
      <c r="T164" s="18">
        <f>Q164</f>
        <v>210</v>
      </c>
    </row>
    <row r="165" ht="50.75" spans="12:20">
      <c r="L165" s="66" t="s">
        <v>127</v>
      </c>
      <c r="M165" s="66"/>
      <c r="N165" s="67" t="s">
        <v>177</v>
      </c>
      <c r="O165" s="67"/>
      <c r="P165" s="67" t="s">
        <v>173</v>
      </c>
      <c r="Q165" s="66">
        <v>150</v>
      </c>
      <c r="R165" s="66">
        <v>1973</v>
      </c>
      <c r="S165" s="66"/>
      <c r="T165" s="18">
        <f>Q165</f>
        <v>150</v>
      </c>
    </row>
    <row r="166" ht="38.25" spans="12:20">
      <c r="L166" s="66" t="s">
        <v>127</v>
      </c>
      <c r="M166" s="66"/>
      <c r="N166" s="67" t="s">
        <v>178</v>
      </c>
      <c r="O166" s="67"/>
      <c r="P166" s="67" t="s">
        <v>173</v>
      </c>
      <c r="Q166" s="66" t="s">
        <v>179</v>
      </c>
      <c r="R166" s="66" t="s">
        <v>180</v>
      </c>
      <c r="S166" s="66"/>
      <c r="T166" s="18">
        <f>150*2</f>
        <v>300</v>
      </c>
    </row>
    <row r="167" ht="38.25" spans="12:20">
      <c r="L167" s="66" t="s">
        <v>181</v>
      </c>
      <c r="M167" s="66"/>
      <c r="N167" s="67" t="s">
        <v>182</v>
      </c>
      <c r="O167" s="67"/>
      <c r="P167" s="67" t="s">
        <v>183</v>
      </c>
      <c r="Q167" s="66" t="s">
        <v>184</v>
      </c>
      <c r="R167" s="66">
        <v>1985</v>
      </c>
      <c r="S167" s="66"/>
      <c r="T167" s="18">
        <f>220</f>
        <v>220</v>
      </c>
    </row>
    <row r="168" ht="38.25" spans="12:20">
      <c r="L168" s="66" t="s">
        <v>181</v>
      </c>
      <c r="M168" s="66"/>
      <c r="N168" s="67" t="s">
        <v>185</v>
      </c>
      <c r="O168" s="67"/>
      <c r="P168" s="67" t="s">
        <v>183</v>
      </c>
      <c r="Q168" s="66">
        <v>1200</v>
      </c>
      <c r="R168" s="66" t="s">
        <v>186</v>
      </c>
      <c r="S168" s="66">
        <v>1983</v>
      </c>
      <c r="T168" s="18">
        <f>Q168</f>
        <v>1200</v>
      </c>
    </row>
    <row r="169" ht="63.25" spans="12:20">
      <c r="L169" s="66" t="s">
        <v>181</v>
      </c>
      <c r="M169" s="66"/>
      <c r="N169" s="67" t="s">
        <v>187</v>
      </c>
      <c r="O169" s="67"/>
      <c r="P169" s="67" t="s">
        <v>183</v>
      </c>
      <c r="Q169" s="66">
        <v>2400</v>
      </c>
      <c r="R169" s="66" t="s">
        <v>188</v>
      </c>
      <c r="S169" s="66">
        <v>2005</v>
      </c>
      <c r="T169" s="18">
        <f>Q169</f>
        <v>2400</v>
      </c>
    </row>
    <row r="170" ht="38.25" spans="12:19">
      <c r="L170" s="66" t="s">
        <v>181</v>
      </c>
      <c r="M170" s="66"/>
      <c r="N170" s="67" t="s">
        <v>189</v>
      </c>
      <c r="O170" s="67"/>
      <c r="P170" s="67" t="s">
        <v>183</v>
      </c>
      <c r="Q170" s="66"/>
      <c r="R170" s="66"/>
      <c r="S170" s="66"/>
    </row>
    <row r="171" ht="38.25" spans="12:19">
      <c r="L171" s="66" t="s">
        <v>181</v>
      </c>
      <c r="M171" s="66"/>
      <c r="N171" s="67" t="s">
        <v>190</v>
      </c>
      <c r="O171" s="67"/>
      <c r="P171" s="67" t="s">
        <v>183</v>
      </c>
      <c r="Q171" s="66"/>
      <c r="R171" s="66"/>
      <c r="S171" s="66"/>
    </row>
    <row r="172" ht="38.25" spans="12:20">
      <c r="L172" s="66" t="s">
        <v>181</v>
      </c>
      <c r="M172" s="66"/>
      <c r="N172" s="67" t="s">
        <v>191</v>
      </c>
      <c r="O172" s="67"/>
      <c r="P172" s="67" t="s">
        <v>183</v>
      </c>
      <c r="Q172" s="66" t="s">
        <v>192</v>
      </c>
      <c r="R172" s="66">
        <v>1981</v>
      </c>
      <c r="S172" s="66"/>
      <c r="T172" s="18">
        <f>165*2</f>
        <v>330</v>
      </c>
    </row>
    <row r="173" ht="50.75" spans="12:20">
      <c r="L173" s="66" t="s">
        <v>132</v>
      </c>
      <c r="M173" s="66"/>
      <c r="N173" s="67" t="s">
        <v>193</v>
      </c>
      <c r="O173" s="67"/>
      <c r="P173" s="67" t="s">
        <v>194</v>
      </c>
      <c r="Q173" s="66" t="s">
        <v>195</v>
      </c>
      <c r="R173" s="66" t="s">
        <v>196</v>
      </c>
      <c r="S173" s="66"/>
      <c r="T173" s="18">
        <f>66*2+300+292</f>
        <v>724</v>
      </c>
    </row>
    <row r="174" ht="50.75" spans="12:20">
      <c r="L174" s="66" t="s">
        <v>132</v>
      </c>
      <c r="M174" s="66"/>
      <c r="N174" s="67" t="s">
        <v>197</v>
      </c>
      <c r="O174" s="67"/>
      <c r="P174" s="67" t="s">
        <v>194</v>
      </c>
      <c r="Q174" s="66" t="s">
        <v>198</v>
      </c>
      <c r="R174" s="66" t="s">
        <v>199</v>
      </c>
      <c r="S174" s="66"/>
      <c r="T174" s="18">
        <f>281*2</f>
        <v>562</v>
      </c>
    </row>
    <row r="175" ht="38.25" spans="12:20">
      <c r="L175" s="66" t="s">
        <v>132</v>
      </c>
      <c r="M175" s="66"/>
      <c r="N175" s="67" t="s">
        <v>200</v>
      </c>
      <c r="O175" s="67"/>
      <c r="P175" s="67" t="s">
        <v>194</v>
      </c>
      <c r="Q175" s="66">
        <v>300</v>
      </c>
      <c r="R175" s="66">
        <v>1992</v>
      </c>
      <c r="S175" s="66"/>
      <c r="T175" s="18">
        <f>300</f>
        <v>300</v>
      </c>
    </row>
    <row r="176" ht="50.75" spans="12:20">
      <c r="L176" s="68" t="s">
        <v>128</v>
      </c>
      <c r="M176" s="68"/>
      <c r="N176" s="69" t="s">
        <v>201</v>
      </c>
      <c r="O176" s="69"/>
      <c r="P176" s="69" t="s">
        <v>170</v>
      </c>
      <c r="Q176" s="68">
        <v>60</v>
      </c>
      <c r="R176" s="68">
        <v>1964</v>
      </c>
      <c r="S176" s="73"/>
      <c r="T176" s="18">
        <v>60</v>
      </c>
    </row>
  </sheetData>
  <mergeCells count="1">
    <mergeCell ref="L131:N131"/>
  </mergeCells>
  <hyperlinks>
    <hyperlink ref="Q131" r:id="rId4" display="About Renewable Energy (canada.ca)"/>
    <hyperlink ref="N153" r:id="rId5" display="Battle River power station" tooltip="Battle River power station"/>
    <hyperlink ref="P153" r:id="rId6" display="Atco Power" tooltip="Atco Power (page does not exist)"/>
    <hyperlink ref="N154" r:id="rId7" display="Genesee 3" tooltip="Genesee 3"/>
    <hyperlink ref="P154" r:id="rId8" display="Capital Power Corporation" tooltip="Capital Power Corporation (page does not exist)"/>
    <hyperlink ref="N155" r:id="rId9" display="H.R. Milner power station" tooltip="H.R. Milner power station"/>
    <hyperlink ref="P155" r:id="rId10" display="Maxim Power Corp" tooltip="Maxim Power Corp (page does not exist)"/>
    <hyperlink ref="N156" r:id="rId11" display="Keephills" tooltip="Keephills"/>
    <hyperlink ref="P156" r:id="rId12" display="TransAlta" tooltip="TransAlta"/>
    <hyperlink ref="N157" r:id="rId13" display="Sheerness" tooltip="Sheerness"/>
    <hyperlink ref="P157" r:id="rId6" display="Atco Power" tooltip="Atco Power (page does not exist)"/>
    <hyperlink ref="N158" r:id="rId14" display="Sundance" tooltip="Sundance"/>
    <hyperlink ref="P158" r:id="rId12" display="TransAlta" tooltip="TransAlta"/>
    <hyperlink ref="N159" r:id="rId15" display="Wabamun Generating Station" tooltip="Wabamum Generating Station"/>
    <hyperlink ref="P159" r:id="rId12" display="TransAlta" tooltip="TransAlta"/>
    <hyperlink ref="N160" r:id="rId16" display="Brandon Generating Station" tooltip="Manitoba Brandon power station"/>
    <hyperlink ref="P160" r:id="rId17" display="Manitoba Hydro" tooltip="Manitoba Hydro (page does not exist)"/>
    <hyperlink ref="N161" r:id="rId18" display="Belledune power station" tooltip="Belledune power station"/>
    <hyperlink ref="P161" r:id="rId19" display="New Brunswick Power" tooltip="New Brunswick Power (page does not exist)"/>
    <hyperlink ref="N162" r:id="rId20" display="Dalhousie Generating Station" tooltip="Dalhousie Generating Station (page does not exist)"/>
    <hyperlink ref="P162" r:id="rId19" display="New Brunswick Power" tooltip="New Brunswick Power (page does not exist)"/>
    <hyperlink ref="N163" r:id="rId21" display="Lingan power station" tooltip="Lingan power station"/>
    <hyperlink ref="P163" r:id="rId22" display="Nova Scotia Power" tooltip="Nova Scotia Power (page does not exist)"/>
    <hyperlink ref="N164" r:id="rId23" display="Point Aconi Generating Station" tooltip="Point Aconi Generating Station"/>
    <hyperlink ref="P164" r:id="rId22" display="Nova Scotia Power" tooltip="Nova Scotia Power (page does not exist)"/>
    <hyperlink ref="N165" r:id="rId24" display="Point Tupper power station" tooltip="Point Tupper power station"/>
    <hyperlink ref="P165" r:id="rId22" display="Nova Scotia Power" tooltip="Nova Scotia Power (page does not exist)"/>
    <hyperlink ref="N166" r:id="rId25" display="Trenton Generating Station" tooltip="Trenton Generating Station"/>
    <hyperlink ref="P166" r:id="rId22" display="Nova Scotia Power" tooltip="Nova Scotia Power (page does not exist)"/>
    <hyperlink ref="N167" r:id="rId26" display="Atikokan power station" tooltip="Atikokan power station"/>
    <hyperlink ref="P167" r:id="rId27" display="Ontario Power Generation" tooltip="Ontario Power Generation (page does not exist)"/>
    <hyperlink ref="N168" r:id="rId28" display="Hearn Generating Station" tooltip="Hearn Generating Station (page does not exist)"/>
    <hyperlink ref="P168" r:id="rId27" display="Ontario Power Generation" tooltip="Ontario Power Generation (page does not exist)"/>
    <hyperlink ref="N169" r:id="rId29" display="Lakeview Generating Station (retired)" tooltip="Lakeview Generating Station"/>
    <hyperlink ref="P169" r:id="rId27" display="Ontario Power Generation" tooltip="Ontario Power Generation (page does not exist)"/>
    <hyperlink ref="N170" r:id="rId30" display="Lambton generating station" tooltip="Lambton generating station"/>
    <hyperlink ref="P170" r:id="rId27" display="Ontario Power Generation" tooltip="Ontario Power Generation (page does not exist)"/>
    <hyperlink ref="N171" r:id="rId31" display="Nanticoke power station" tooltip="Nanticoke power station"/>
    <hyperlink ref="P171" r:id="rId27" display="Ontario Power Generation" tooltip="Ontario Power Generation (page does not exist)"/>
    <hyperlink ref="N172" r:id="rId32" display="Thunder Bay power station" tooltip="Thunder Bay power station"/>
    <hyperlink ref="P172" r:id="rId27" display="Ontario Power Generation" tooltip="Ontario Power Generation (page does not exist)"/>
    <hyperlink ref="N173" r:id="rId33" display="Boundary Dam Power Station" tooltip="Boundary Dam Power Station"/>
    <hyperlink ref="P173" r:id="rId34" display="SaskPower" tooltip="SaskPower"/>
    <hyperlink ref="N174" r:id="rId35" display="Poplar River power station" tooltip="Poplar River power station"/>
    <hyperlink ref="P174" r:id="rId34" display="SaskPower" tooltip="SaskPower"/>
    <hyperlink ref="N175" r:id="rId36" display="Shand power station" tooltip="Shand power station"/>
    <hyperlink ref="P175" r:id="rId34" display="SaskPower" tooltip="SaskPower"/>
    <hyperlink ref="N176" r:id="rId37" display="Grand Lake power station" tooltip="Grand Lake power station"/>
    <hyperlink ref="P176" r:id="rId19" display="New Brunswick Power" tooltip="New Brunswick Power (page does not exist)"/>
    <hyperlink ref="Q151" r:id="rId38" display="Existing coal plants in Canada - Global Energy Monitor (gem.wiki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3:Q24"/>
  <sheetViews>
    <sheetView zoomScale="74" zoomScaleNormal="74" workbookViewId="0">
      <selection activeCell="I13" sqref="I13"/>
    </sheetView>
  </sheetViews>
  <sheetFormatPr defaultColWidth="9" defaultRowHeight="14.5"/>
  <cols>
    <col min="3" max="3" width="14" customWidth="1"/>
    <col min="4" max="4" width="9.42727272727273" customWidth="1"/>
    <col min="5" max="5" width="11.1363636363636" customWidth="1"/>
    <col min="6" max="6" width="4" customWidth="1"/>
    <col min="8" max="9" width="9.13636363636364"/>
    <col min="12" max="12" width="14" customWidth="1"/>
    <col min="13" max="13" width="59" customWidth="1"/>
    <col min="14" max="14" width="4.57272727272727" customWidth="1"/>
    <col min="15" max="15" width="5" customWidth="1"/>
    <col min="16" max="16" width="8.57272727272727" customWidth="1"/>
    <col min="17" max="17" width="10.2818181818182" customWidth="1"/>
    <col min="261" max="261" width="10.5727272727273" customWidth="1"/>
    <col min="262" max="262" width="14.8545454545455" customWidth="1"/>
    <col min="263" max="263" width="11.1363636363636" customWidth="1"/>
    <col min="517" max="517" width="10.5727272727273" customWidth="1"/>
    <col min="518" max="518" width="14.8545454545455" customWidth="1"/>
    <col min="519" max="519" width="11.1363636363636" customWidth="1"/>
    <col min="773" max="773" width="10.5727272727273" customWidth="1"/>
    <col min="774" max="774" width="14.8545454545455" customWidth="1"/>
    <col min="775" max="775" width="11.1363636363636" customWidth="1"/>
    <col min="1029" max="1029" width="10.5727272727273" customWidth="1"/>
    <col min="1030" max="1030" width="14.8545454545455" customWidth="1"/>
    <col min="1031" max="1031" width="11.1363636363636" customWidth="1"/>
    <col min="1285" max="1285" width="10.5727272727273" customWidth="1"/>
    <col min="1286" max="1286" width="14.8545454545455" customWidth="1"/>
    <col min="1287" max="1287" width="11.1363636363636" customWidth="1"/>
    <col min="1541" max="1541" width="10.5727272727273" customWidth="1"/>
    <col min="1542" max="1542" width="14.8545454545455" customWidth="1"/>
    <col min="1543" max="1543" width="11.1363636363636" customWidth="1"/>
    <col min="1797" max="1797" width="10.5727272727273" customWidth="1"/>
    <col min="1798" max="1798" width="14.8545454545455" customWidth="1"/>
    <col min="1799" max="1799" width="11.1363636363636" customWidth="1"/>
    <col min="2053" max="2053" width="10.5727272727273" customWidth="1"/>
    <col min="2054" max="2054" width="14.8545454545455" customWidth="1"/>
    <col min="2055" max="2055" width="11.1363636363636" customWidth="1"/>
    <col min="2309" max="2309" width="10.5727272727273" customWidth="1"/>
    <col min="2310" max="2310" width="14.8545454545455" customWidth="1"/>
    <col min="2311" max="2311" width="11.1363636363636" customWidth="1"/>
    <col min="2565" max="2565" width="10.5727272727273" customWidth="1"/>
    <col min="2566" max="2566" width="14.8545454545455" customWidth="1"/>
    <col min="2567" max="2567" width="11.1363636363636" customWidth="1"/>
    <col min="2821" max="2821" width="10.5727272727273" customWidth="1"/>
    <col min="2822" max="2822" width="14.8545454545455" customWidth="1"/>
    <col min="2823" max="2823" width="11.1363636363636" customWidth="1"/>
    <col min="3077" max="3077" width="10.5727272727273" customWidth="1"/>
    <col min="3078" max="3078" width="14.8545454545455" customWidth="1"/>
    <col min="3079" max="3079" width="11.1363636363636" customWidth="1"/>
    <col min="3333" max="3333" width="10.5727272727273" customWidth="1"/>
    <col min="3334" max="3334" width="14.8545454545455" customWidth="1"/>
    <col min="3335" max="3335" width="11.1363636363636" customWidth="1"/>
    <col min="3589" max="3589" width="10.5727272727273" customWidth="1"/>
    <col min="3590" max="3590" width="14.8545454545455" customWidth="1"/>
    <col min="3591" max="3591" width="11.1363636363636" customWidth="1"/>
    <col min="3845" max="3845" width="10.5727272727273" customWidth="1"/>
    <col min="3846" max="3846" width="14.8545454545455" customWidth="1"/>
    <col min="3847" max="3847" width="11.1363636363636" customWidth="1"/>
    <col min="4101" max="4101" width="10.5727272727273" customWidth="1"/>
    <col min="4102" max="4102" width="14.8545454545455" customWidth="1"/>
    <col min="4103" max="4103" width="11.1363636363636" customWidth="1"/>
    <col min="4357" max="4357" width="10.5727272727273" customWidth="1"/>
    <col min="4358" max="4358" width="14.8545454545455" customWidth="1"/>
    <col min="4359" max="4359" width="11.1363636363636" customWidth="1"/>
    <col min="4613" max="4613" width="10.5727272727273" customWidth="1"/>
    <col min="4614" max="4614" width="14.8545454545455" customWidth="1"/>
    <col min="4615" max="4615" width="11.1363636363636" customWidth="1"/>
    <col min="4869" max="4869" width="10.5727272727273" customWidth="1"/>
    <col min="4870" max="4870" width="14.8545454545455" customWidth="1"/>
    <col min="4871" max="4871" width="11.1363636363636" customWidth="1"/>
    <col min="5125" max="5125" width="10.5727272727273" customWidth="1"/>
    <col min="5126" max="5126" width="14.8545454545455" customWidth="1"/>
    <col min="5127" max="5127" width="11.1363636363636" customWidth="1"/>
    <col min="5381" max="5381" width="10.5727272727273" customWidth="1"/>
    <col min="5382" max="5382" width="14.8545454545455" customWidth="1"/>
    <col min="5383" max="5383" width="11.1363636363636" customWidth="1"/>
    <col min="5637" max="5637" width="10.5727272727273" customWidth="1"/>
    <col min="5638" max="5638" width="14.8545454545455" customWidth="1"/>
    <col min="5639" max="5639" width="11.1363636363636" customWidth="1"/>
    <col min="5893" max="5893" width="10.5727272727273" customWidth="1"/>
    <col min="5894" max="5894" width="14.8545454545455" customWidth="1"/>
    <col min="5895" max="5895" width="11.1363636363636" customWidth="1"/>
    <col min="6149" max="6149" width="10.5727272727273" customWidth="1"/>
    <col min="6150" max="6150" width="14.8545454545455" customWidth="1"/>
    <col min="6151" max="6151" width="11.1363636363636" customWidth="1"/>
    <col min="6405" max="6405" width="10.5727272727273" customWidth="1"/>
    <col min="6406" max="6406" width="14.8545454545455" customWidth="1"/>
    <col min="6407" max="6407" width="11.1363636363636" customWidth="1"/>
    <col min="6661" max="6661" width="10.5727272727273" customWidth="1"/>
    <col min="6662" max="6662" width="14.8545454545455" customWidth="1"/>
    <col min="6663" max="6663" width="11.1363636363636" customWidth="1"/>
    <col min="6917" max="6917" width="10.5727272727273" customWidth="1"/>
    <col min="6918" max="6918" width="14.8545454545455" customWidth="1"/>
    <col min="6919" max="6919" width="11.1363636363636" customWidth="1"/>
    <col min="7173" max="7173" width="10.5727272727273" customWidth="1"/>
    <col min="7174" max="7174" width="14.8545454545455" customWidth="1"/>
    <col min="7175" max="7175" width="11.1363636363636" customWidth="1"/>
    <col min="7429" max="7429" width="10.5727272727273" customWidth="1"/>
    <col min="7430" max="7430" width="14.8545454545455" customWidth="1"/>
    <col min="7431" max="7431" width="11.1363636363636" customWidth="1"/>
    <col min="7685" max="7685" width="10.5727272727273" customWidth="1"/>
    <col min="7686" max="7686" width="14.8545454545455" customWidth="1"/>
    <col min="7687" max="7687" width="11.1363636363636" customWidth="1"/>
    <col min="7941" max="7941" width="10.5727272727273" customWidth="1"/>
    <col min="7942" max="7942" width="14.8545454545455" customWidth="1"/>
    <col min="7943" max="7943" width="11.1363636363636" customWidth="1"/>
    <col min="8197" max="8197" width="10.5727272727273" customWidth="1"/>
    <col min="8198" max="8198" width="14.8545454545455" customWidth="1"/>
    <col min="8199" max="8199" width="11.1363636363636" customWidth="1"/>
    <col min="8453" max="8453" width="10.5727272727273" customWidth="1"/>
    <col min="8454" max="8454" width="14.8545454545455" customWidth="1"/>
    <col min="8455" max="8455" width="11.1363636363636" customWidth="1"/>
    <col min="8709" max="8709" width="10.5727272727273" customWidth="1"/>
    <col min="8710" max="8710" width="14.8545454545455" customWidth="1"/>
    <col min="8711" max="8711" width="11.1363636363636" customWidth="1"/>
    <col min="8965" max="8965" width="10.5727272727273" customWidth="1"/>
    <col min="8966" max="8966" width="14.8545454545455" customWidth="1"/>
    <col min="8967" max="8967" width="11.1363636363636" customWidth="1"/>
    <col min="9221" max="9221" width="10.5727272727273" customWidth="1"/>
    <col min="9222" max="9222" width="14.8545454545455" customWidth="1"/>
    <col min="9223" max="9223" width="11.1363636363636" customWidth="1"/>
    <col min="9477" max="9477" width="10.5727272727273" customWidth="1"/>
    <col min="9478" max="9478" width="14.8545454545455" customWidth="1"/>
    <col min="9479" max="9479" width="11.1363636363636" customWidth="1"/>
    <col min="9733" max="9733" width="10.5727272727273" customWidth="1"/>
    <col min="9734" max="9734" width="14.8545454545455" customWidth="1"/>
    <col min="9735" max="9735" width="11.1363636363636" customWidth="1"/>
    <col min="9989" max="9989" width="10.5727272727273" customWidth="1"/>
    <col min="9990" max="9990" width="14.8545454545455" customWidth="1"/>
    <col min="9991" max="9991" width="11.1363636363636" customWidth="1"/>
    <col min="10245" max="10245" width="10.5727272727273" customWidth="1"/>
    <col min="10246" max="10246" width="14.8545454545455" customWidth="1"/>
    <col min="10247" max="10247" width="11.1363636363636" customWidth="1"/>
    <col min="10501" max="10501" width="10.5727272727273" customWidth="1"/>
    <col min="10502" max="10502" width="14.8545454545455" customWidth="1"/>
    <col min="10503" max="10503" width="11.1363636363636" customWidth="1"/>
    <col min="10757" max="10757" width="10.5727272727273" customWidth="1"/>
    <col min="10758" max="10758" width="14.8545454545455" customWidth="1"/>
    <col min="10759" max="10759" width="11.1363636363636" customWidth="1"/>
    <col min="11013" max="11013" width="10.5727272727273" customWidth="1"/>
    <col min="11014" max="11014" width="14.8545454545455" customWidth="1"/>
    <col min="11015" max="11015" width="11.1363636363636" customWidth="1"/>
    <col min="11269" max="11269" width="10.5727272727273" customWidth="1"/>
    <col min="11270" max="11270" width="14.8545454545455" customWidth="1"/>
    <col min="11271" max="11271" width="11.1363636363636" customWidth="1"/>
    <col min="11525" max="11525" width="10.5727272727273" customWidth="1"/>
    <col min="11526" max="11526" width="14.8545454545455" customWidth="1"/>
    <col min="11527" max="11527" width="11.1363636363636" customWidth="1"/>
    <col min="11781" max="11781" width="10.5727272727273" customWidth="1"/>
    <col min="11782" max="11782" width="14.8545454545455" customWidth="1"/>
    <col min="11783" max="11783" width="11.1363636363636" customWidth="1"/>
    <col min="12037" max="12037" width="10.5727272727273" customWidth="1"/>
    <col min="12038" max="12038" width="14.8545454545455" customWidth="1"/>
    <col min="12039" max="12039" width="11.1363636363636" customWidth="1"/>
    <col min="12293" max="12293" width="10.5727272727273" customWidth="1"/>
    <col min="12294" max="12294" width="14.8545454545455" customWidth="1"/>
    <col min="12295" max="12295" width="11.1363636363636" customWidth="1"/>
    <col min="12549" max="12549" width="10.5727272727273" customWidth="1"/>
    <col min="12550" max="12550" width="14.8545454545455" customWidth="1"/>
    <col min="12551" max="12551" width="11.1363636363636" customWidth="1"/>
    <col min="12805" max="12805" width="10.5727272727273" customWidth="1"/>
    <col min="12806" max="12806" width="14.8545454545455" customWidth="1"/>
    <col min="12807" max="12807" width="11.1363636363636" customWidth="1"/>
    <col min="13061" max="13061" width="10.5727272727273" customWidth="1"/>
    <col min="13062" max="13062" width="14.8545454545455" customWidth="1"/>
    <col min="13063" max="13063" width="11.1363636363636" customWidth="1"/>
    <col min="13317" max="13317" width="10.5727272727273" customWidth="1"/>
    <col min="13318" max="13318" width="14.8545454545455" customWidth="1"/>
    <col min="13319" max="13319" width="11.1363636363636" customWidth="1"/>
    <col min="13573" max="13573" width="10.5727272727273" customWidth="1"/>
    <col min="13574" max="13574" width="14.8545454545455" customWidth="1"/>
    <col min="13575" max="13575" width="11.1363636363636" customWidth="1"/>
    <col min="13829" max="13829" width="10.5727272727273" customWidth="1"/>
    <col min="13830" max="13830" width="14.8545454545455" customWidth="1"/>
    <col min="13831" max="13831" width="11.1363636363636" customWidth="1"/>
    <col min="14085" max="14085" width="10.5727272727273" customWidth="1"/>
    <col min="14086" max="14086" width="14.8545454545455" customWidth="1"/>
    <col min="14087" max="14087" width="11.1363636363636" customWidth="1"/>
    <col min="14341" max="14341" width="10.5727272727273" customWidth="1"/>
    <col min="14342" max="14342" width="14.8545454545455" customWidth="1"/>
    <col min="14343" max="14343" width="11.1363636363636" customWidth="1"/>
    <col min="14597" max="14597" width="10.5727272727273" customWidth="1"/>
    <col min="14598" max="14598" width="14.8545454545455" customWidth="1"/>
    <col min="14599" max="14599" width="11.1363636363636" customWidth="1"/>
    <col min="14853" max="14853" width="10.5727272727273" customWidth="1"/>
    <col min="14854" max="14854" width="14.8545454545455" customWidth="1"/>
    <col min="14855" max="14855" width="11.1363636363636" customWidth="1"/>
    <col min="15109" max="15109" width="10.5727272727273" customWidth="1"/>
    <col min="15110" max="15110" width="14.8545454545455" customWidth="1"/>
    <col min="15111" max="15111" width="11.1363636363636" customWidth="1"/>
    <col min="15365" max="15365" width="10.5727272727273" customWidth="1"/>
    <col min="15366" max="15366" width="14.8545454545455" customWidth="1"/>
    <col min="15367" max="15367" width="11.1363636363636" customWidth="1"/>
    <col min="15621" max="15621" width="10.5727272727273" customWidth="1"/>
    <col min="15622" max="15622" width="14.8545454545455" customWidth="1"/>
    <col min="15623" max="15623" width="11.1363636363636" customWidth="1"/>
    <col min="15877" max="15877" width="10.5727272727273" customWidth="1"/>
    <col min="15878" max="15878" width="14.8545454545455" customWidth="1"/>
    <col min="15879" max="15879" width="11.1363636363636" customWidth="1"/>
    <col min="16133" max="16133" width="10.5727272727273" customWidth="1"/>
    <col min="16134" max="16134" width="14.8545454545455" customWidth="1"/>
    <col min="16135" max="16135" width="11.1363636363636" customWidth="1"/>
  </cols>
  <sheetData>
    <row r="3" spans="5:17">
      <c r="E3" t="s">
        <v>0</v>
      </c>
      <c r="K3" s="15" t="s">
        <v>3</v>
      </c>
      <c r="L3" s="15"/>
      <c r="M3" s="15"/>
      <c r="N3" s="15"/>
      <c r="O3" s="15"/>
      <c r="P3" s="15"/>
      <c r="Q3" s="15"/>
    </row>
    <row r="4" spans="3:17">
      <c r="C4" t="s">
        <v>6</v>
      </c>
      <c r="D4" t="s">
        <v>7</v>
      </c>
      <c r="E4" t="s">
        <v>8</v>
      </c>
      <c r="F4" t="s">
        <v>18</v>
      </c>
      <c r="G4" t="s">
        <v>202</v>
      </c>
      <c r="K4" s="15" t="s">
        <v>23</v>
      </c>
      <c r="L4" s="15" t="s">
        <v>6</v>
      </c>
      <c r="M4" s="15" t="s">
        <v>24</v>
      </c>
      <c r="N4" s="15" t="s">
        <v>25</v>
      </c>
      <c r="O4" s="15" t="s">
        <v>26</v>
      </c>
      <c r="P4" s="15" t="s">
        <v>27</v>
      </c>
      <c r="Q4" s="15" t="s">
        <v>203</v>
      </c>
    </row>
    <row r="5" spans="3:17">
      <c r="C5" t="str">
        <f>E5&amp;"00"</f>
        <v>ELCCOH00</v>
      </c>
      <c r="D5" t="s">
        <v>204</v>
      </c>
      <c r="E5" t="s">
        <v>46</v>
      </c>
      <c r="F5">
        <v>1</v>
      </c>
      <c r="G5">
        <v>1</v>
      </c>
      <c r="K5" s="15" t="s">
        <v>205</v>
      </c>
      <c r="L5" s="15" t="str">
        <f>C5</f>
        <v>ELCCOH00</v>
      </c>
      <c r="M5" t="s">
        <v>206</v>
      </c>
      <c r="N5" s="15" t="s">
        <v>41</v>
      </c>
      <c r="O5" s="15" t="s">
        <v>207</v>
      </c>
      <c r="P5" s="15"/>
      <c r="Q5" s="15"/>
    </row>
    <row r="6" spans="3:17">
      <c r="C6" t="str">
        <f t="shared" ref="C6:C16" si="0">E6&amp;"00"</f>
        <v>ELCCOL00</v>
      </c>
      <c r="D6" t="s">
        <v>208</v>
      </c>
      <c r="E6" t="s">
        <v>54</v>
      </c>
      <c r="F6">
        <v>1</v>
      </c>
      <c r="G6">
        <v>1</v>
      </c>
      <c r="K6" s="15"/>
      <c r="L6" s="15" t="str">
        <f t="shared" ref="L6:L8" si="1">C6</f>
        <v>ELCCOL00</v>
      </c>
      <c r="M6" t="s">
        <v>209</v>
      </c>
      <c r="N6" s="15" t="s">
        <v>41</v>
      </c>
      <c r="O6" s="15" t="s">
        <v>207</v>
      </c>
      <c r="P6" s="15"/>
      <c r="Q6" s="15"/>
    </row>
    <row r="7" spans="3:17">
      <c r="C7" t="str">
        <f t="shared" si="0"/>
        <v>ELCDST00</v>
      </c>
      <c r="D7" t="s">
        <v>210</v>
      </c>
      <c r="E7" t="s">
        <v>48</v>
      </c>
      <c r="F7">
        <v>1</v>
      </c>
      <c r="G7">
        <v>1</v>
      </c>
      <c r="K7" s="15"/>
      <c r="L7" s="15" t="str">
        <f t="shared" si="1"/>
        <v>ELCDST00</v>
      </c>
      <c r="M7" t="s">
        <v>211</v>
      </c>
      <c r="N7" s="15" t="s">
        <v>41</v>
      </c>
      <c r="O7" s="15" t="s">
        <v>207</v>
      </c>
      <c r="P7" s="15"/>
      <c r="Q7" s="15"/>
    </row>
    <row r="8" spans="3:17">
      <c r="C8" t="str">
        <f t="shared" si="0"/>
        <v>ELCGAS00</v>
      </c>
      <c r="D8" t="s">
        <v>212</v>
      </c>
      <c r="E8" t="s">
        <v>60</v>
      </c>
      <c r="F8">
        <v>1</v>
      </c>
      <c r="G8">
        <v>1</v>
      </c>
      <c r="K8" s="15"/>
      <c r="L8" s="15" t="str">
        <f t="shared" si="1"/>
        <v>ELCGAS00</v>
      </c>
      <c r="M8" t="s">
        <v>213</v>
      </c>
      <c r="N8" s="15" t="s">
        <v>41</v>
      </c>
      <c r="O8" s="15" t="s">
        <v>207</v>
      </c>
      <c r="P8" s="15" t="s">
        <v>63</v>
      </c>
      <c r="Q8" s="15"/>
    </row>
    <row r="9" customFormat="1" spans="3:17">
      <c r="C9" t="str">
        <f t="shared" si="0"/>
        <v>ELCGEO00</v>
      </c>
      <c r="D9" t="s">
        <v>214</v>
      </c>
      <c r="E9" t="s">
        <v>74</v>
      </c>
      <c r="F9">
        <v>1</v>
      </c>
      <c r="G9">
        <v>1</v>
      </c>
      <c r="K9" s="15"/>
      <c r="L9" s="15" t="str">
        <f t="shared" ref="L9:L16" si="2">C9</f>
        <v>ELCGEO00</v>
      </c>
      <c r="M9" t="s">
        <v>215</v>
      </c>
      <c r="N9" s="15" t="s">
        <v>41</v>
      </c>
      <c r="O9" s="15" t="s">
        <v>207</v>
      </c>
      <c r="P9" s="15"/>
      <c r="Q9" s="15"/>
    </row>
    <row r="10" spans="3:17">
      <c r="C10" t="str">
        <f t="shared" si="0"/>
        <v>ELCHFO00</v>
      </c>
      <c r="D10" t="s">
        <v>216</v>
      </c>
      <c r="E10" t="s">
        <v>49</v>
      </c>
      <c r="F10">
        <v>1</v>
      </c>
      <c r="G10">
        <v>1</v>
      </c>
      <c r="K10" s="15"/>
      <c r="L10" s="15" t="str">
        <f t="shared" si="2"/>
        <v>ELCHFO00</v>
      </c>
      <c r="M10" t="s">
        <v>217</v>
      </c>
      <c r="N10" s="15" t="s">
        <v>41</v>
      </c>
      <c r="O10" s="15" t="s">
        <v>207</v>
      </c>
      <c r="P10" s="15"/>
      <c r="Q10" s="15"/>
    </row>
    <row r="11" spans="3:17">
      <c r="C11" t="str">
        <f t="shared" si="0"/>
        <v>ELCHYD00</v>
      </c>
      <c r="D11" t="s">
        <v>218</v>
      </c>
      <c r="E11" t="s">
        <v>66</v>
      </c>
      <c r="F11">
        <v>1</v>
      </c>
      <c r="G11">
        <v>1</v>
      </c>
      <c r="K11" s="15"/>
      <c r="L11" s="15" t="str">
        <f t="shared" si="2"/>
        <v>ELCHYD00</v>
      </c>
      <c r="M11" t="s">
        <v>219</v>
      </c>
      <c r="N11" s="15" t="s">
        <v>41</v>
      </c>
      <c r="O11" s="15" t="s">
        <v>207</v>
      </c>
      <c r="Q11" s="15"/>
    </row>
    <row r="12" spans="3:17">
      <c r="C12" t="str">
        <f t="shared" si="0"/>
        <v>ELCSOL00</v>
      </c>
      <c r="D12" t="s">
        <v>220</v>
      </c>
      <c r="E12" t="s">
        <v>51</v>
      </c>
      <c r="F12">
        <v>1</v>
      </c>
      <c r="G12">
        <v>1</v>
      </c>
      <c r="K12" s="15"/>
      <c r="L12" s="15" t="str">
        <f t="shared" si="2"/>
        <v>ELCSOL00</v>
      </c>
      <c r="M12" t="s">
        <v>221</v>
      </c>
      <c r="N12" s="15" t="s">
        <v>41</v>
      </c>
      <c r="O12" s="15" t="s">
        <v>207</v>
      </c>
      <c r="P12" s="15"/>
      <c r="Q12" s="15"/>
    </row>
    <row r="13" spans="3:17">
      <c r="C13" t="str">
        <f t="shared" si="0"/>
        <v>ELCWIN00</v>
      </c>
      <c r="D13" t="s">
        <v>222</v>
      </c>
      <c r="E13" t="s">
        <v>53</v>
      </c>
      <c r="F13">
        <v>1</v>
      </c>
      <c r="G13">
        <v>1</v>
      </c>
      <c r="K13" s="15"/>
      <c r="L13" s="15" t="str">
        <f t="shared" si="2"/>
        <v>ELCWIN00</v>
      </c>
      <c r="M13" t="s">
        <v>223</v>
      </c>
      <c r="N13" s="15" t="s">
        <v>41</v>
      </c>
      <c r="O13" s="15" t="s">
        <v>207</v>
      </c>
      <c r="P13" s="15"/>
      <c r="Q13" s="15"/>
    </row>
    <row r="14" spans="3:17">
      <c r="C14" t="str">
        <f t="shared" si="0"/>
        <v>ELCWOO00</v>
      </c>
      <c r="D14" t="s">
        <v>224</v>
      </c>
      <c r="E14" t="s">
        <v>37</v>
      </c>
      <c r="F14">
        <v>1</v>
      </c>
      <c r="G14">
        <v>1</v>
      </c>
      <c r="K14" s="15"/>
      <c r="L14" s="15" t="str">
        <f t="shared" si="2"/>
        <v>ELCWOO00</v>
      </c>
      <c r="M14" t="s">
        <v>225</v>
      </c>
      <c r="N14" s="15" t="s">
        <v>41</v>
      </c>
      <c r="O14" s="15" t="s">
        <v>207</v>
      </c>
      <c r="P14" s="15"/>
      <c r="Q14" s="15"/>
    </row>
    <row r="15" spans="3:17">
      <c r="C15" t="str">
        <f t="shared" si="0"/>
        <v>ELCMUN00</v>
      </c>
      <c r="D15" t="s">
        <v>226</v>
      </c>
      <c r="E15" t="s">
        <v>227</v>
      </c>
      <c r="F15">
        <v>1</v>
      </c>
      <c r="G15">
        <v>1</v>
      </c>
      <c r="K15" s="15" t="s">
        <v>205</v>
      </c>
      <c r="L15" s="15" t="str">
        <f t="shared" si="2"/>
        <v>ELCMUN00</v>
      </c>
      <c r="M15" t="s">
        <v>228</v>
      </c>
      <c r="N15" s="15" t="s">
        <v>41</v>
      </c>
      <c r="O15" s="15" t="s">
        <v>207</v>
      </c>
      <c r="P15" s="15"/>
      <c r="Q15" s="15"/>
    </row>
    <row r="16" spans="3:17">
      <c r="C16" t="str">
        <f t="shared" si="0"/>
        <v>ELCSLU00</v>
      </c>
      <c r="D16" t="s">
        <v>229</v>
      </c>
      <c r="E16" t="s">
        <v>230</v>
      </c>
      <c r="F16">
        <v>1</v>
      </c>
      <c r="G16">
        <v>1</v>
      </c>
      <c r="K16" s="15"/>
      <c r="L16" s="15" t="str">
        <f t="shared" si="2"/>
        <v>ELCSLU00</v>
      </c>
      <c r="M16" t="s">
        <v>231</v>
      </c>
      <c r="N16" s="15" t="s">
        <v>41</v>
      </c>
      <c r="O16" s="15" t="s">
        <v>207</v>
      </c>
      <c r="P16" s="15"/>
      <c r="Q16" s="15"/>
    </row>
    <row r="17" spans="11:11">
      <c r="K17" s="15"/>
    </row>
    <row r="19" spans="3:17">
      <c r="C19" s="14" t="str">
        <f>L19</f>
        <v>EVTRANS_H-H</v>
      </c>
      <c r="D19" s="14" t="s">
        <v>59</v>
      </c>
      <c r="E19" s="14" t="s">
        <v>59</v>
      </c>
      <c r="F19" s="14"/>
      <c r="G19" s="14">
        <v>31.536</v>
      </c>
      <c r="H19" s="14"/>
      <c r="I19" s="14"/>
      <c r="K19" s="14" t="s">
        <v>232</v>
      </c>
      <c r="L19" s="14" t="s">
        <v>233</v>
      </c>
      <c r="M19" s="14" t="s">
        <v>234</v>
      </c>
      <c r="N19" s="15" t="s">
        <v>41</v>
      </c>
      <c r="O19" s="15" t="s">
        <v>42</v>
      </c>
      <c r="P19" t="s">
        <v>43</v>
      </c>
      <c r="Q19" s="15"/>
    </row>
    <row r="20" spans="2:16">
      <c r="B20" t="s">
        <v>232</v>
      </c>
      <c r="C20" s="14" t="str">
        <f>L20</f>
        <v>EVTRANS_H-M</v>
      </c>
      <c r="D20" s="14" t="s">
        <v>59</v>
      </c>
      <c r="E20" s="14" t="s">
        <v>59</v>
      </c>
      <c r="F20" s="14"/>
      <c r="G20" s="14">
        <v>31.536</v>
      </c>
      <c r="H20" s="14"/>
      <c r="I20" s="14"/>
      <c r="J20" s="14"/>
      <c r="K20" s="14"/>
      <c r="L20" s="14" t="s">
        <v>235</v>
      </c>
      <c r="M20" s="14" t="s">
        <v>236</v>
      </c>
      <c r="N20" s="15" t="s">
        <v>41</v>
      </c>
      <c r="O20" s="15" t="s">
        <v>42</v>
      </c>
      <c r="P20" t="s">
        <v>43</v>
      </c>
    </row>
    <row r="21" spans="3:16">
      <c r="C21" s="14" t="str">
        <f>L21</f>
        <v>EVTRANS_M-L</v>
      </c>
      <c r="D21" s="14" t="s">
        <v>59</v>
      </c>
      <c r="E21" s="14" t="s">
        <v>59</v>
      </c>
      <c r="F21" s="14"/>
      <c r="G21" s="14">
        <v>31.536</v>
      </c>
      <c r="H21" s="14"/>
      <c r="I21" s="14"/>
      <c r="J21" s="14"/>
      <c r="K21" s="14"/>
      <c r="L21" s="14" t="s">
        <v>237</v>
      </c>
      <c r="M21" s="14" t="s">
        <v>238</v>
      </c>
      <c r="N21" s="15" t="s">
        <v>41</v>
      </c>
      <c r="O21" s="15" t="s">
        <v>42</v>
      </c>
      <c r="P21" t="s">
        <v>43</v>
      </c>
    </row>
    <row r="22" spans="3:16">
      <c r="C22" s="14" t="s">
        <v>239</v>
      </c>
      <c r="D22" s="14" t="s">
        <v>59</v>
      </c>
      <c r="E22" s="14" t="s">
        <v>59</v>
      </c>
      <c r="F22" s="14"/>
      <c r="G22" s="14">
        <v>31.536</v>
      </c>
      <c r="H22" s="14"/>
      <c r="I22" s="14"/>
      <c r="J22" s="14"/>
      <c r="K22" s="14"/>
      <c r="L22" s="14" t="s">
        <v>239</v>
      </c>
      <c r="M22" s="14" t="s">
        <v>240</v>
      </c>
      <c r="N22" s="15" t="s">
        <v>41</v>
      </c>
      <c r="O22" s="15" t="s">
        <v>42</v>
      </c>
      <c r="P22" t="s">
        <v>43</v>
      </c>
    </row>
    <row r="23" spans="10:10">
      <c r="J23" s="14"/>
    </row>
    <row r="24" spans="3:17">
      <c r="C24" t="s">
        <v>232</v>
      </c>
      <c r="D24" t="s">
        <v>241</v>
      </c>
      <c r="E24" t="s">
        <v>242</v>
      </c>
      <c r="F24">
        <v>1</v>
      </c>
      <c r="G24">
        <v>1</v>
      </c>
      <c r="H24">
        <v>30</v>
      </c>
      <c r="K24" s="15" t="s">
        <v>232</v>
      </c>
      <c r="L24" s="15" t="str">
        <f>C24</f>
        <v>*</v>
      </c>
      <c r="M24" t="s">
        <v>243</v>
      </c>
      <c r="N24" s="15" t="s">
        <v>41</v>
      </c>
      <c r="O24" s="15" t="s">
        <v>207</v>
      </c>
      <c r="P24" s="15"/>
      <c r="Q24" s="1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C3:X5"/>
  <sheetViews>
    <sheetView workbookViewId="0">
      <selection activeCell="G28" sqref="G28"/>
    </sheetView>
  </sheetViews>
  <sheetFormatPr defaultColWidth="9" defaultRowHeight="14.5" outlineLevelRow="4"/>
  <cols>
    <col min="3" max="3" width="12" customWidth="1"/>
    <col min="4" max="4" width="7.85454545454545" customWidth="1"/>
    <col min="5" max="5" width="7.42727272727273" customWidth="1"/>
    <col min="6" max="6" width="7.28181818181818" customWidth="1"/>
    <col min="7" max="7" width="7.70909090909091" customWidth="1"/>
    <col min="8" max="8" width="7.57272727272727" customWidth="1"/>
    <col min="9" max="9" width="8.70909090909091" customWidth="1"/>
    <col min="10" max="10" width="8.42727272727273" customWidth="1"/>
    <col min="11" max="11" width="7.13636363636364" customWidth="1"/>
    <col min="13" max="13" width="11.1363636363636" customWidth="1"/>
  </cols>
  <sheetData>
    <row r="3" spans="3:3">
      <c r="C3" t="s">
        <v>244</v>
      </c>
    </row>
    <row r="4" spans="3:24">
      <c r="C4" t="s">
        <v>30</v>
      </c>
      <c r="D4" t="s">
        <v>46</v>
      </c>
      <c r="E4" t="s">
        <v>54</v>
      </c>
      <c r="F4" t="s">
        <v>48</v>
      </c>
      <c r="G4" t="s">
        <v>49</v>
      </c>
      <c r="H4" t="s">
        <v>60</v>
      </c>
      <c r="I4" t="s">
        <v>37</v>
      </c>
      <c r="J4" t="s">
        <v>227</v>
      </c>
      <c r="K4" t="s">
        <v>230</v>
      </c>
      <c r="M4" t="s">
        <v>30</v>
      </c>
      <c r="N4" t="s">
        <v>46</v>
      </c>
      <c r="O4" t="s">
        <v>54</v>
      </c>
      <c r="P4" t="s">
        <v>245</v>
      </c>
      <c r="Q4" t="s">
        <v>246</v>
      </c>
      <c r="R4" t="s">
        <v>48</v>
      </c>
      <c r="S4" t="s">
        <v>49</v>
      </c>
      <c r="T4" t="s">
        <v>60</v>
      </c>
      <c r="U4" t="s">
        <v>247</v>
      </c>
      <c r="V4" t="s">
        <v>37</v>
      </c>
      <c r="W4" t="s">
        <v>227</v>
      </c>
      <c r="X4" t="s">
        <v>230</v>
      </c>
    </row>
    <row r="5" spans="3:24">
      <c r="C5" t="s">
        <v>248</v>
      </c>
      <c r="D5">
        <v>98.3</v>
      </c>
      <c r="E5">
        <v>101.2</v>
      </c>
      <c r="F5">
        <v>73.71</v>
      </c>
      <c r="G5">
        <v>77.4</v>
      </c>
      <c r="H5">
        <v>56.1</v>
      </c>
      <c r="I5">
        <v>0</v>
      </c>
      <c r="J5">
        <v>85.85</v>
      </c>
      <c r="K5">
        <v>85.85</v>
      </c>
      <c r="M5" t="s">
        <v>248</v>
      </c>
      <c r="N5">
        <v>98.3</v>
      </c>
      <c r="O5">
        <v>101.2</v>
      </c>
      <c r="P5">
        <v>75.66</v>
      </c>
      <c r="Q5">
        <v>56.1</v>
      </c>
      <c r="R5">
        <v>73.71</v>
      </c>
      <c r="S5">
        <v>77.4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J62"/>
  <sheetViews>
    <sheetView zoomScale="67" zoomScaleNormal="67" workbookViewId="0">
      <selection activeCell="S37" sqref="S37"/>
    </sheetView>
  </sheetViews>
  <sheetFormatPr defaultColWidth="9" defaultRowHeight="14.5"/>
  <cols>
    <col min="2" max="2" width="16.8545454545455" customWidth="1"/>
    <col min="3" max="3" width="24.5727272727273" customWidth="1"/>
    <col min="4" max="4" width="8.42727272727273" customWidth="1"/>
    <col min="5" max="6" width="11.1363636363636" customWidth="1"/>
    <col min="7" max="7" width="9.13636363636364" customWidth="1"/>
    <col min="8" max="8" width="5.13636363636364" customWidth="1"/>
    <col min="9" max="9" width="7" customWidth="1"/>
    <col min="10" max="16" width="6" customWidth="1"/>
    <col min="17" max="18" width="5.13636363636364" customWidth="1"/>
    <col min="19" max="25" width="11.1363636363636" customWidth="1"/>
    <col min="26" max="29" width="5.13636363636364" customWidth="1"/>
    <col min="30" max="30" width="5.85454545454545" customWidth="1"/>
    <col min="31" max="31" width="4.28181818181818" customWidth="1"/>
    <col min="32" max="35" width="5.13636363636364" customWidth="1"/>
    <col min="36" max="36" width="5" customWidth="1"/>
  </cols>
  <sheetData>
    <row r="2" spans="1:7">
      <c r="A2" s="1" t="s">
        <v>3</v>
      </c>
      <c r="B2" s="2"/>
      <c r="C2" s="2"/>
      <c r="D2" s="2"/>
      <c r="E2" s="2"/>
      <c r="F2" s="2"/>
      <c r="G2" s="2"/>
    </row>
    <row r="3" spans="1:7">
      <c r="A3" s="2" t="s">
        <v>23</v>
      </c>
      <c r="B3" s="2" t="s">
        <v>6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</row>
    <row r="4" spans="1:7">
      <c r="A4" s="2" t="s">
        <v>249</v>
      </c>
      <c r="B4" s="2" t="str">
        <f>B10</f>
        <v>EEHP_DistHeating</v>
      </c>
      <c r="C4" s="2" t="s">
        <v>250</v>
      </c>
      <c r="D4" s="2" t="s">
        <v>41</v>
      </c>
      <c r="E4" s="2" t="s">
        <v>42</v>
      </c>
      <c r="F4" s="2" t="s">
        <v>43</v>
      </c>
      <c r="G4" s="2"/>
    </row>
    <row r="5" spans="20:20">
      <c r="T5" s="12" t="s">
        <v>251</v>
      </c>
    </row>
    <row r="7" spans="5:36">
      <c r="E7" s="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>
      <c r="B8" s="4"/>
      <c r="C8" s="4"/>
      <c r="D8" s="4"/>
      <c r="E8" s="4"/>
      <c r="F8" s="4"/>
      <c r="G8" s="4" t="s">
        <v>252</v>
      </c>
      <c r="H8" s="4"/>
      <c r="I8" s="4"/>
      <c r="J8" s="4"/>
      <c r="K8" s="4"/>
      <c r="L8" s="4"/>
      <c r="M8" s="4"/>
      <c r="N8" s="4"/>
      <c r="O8" s="4"/>
      <c r="P8" s="4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ht="15.25" spans="2:36">
      <c r="B9" s="4" t="s">
        <v>6</v>
      </c>
      <c r="C9" s="4" t="s">
        <v>106</v>
      </c>
      <c r="D9" s="4" t="s">
        <v>33</v>
      </c>
      <c r="E9" s="4" t="s">
        <v>107</v>
      </c>
      <c r="F9" s="4" t="s">
        <v>8</v>
      </c>
      <c r="G9" s="4" t="s">
        <v>7</v>
      </c>
      <c r="H9" s="4">
        <v>0</v>
      </c>
      <c r="I9" s="4">
        <v>2020</v>
      </c>
      <c r="J9" s="4" t="s">
        <v>110</v>
      </c>
      <c r="K9" s="7" t="s">
        <v>111</v>
      </c>
      <c r="L9" s="7" t="s">
        <v>112</v>
      </c>
      <c r="M9" s="8" t="s">
        <v>113</v>
      </c>
      <c r="N9" s="7" t="s">
        <v>114</v>
      </c>
      <c r="O9" s="8" t="s">
        <v>115</v>
      </c>
      <c r="P9" s="7" t="s">
        <v>116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>
      <c r="B10" s="4" t="s">
        <v>253</v>
      </c>
      <c r="C10" s="4" t="s">
        <v>18</v>
      </c>
      <c r="D10" s="4"/>
      <c r="E10" s="4"/>
      <c r="F10" s="4" t="s">
        <v>62</v>
      </c>
      <c r="G10" s="4"/>
      <c r="H10" s="4"/>
      <c r="I10" s="4"/>
      <c r="J10" s="9">
        <v>0.83</v>
      </c>
      <c r="K10" s="9">
        <v>0.83</v>
      </c>
      <c r="L10" s="9">
        <v>0.83</v>
      </c>
      <c r="M10" s="9">
        <v>0.83</v>
      </c>
      <c r="N10" s="9">
        <v>0.83</v>
      </c>
      <c r="O10" s="9">
        <v>0.83</v>
      </c>
      <c r="P10" s="9">
        <v>0.83</v>
      </c>
      <c r="Q10" s="6"/>
      <c r="R10" s="6"/>
      <c r="S10" s="6" t="s">
        <v>254</v>
      </c>
      <c r="T10" s="6" t="s">
        <v>255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>
      <c r="B11" s="4"/>
      <c r="C11" s="4" t="s">
        <v>232</v>
      </c>
      <c r="D11" s="4" t="s">
        <v>256</v>
      </c>
      <c r="E11" s="4">
        <v>2016</v>
      </c>
      <c r="F11" s="4"/>
      <c r="G11" s="4"/>
      <c r="H11" s="4"/>
      <c r="I11" s="4"/>
      <c r="J11" s="10"/>
      <c r="K11" s="10"/>
      <c r="L11" s="10"/>
      <c r="M11" s="10"/>
      <c r="N11" s="10"/>
      <c r="O11" s="10"/>
      <c r="P11" s="10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>
      <c r="B12" s="4"/>
      <c r="C12" s="4" t="s">
        <v>232</v>
      </c>
      <c r="D12" s="4" t="s">
        <v>256</v>
      </c>
      <c r="E12" s="4">
        <v>2017</v>
      </c>
      <c r="F12" s="4"/>
      <c r="G12" s="4"/>
      <c r="H12" s="4"/>
      <c r="I12" s="4"/>
      <c r="J12" s="10"/>
      <c r="K12" s="10"/>
      <c r="L12" s="10"/>
      <c r="M12" s="10"/>
      <c r="N12" s="10"/>
      <c r="O12" s="10"/>
      <c r="P12" s="1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>
      <c r="B13" s="4"/>
      <c r="C13" s="4" t="s">
        <v>232</v>
      </c>
      <c r="D13" s="4" t="s">
        <v>256</v>
      </c>
      <c r="E13" s="4">
        <v>2018</v>
      </c>
      <c r="F13" s="4"/>
      <c r="G13" s="4"/>
      <c r="H13" s="4"/>
      <c r="I13" s="4"/>
      <c r="J13" s="10"/>
      <c r="K13" s="10"/>
      <c r="L13" s="10"/>
      <c r="M13" s="10"/>
      <c r="N13" s="10"/>
      <c r="O13" s="10"/>
      <c r="P13" s="1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>
      <c r="B14" s="4"/>
      <c r="C14" s="4" t="s">
        <v>232</v>
      </c>
      <c r="D14" s="4" t="s">
        <v>256</v>
      </c>
      <c r="E14" s="4">
        <v>2019</v>
      </c>
      <c r="F14" s="4"/>
      <c r="G14" s="4"/>
      <c r="H14" s="4"/>
      <c r="I14" s="4"/>
      <c r="J14" s="10"/>
      <c r="K14" s="10"/>
      <c r="L14" s="10"/>
      <c r="M14" s="10"/>
      <c r="N14" s="10"/>
      <c r="O14" s="10"/>
      <c r="P14" s="10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>
      <c r="B15" s="4"/>
      <c r="C15" s="4" t="s">
        <v>232</v>
      </c>
      <c r="D15" s="4" t="s">
        <v>256</v>
      </c>
      <c r="E15" s="4">
        <v>2020</v>
      </c>
      <c r="F15" s="4"/>
      <c r="G15" s="4"/>
      <c r="H15" s="4"/>
      <c r="I15" s="4"/>
      <c r="J15" s="10"/>
      <c r="K15" s="10"/>
      <c r="L15" s="10"/>
      <c r="M15" s="10"/>
      <c r="N15" s="10"/>
      <c r="O15" s="10"/>
      <c r="P15" s="10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>
      <c r="B16" s="4"/>
      <c r="C16" s="4" t="s">
        <v>16</v>
      </c>
      <c r="D16" s="4"/>
      <c r="E16" s="4"/>
      <c r="F16" s="4"/>
      <c r="G16" s="4"/>
      <c r="H16" s="4"/>
      <c r="I16" s="4">
        <v>0.3</v>
      </c>
      <c r="J16" s="4"/>
      <c r="K16" s="4"/>
      <c r="L16" s="4"/>
      <c r="M16" s="4"/>
      <c r="N16" s="4"/>
      <c r="O16" s="4"/>
      <c r="P16" s="4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2:36">
      <c r="B17" s="4"/>
      <c r="C17" s="4" t="s">
        <v>257</v>
      </c>
      <c r="D17" s="4"/>
      <c r="E17" s="4">
        <v>2016</v>
      </c>
      <c r="F17" s="4"/>
      <c r="G17" s="4"/>
      <c r="H17" s="4"/>
      <c r="I17" s="4"/>
      <c r="J17" s="4">
        <v>3.84956874682902</v>
      </c>
      <c r="K17" s="4">
        <v>0.0856164383561644</v>
      </c>
      <c r="L17" s="4">
        <v>1.49247420936919</v>
      </c>
      <c r="M17" s="4">
        <v>3.06527989176391</v>
      </c>
      <c r="N17" s="4">
        <v>16.0726365635041</v>
      </c>
      <c r="O17" s="4">
        <v>4.1307289024184</v>
      </c>
      <c r="P17" s="4">
        <v>1.59288855065111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2:36">
      <c r="B18" s="4"/>
      <c r="C18" s="4" t="s">
        <v>10</v>
      </c>
      <c r="D18" s="4"/>
      <c r="E18" s="4"/>
      <c r="F18" s="4"/>
      <c r="G18" s="4"/>
      <c r="H18" s="4"/>
      <c r="I18" s="4">
        <v>50</v>
      </c>
      <c r="J18" s="4"/>
      <c r="K18" s="4"/>
      <c r="L18" s="4"/>
      <c r="M18" s="4"/>
      <c r="N18" s="4"/>
      <c r="O18" s="4"/>
      <c r="P18" s="4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2:36">
      <c r="B19" s="4"/>
      <c r="C19" s="4" t="s">
        <v>202</v>
      </c>
      <c r="D19" s="4"/>
      <c r="E19" s="4"/>
      <c r="F19" s="4"/>
      <c r="G19" s="4"/>
      <c r="H19" s="4"/>
      <c r="I19" s="4">
        <v>31.536</v>
      </c>
      <c r="J19" s="4"/>
      <c r="K19" s="4"/>
      <c r="L19" s="4"/>
      <c r="M19" s="4"/>
      <c r="N19" s="4"/>
      <c r="O19" s="4"/>
      <c r="P19" s="4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2:36">
      <c r="B20" s="4"/>
      <c r="C20" s="4" t="s">
        <v>258</v>
      </c>
      <c r="D20" s="4"/>
      <c r="E20" s="4"/>
      <c r="F20" s="4"/>
      <c r="G20" s="4"/>
      <c r="H20" s="4">
        <v>2</v>
      </c>
      <c r="I20" s="4"/>
      <c r="J20" s="4"/>
      <c r="K20" s="4"/>
      <c r="L20" s="4"/>
      <c r="M20" s="4"/>
      <c r="N20" s="4"/>
      <c r="O20" s="4"/>
      <c r="P20" s="4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2:36">
      <c r="B21" s="4"/>
      <c r="C21" s="4"/>
      <c r="D21" s="4"/>
      <c r="E21" s="5">
        <f>E11</f>
        <v>2016</v>
      </c>
      <c r="F21" s="4"/>
      <c r="G21" s="4" t="s">
        <v>46</v>
      </c>
      <c r="H21" s="4">
        <v>5</v>
      </c>
      <c r="I21" s="4"/>
      <c r="J21" s="11">
        <f t="shared" ref="J21:P21" si="0">1-SUM(J22:J27)</f>
        <v>0.00125389387712371</v>
      </c>
      <c r="K21" s="11">
        <f t="shared" si="0"/>
        <v>0</v>
      </c>
      <c r="L21" s="11">
        <f t="shared" si="0"/>
        <v>0.050800879396985</v>
      </c>
      <c r="M21" s="11">
        <f t="shared" si="0"/>
        <v>0.136204960082567</v>
      </c>
      <c r="N21" s="11">
        <f t="shared" si="0"/>
        <v>0.147577205383653</v>
      </c>
      <c r="O21" s="11">
        <f t="shared" si="0"/>
        <v>0.0114598219193141</v>
      </c>
      <c r="P21" s="11">
        <f t="shared" si="0"/>
        <v>0.0540959922949329</v>
      </c>
      <c r="Q21" s="6"/>
      <c r="R21" s="6"/>
      <c r="S21" s="13">
        <f>SUM(J21:J27)</f>
        <v>1</v>
      </c>
      <c r="T21" s="13">
        <f t="shared" ref="T21:Y21" si="1">SUM(K21:K27)</f>
        <v>1</v>
      </c>
      <c r="U21" s="13">
        <f t="shared" si="1"/>
        <v>1</v>
      </c>
      <c r="V21" s="13">
        <f t="shared" si="1"/>
        <v>1</v>
      </c>
      <c r="W21" s="13">
        <f t="shared" si="1"/>
        <v>1</v>
      </c>
      <c r="X21" s="13">
        <f t="shared" si="1"/>
        <v>1</v>
      </c>
      <c r="Y21" s="13">
        <f t="shared" si="1"/>
        <v>1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2:36">
      <c r="B22" s="4"/>
      <c r="C22" s="4"/>
      <c r="D22" s="4"/>
      <c r="E22" s="5">
        <f>E21</f>
        <v>2016</v>
      </c>
      <c r="F22" s="4"/>
      <c r="G22" s="4" t="s">
        <v>60</v>
      </c>
      <c r="H22" s="4">
        <v>5</v>
      </c>
      <c r="I22" s="4"/>
      <c r="J22" s="11">
        <v>0.267767859480118</v>
      </c>
      <c r="K22" s="11">
        <v>0.3125</v>
      </c>
      <c r="L22" s="11">
        <v>0.895571608040201</v>
      </c>
      <c r="M22" s="11">
        <v>0.788968824940048</v>
      </c>
      <c r="N22" s="11">
        <v>0.555301009309359</v>
      </c>
      <c r="O22" s="11">
        <v>0.269731779707596</v>
      </c>
      <c r="P22" s="11">
        <v>0.628765584033389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2:36">
      <c r="B23" s="4"/>
      <c r="C23" s="4"/>
      <c r="D23" s="4"/>
      <c r="E23" s="5">
        <f t="shared" ref="E23:E27" si="2">E22</f>
        <v>2016</v>
      </c>
      <c r="F23" s="4"/>
      <c r="G23" s="4" t="s">
        <v>74</v>
      </c>
      <c r="H23" s="4">
        <v>5</v>
      </c>
      <c r="I23" s="4"/>
      <c r="J23" s="11">
        <v>0.0281406245909793</v>
      </c>
      <c r="K23" s="11">
        <v>0.6875</v>
      </c>
      <c r="L23" s="11">
        <v>0</v>
      </c>
      <c r="M23" s="11">
        <v>0</v>
      </c>
      <c r="N23" s="11">
        <v>0.00226077258135013</v>
      </c>
      <c r="O23" s="11">
        <v>0.00582609651533473</v>
      </c>
      <c r="P23" s="11">
        <v>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2:36">
      <c r="B24" s="4"/>
      <c r="C24" s="4"/>
      <c r="D24" s="4"/>
      <c r="E24" s="5">
        <f t="shared" si="2"/>
        <v>2016</v>
      </c>
      <c r="F24" s="4"/>
      <c r="G24" s="4" t="s">
        <v>49</v>
      </c>
      <c r="H24" s="4">
        <v>5</v>
      </c>
      <c r="I24" s="4"/>
      <c r="J24" s="11">
        <v>0.038820973272951</v>
      </c>
      <c r="K24" s="11">
        <v>0</v>
      </c>
      <c r="L24" s="11">
        <v>0.0465609296482412</v>
      </c>
      <c r="M24" s="11">
        <v>0.026894939744407</v>
      </c>
      <c r="N24" s="11">
        <v>0.0392620838294473</v>
      </c>
      <c r="O24" s="11">
        <v>0.091596130592503</v>
      </c>
      <c r="P24" s="11">
        <v>0.113435710845952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2:36">
      <c r="B25" s="4"/>
      <c r="C25" s="4"/>
      <c r="D25" s="4"/>
      <c r="E25" s="5">
        <f t="shared" si="2"/>
        <v>2016</v>
      </c>
      <c r="F25" s="4"/>
      <c r="G25" s="4" t="s">
        <v>227</v>
      </c>
      <c r="H25" s="4">
        <v>5</v>
      </c>
      <c r="I25" s="4"/>
      <c r="J25" s="11">
        <v>0.0437161330855213</v>
      </c>
      <c r="K25" s="11">
        <v>0</v>
      </c>
      <c r="L25" s="11">
        <v>0</v>
      </c>
      <c r="M25" s="11">
        <v>0.0134474698722035</v>
      </c>
      <c r="N25" s="11">
        <v>0.109074741141539</v>
      </c>
      <c r="O25" s="11">
        <v>0.0415796416401011</v>
      </c>
      <c r="P25" s="11">
        <v>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2:36">
      <c r="B26" s="4"/>
      <c r="C26" s="4"/>
      <c r="D26" s="4"/>
      <c r="E26" s="5">
        <f t="shared" si="2"/>
        <v>2016</v>
      </c>
      <c r="F26" s="4"/>
      <c r="G26" s="4" t="s">
        <v>51</v>
      </c>
      <c r="H26" s="4">
        <v>5</v>
      </c>
      <c r="I26" s="4"/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2:36">
      <c r="B27" s="4"/>
      <c r="C27" s="4"/>
      <c r="D27" s="4"/>
      <c r="E27" s="5">
        <f t="shared" si="2"/>
        <v>2016</v>
      </c>
      <c r="F27" s="4"/>
      <c r="G27" s="4" t="s">
        <v>37</v>
      </c>
      <c r="H27" s="4">
        <v>5</v>
      </c>
      <c r="I27" s="4"/>
      <c r="J27" s="11">
        <v>0.620300515693306</v>
      </c>
      <c r="K27" s="11">
        <v>0</v>
      </c>
      <c r="L27" s="11">
        <v>0.00706658291457286</v>
      </c>
      <c r="M27" s="11">
        <v>0.0344838053607747</v>
      </c>
      <c r="N27" s="11">
        <v>0.146524187754651</v>
      </c>
      <c r="O27" s="11">
        <v>0.579806529625151</v>
      </c>
      <c r="P27" s="11">
        <v>0.203702712825726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36">
      <c r="B28" s="4"/>
      <c r="C28" s="4"/>
      <c r="D28" s="4"/>
      <c r="E28" s="5">
        <f>E12</f>
        <v>2017</v>
      </c>
      <c r="F28" s="4"/>
      <c r="G28" s="4" t="s">
        <v>46</v>
      </c>
      <c r="H28" s="4"/>
      <c r="I28" s="4"/>
      <c r="J28" s="11">
        <f t="shared" ref="J28:P28" si="3">1-SUM(J29:J34)</f>
        <v>0.00165987186953998</v>
      </c>
      <c r="K28" s="11">
        <f t="shared" si="3"/>
        <v>0</v>
      </c>
      <c r="L28" s="11">
        <f t="shared" si="3"/>
        <v>0.0935514750674441</v>
      </c>
      <c r="M28" s="11">
        <f t="shared" si="3"/>
        <v>0.127481268420866</v>
      </c>
      <c r="N28" s="11">
        <f t="shared" si="3"/>
        <v>0.170153034244982</v>
      </c>
      <c r="O28" s="11">
        <f t="shared" si="3"/>
        <v>0.0173521891473847</v>
      </c>
      <c r="P28" s="11">
        <f t="shared" si="3"/>
        <v>0.0361844012757321</v>
      </c>
      <c r="Q28" s="6"/>
      <c r="R28" s="6"/>
      <c r="S28" s="13">
        <f>SUM(J28:J34)</f>
        <v>1</v>
      </c>
      <c r="T28" s="13">
        <f t="shared" ref="T28" si="4">SUM(K28:K34)</f>
        <v>1</v>
      </c>
      <c r="U28" s="13">
        <f t="shared" ref="U28" si="5">SUM(L28:L34)</f>
        <v>1</v>
      </c>
      <c r="V28" s="13">
        <f t="shared" ref="V28" si="6">SUM(M28:M34)</f>
        <v>1</v>
      </c>
      <c r="W28" s="13">
        <f t="shared" ref="W28" si="7">SUM(N28:N34)</f>
        <v>1</v>
      </c>
      <c r="X28" s="13">
        <f t="shared" ref="X28" si="8">SUM(O28:O34)</f>
        <v>1</v>
      </c>
      <c r="Y28" s="13">
        <f t="shared" ref="Y28" si="9">SUM(P28:P34)</f>
        <v>1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2:36">
      <c r="B29" s="4"/>
      <c r="C29" s="4"/>
      <c r="D29" s="4"/>
      <c r="E29" s="5">
        <f>E28</f>
        <v>2017</v>
      </c>
      <c r="F29" s="4"/>
      <c r="G29" s="4" t="s">
        <v>60</v>
      </c>
      <c r="H29" s="4"/>
      <c r="I29" s="4"/>
      <c r="J29" s="11">
        <v>0.313046010483401</v>
      </c>
      <c r="K29" s="11">
        <v>0.876819708846585</v>
      </c>
      <c r="L29" s="11">
        <v>0.858933078061091</v>
      </c>
      <c r="M29" s="11">
        <v>0.782145520400554</v>
      </c>
      <c r="N29" s="11">
        <v>0.507963703280665</v>
      </c>
      <c r="O29" s="11">
        <v>0.266106884687017</v>
      </c>
      <c r="P29" s="11">
        <v>0.585561032183242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2:36">
      <c r="B30" s="4"/>
      <c r="C30" s="4"/>
      <c r="D30" s="4"/>
      <c r="E30" s="5">
        <f t="shared" ref="E30:E34" si="10">E29</f>
        <v>2017</v>
      </c>
      <c r="F30" s="4"/>
      <c r="G30" s="4" t="s">
        <v>74</v>
      </c>
      <c r="H30" s="4"/>
      <c r="I30" s="4"/>
      <c r="J30" s="11">
        <v>0.0304892253931275</v>
      </c>
      <c r="K30" s="11">
        <v>0.123180291153415</v>
      </c>
      <c r="L30" s="11">
        <v>0</v>
      </c>
      <c r="M30" s="11">
        <v>0</v>
      </c>
      <c r="N30" s="11">
        <v>0.000534086342195994</v>
      </c>
      <c r="O30" s="11">
        <v>0.0052400643959721</v>
      </c>
      <c r="P30" s="11">
        <v>0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2:36">
      <c r="B31" s="4"/>
      <c r="C31" s="4"/>
      <c r="D31" s="4"/>
      <c r="E31" s="5">
        <f t="shared" si="10"/>
        <v>2017</v>
      </c>
      <c r="F31" s="4"/>
      <c r="G31" s="4" t="s">
        <v>49</v>
      </c>
      <c r="H31" s="4"/>
      <c r="I31" s="4"/>
      <c r="J31" s="11">
        <v>0.0326732673267327</v>
      </c>
      <c r="K31" s="11">
        <v>0</v>
      </c>
      <c r="L31" s="11">
        <v>0.0395962057262205</v>
      </c>
      <c r="M31" s="11">
        <v>0.0184652533645822</v>
      </c>
      <c r="N31" s="11">
        <v>0.028375319923007</v>
      </c>
      <c r="O31" s="11">
        <v>0.059976640676789</v>
      </c>
      <c r="P31" s="11">
        <v>0.0881414902870397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2:36">
      <c r="B32" s="4"/>
      <c r="C32" s="4"/>
      <c r="D32" s="4"/>
      <c r="E32" s="5">
        <f t="shared" si="10"/>
        <v>2017</v>
      </c>
      <c r="F32" s="4"/>
      <c r="G32" s="4" t="s">
        <v>227</v>
      </c>
      <c r="H32" s="4"/>
      <c r="I32" s="4"/>
      <c r="J32" s="11">
        <v>0.0561444379732091</v>
      </c>
      <c r="K32" s="11">
        <v>0</v>
      </c>
      <c r="L32" s="11">
        <v>0</v>
      </c>
      <c r="M32" s="11">
        <v>0.0199566776747985</v>
      </c>
      <c r="N32" s="11">
        <v>0.132067390062821</v>
      </c>
      <c r="O32" s="11">
        <v>0.0495912118438082</v>
      </c>
      <c r="P32" s="11">
        <v>0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2:36">
      <c r="B33" s="4"/>
      <c r="C33" s="4"/>
      <c r="D33" s="4"/>
      <c r="E33" s="5">
        <f t="shared" si="10"/>
        <v>2017</v>
      </c>
      <c r="F33" s="4"/>
      <c r="G33" s="4" t="s">
        <v>51</v>
      </c>
      <c r="H33" s="4"/>
      <c r="I33" s="4"/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2:36">
      <c r="B34" s="4"/>
      <c r="C34" s="4"/>
      <c r="D34" s="4"/>
      <c r="E34" s="5">
        <f t="shared" si="10"/>
        <v>2017</v>
      </c>
      <c r="F34" s="4"/>
      <c r="G34" s="4" t="s">
        <v>37</v>
      </c>
      <c r="H34" s="4"/>
      <c r="I34" s="4"/>
      <c r="J34" s="11">
        <v>0.565987186953989</v>
      </c>
      <c r="K34" s="11">
        <v>0</v>
      </c>
      <c r="L34" s="11">
        <v>0.0079192411452441</v>
      </c>
      <c r="M34" s="11">
        <v>0.0519512801391996</v>
      </c>
      <c r="N34" s="11">
        <v>0.160906466146329</v>
      </c>
      <c r="O34" s="11">
        <v>0.601733009249029</v>
      </c>
      <c r="P34" s="11">
        <v>0.290113076253987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2:36">
      <c r="B35" s="4"/>
      <c r="C35" s="4"/>
      <c r="D35" s="4"/>
      <c r="E35" s="5">
        <f>E13</f>
        <v>2018</v>
      </c>
      <c r="F35" s="4"/>
      <c r="G35" s="4" t="s">
        <v>46</v>
      </c>
      <c r="H35" s="4"/>
      <c r="I35" s="4"/>
      <c r="J35" s="11">
        <f t="shared" ref="J35:P35" si="11">1-SUM(J36:J41)</f>
        <v>0.0016025641025641</v>
      </c>
      <c r="K35" s="11">
        <f t="shared" si="11"/>
        <v>0</v>
      </c>
      <c r="L35" s="11">
        <f t="shared" si="11"/>
        <v>0.0375380453161991</v>
      </c>
      <c r="M35" s="11">
        <f t="shared" si="11"/>
        <v>0.0935604077484524</v>
      </c>
      <c r="N35" s="11">
        <f t="shared" si="11"/>
        <v>0.170018066893051</v>
      </c>
      <c r="O35" s="11">
        <f t="shared" si="11"/>
        <v>0.0299173510073671</v>
      </c>
      <c r="P35" s="11">
        <f t="shared" si="11"/>
        <v>0.0383135620391151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2:36">
      <c r="B36" s="4"/>
      <c r="C36" s="4"/>
      <c r="D36" s="4"/>
      <c r="E36" s="5">
        <f>E35</f>
        <v>2018</v>
      </c>
      <c r="F36" s="4"/>
      <c r="G36" s="4" t="s">
        <v>60</v>
      </c>
      <c r="H36" s="4"/>
      <c r="I36" s="4"/>
      <c r="J36" s="11">
        <v>0.307234432234432</v>
      </c>
      <c r="K36" s="11">
        <v>0.19672131147541</v>
      </c>
      <c r="L36" s="11">
        <v>0.917145755833615</v>
      </c>
      <c r="M36" s="11">
        <v>0.841058174986911</v>
      </c>
      <c r="N36" s="11">
        <v>0.4582411854311</v>
      </c>
      <c r="O36" s="11">
        <v>0.333262918856117</v>
      </c>
      <c r="P36" s="11">
        <v>0.673666773538527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2:36">
      <c r="B37" s="4"/>
      <c r="C37" s="4"/>
      <c r="D37" s="4"/>
      <c r="E37" s="5">
        <f t="shared" ref="E37:E41" si="12">E36</f>
        <v>2018</v>
      </c>
      <c r="F37" s="4"/>
      <c r="G37" s="4" t="s">
        <v>74</v>
      </c>
      <c r="H37" s="4"/>
      <c r="I37" s="4"/>
      <c r="J37" s="11">
        <v>0.0294057794057794</v>
      </c>
      <c r="K37" s="11">
        <v>0.19672131147541</v>
      </c>
      <c r="L37" s="11">
        <v>0</v>
      </c>
      <c r="M37" s="11">
        <v>0</v>
      </c>
      <c r="N37" s="11">
        <v>0.000865388994883577</v>
      </c>
      <c r="O37" s="11">
        <v>0.0076047635393837</v>
      </c>
      <c r="P37" s="11">
        <v>0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2:36">
      <c r="B38" s="4"/>
      <c r="C38" s="4"/>
      <c r="D38" s="4"/>
      <c r="E38" s="5">
        <f t="shared" si="12"/>
        <v>2018</v>
      </c>
      <c r="F38" s="4"/>
      <c r="G38" s="4" t="s">
        <v>49</v>
      </c>
      <c r="H38" s="4"/>
      <c r="I38" s="4"/>
      <c r="J38" s="11">
        <v>0.0367063492063492</v>
      </c>
      <c r="K38" s="11">
        <v>0</v>
      </c>
      <c r="L38" s="11">
        <v>0.03122534099876</v>
      </c>
      <c r="M38" s="11">
        <v>0.0148748113701457</v>
      </c>
      <c r="N38" s="11">
        <v>0.0388109251565038</v>
      </c>
      <c r="O38" s="11">
        <v>0.0468432309682871</v>
      </c>
      <c r="P38" s="11">
        <v>0.0727797370952228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2:36">
      <c r="B39" s="4"/>
      <c r="C39" s="4"/>
      <c r="D39" s="4"/>
      <c r="E39" s="5">
        <f t="shared" si="12"/>
        <v>2018</v>
      </c>
      <c r="F39" s="4"/>
      <c r="G39" s="4" t="s">
        <v>227</v>
      </c>
      <c r="H39" s="4"/>
      <c r="I39" s="4"/>
      <c r="J39" s="11">
        <v>0.0528083028083028</v>
      </c>
      <c r="K39" s="11">
        <v>0.316393442622951</v>
      </c>
      <c r="L39" s="11">
        <v>0</v>
      </c>
      <c r="M39" s="11">
        <v>0.0142280804410089</v>
      </c>
      <c r="N39" s="11">
        <v>0.133421727842752</v>
      </c>
      <c r="O39" s="11">
        <v>0.0364394919595469</v>
      </c>
      <c r="P39" s="11">
        <v>0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2:36">
      <c r="B40" s="4"/>
      <c r="C40" s="4"/>
      <c r="D40" s="4"/>
      <c r="E40" s="5">
        <f t="shared" si="12"/>
        <v>2018</v>
      </c>
      <c r="F40" s="4"/>
      <c r="G40" s="4" t="s">
        <v>51</v>
      </c>
      <c r="H40" s="4"/>
      <c r="I40" s="4"/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2:36">
      <c r="B41" s="4"/>
      <c r="C41" s="4"/>
      <c r="D41" s="4"/>
      <c r="E41" s="5">
        <f t="shared" si="12"/>
        <v>2018</v>
      </c>
      <c r="F41" s="4"/>
      <c r="G41" s="4" t="s">
        <v>37</v>
      </c>
      <c r="H41" s="4"/>
      <c r="I41" s="4"/>
      <c r="J41" s="11">
        <v>0.572242572242572</v>
      </c>
      <c r="K41" s="11">
        <v>0.29016393442623</v>
      </c>
      <c r="L41" s="11">
        <v>0.014090857851426</v>
      </c>
      <c r="M41" s="11">
        <v>0.0362785254534816</v>
      </c>
      <c r="N41" s="11">
        <v>0.198642705681709</v>
      </c>
      <c r="O41" s="11">
        <v>0.545932243669298</v>
      </c>
      <c r="P41" s="11">
        <v>0.215239927327135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2:36">
      <c r="B42" s="4"/>
      <c r="C42" s="4"/>
      <c r="D42" s="4"/>
      <c r="E42" s="5">
        <f>E14</f>
        <v>2019</v>
      </c>
      <c r="F42" s="4"/>
      <c r="G42" s="4" t="s">
        <v>46</v>
      </c>
      <c r="H42" s="4"/>
      <c r="I42" s="4"/>
      <c r="J42" s="11">
        <f t="shared" ref="J42:P42" si="13">1-SUM(J43:J48)</f>
        <v>0.00148587012742762</v>
      </c>
      <c r="K42" s="11">
        <f t="shared" si="13"/>
        <v>0</v>
      </c>
      <c r="L42" s="11">
        <f t="shared" si="13"/>
        <v>0.0354252557642389</v>
      </c>
      <c r="M42" s="11">
        <f t="shared" si="13"/>
        <v>0.0911088846514333</v>
      </c>
      <c r="N42" s="11">
        <f t="shared" si="13"/>
        <v>0.0943647495444241</v>
      </c>
      <c r="O42" s="11">
        <f t="shared" si="13"/>
        <v>0.030099568713061</v>
      </c>
      <c r="P42" s="11">
        <f t="shared" si="13"/>
        <v>0.0356171316505347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2:36">
      <c r="B43" s="4"/>
      <c r="C43" s="4"/>
      <c r="D43" s="4"/>
      <c r="E43" s="5">
        <f>E42</f>
        <v>2019</v>
      </c>
      <c r="F43" s="4"/>
      <c r="G43" s="4" t="s">
        <v>60</v>
      </c>
      <c r="H43" s="4"/>
      <c r="I43" s="4"/>
      <c r="J43" s="11">
        <v>0.348826820896224</v>
      </c>
      <c r="K43" s="11">
        <v>0.129087779690189</v>
      </c>
      <c r="L43" s="11">
        <v>0.932508779966407</v>
      </c>
      <c r="M43" s="11">
        <v>0.843896448078601</v>
      </c>
      <c r="N43" s="11">
        <v>0.56603626827859</v>
      </c>
      <c r="O43" s="11">
        <v>0.341781587774879</v>
      </c>
      <c r="P43" s="11">
        <v>0.654773201746062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2:36">
      <c r="B44" s="4"/>
      <c r="C44" s="4"/>
      <c r="D44" s="4"/>
      <c r="E44" s="5">
        <f t="shared" ref="E44:E48" si="14">E43</f>
        <v>2019</v>
      </c>
      <c r="F44" s="4"/>
      <c r="G44" s="4" t="s">
        <v>74</v>
      </c>
      <c r="H44" s="4"/>
      <c r="I44" s="4"/>
      <c r="J44" s="11">
        <v>0.0279070860958292</v>
      </c>
      <c r="K44" s="11">
        <v>0.23407917383821</v>
      </c>
      <c r="L44" s="11">
        <v>0</v>
      </c>
      <c r="M44" s="11">
        <v>0</v>
      </c>
      <c r="N44" s="11">
        <v>0.00229454642428552</v>
      </c>
      <c r="O44" s="11">
        <v>0.00609658697619935</v>
      </c>
      <c r="P44" s="11">
        <v>0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2:16">
      <c r="B45" s="4"/>
      <c r="C45" s="4"/>
      <c r="D45" s="4"/>
      <c r="E45" s="5">
        <f t="shared" si="14"/>
        <v>2019</v>
      </c>
      <c r="F45" s="4"/>
      <c r="G45" s="4" t="s">
        <v>49</v>
      </c>
      <c r="H45" s="4"/>
      <c r="I45" s="4"/>
      <c r="J45" s="11">
        <v>0.0320449522734753</v>
      </c>
      <c r="K45" s="11">
        <v>0</v>
      </c>
      <c r="L45" s="11">
        <v>0.0239731256680409</v>
      </c>
      <c r="M45" s="11">
        <v>0.0118289648039818</v>
      </c>
      <c r="N45" s="11">
        <v>0.0317958575936708</v>
      </c>
      <c r="O45" s="11">
        <v>0.0406261647409616</v>
      </c>
      <c r="P45" s="11">
        <v>0.0404883912190802</v>
      </c>
    </row>
    <row r="46" spans="2:16">
      <c r="B46" s="4"/>
      <c r="C46" s="4"/>
      <c r="D46" s="4"/>
      <c r="E46" s="5">
        <f t="shared" si="14"/>
        <v>2019</v>
      </c>
      <c r="F46" s="4"/>
      <c r="G46" s="4" t="s">
        <v>227</v>
      </c>
      <c r="H46" s="4"/>
      <c r="I46" s="4"/>
      <c r="J46" s="11">
        <v>0.0356890957821978</v>
      </c>
      <c r="K46" s="11">
        <v>0.332185886402754</v>
      </c>
      <c r="L46" s="11">
        <v>0</v>
      </c>
      <c r="M46" s="11">
        <v>0.0115704081962445</v>
      </c>
      <c r="N46" s="11">
        <v>0.120788701720076</v>
      </c>
      <c r="O46" s="11">
        <v>0.0381236355891593</v>
      </c>
      <c r="P46" s="11">
        <v>0</v>
      </c>
    </row>
    <row r="47" spans="2:16">
      <c r="B47" s="4"/>
      <c r="C47" s="4"/>
      <c r="D47" s="4"/>
      <c r="E47" s="5">
        <f t="shared" si="14"/>
        <v>2019</v>
      </c>
      <c r="F47" s="4"/>
      <c r="G47" s="4" t="s">
        <v>51</v>
      </c>
      <c r="H47" s="4"/>
      <c r="I47" s="4"/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</row>
    <row r="48" spans="2:16">
      <c r="B48" s="4"/>
      <c r="C48" s="4"/>
      <c r="D48" s="4"/>
      <c r="E48" s="5">
        <f t="shared" si="14"/>
        <v>2019</v>
      </c>
      <c r="F48" s="4"/>
      <c r="G48" s="4" t="s">
        <v>37</v>
      </c>
      <c r="H48" s="4"/>
      <c r="I48" s="4"/>
      <c r="J48" s="11">
        <v>0.554046174824846</v>
      </c>
      <c r="K48" s="11">
        <v>0.304647160068847</v>
      </c>
      <c r="L48" s="11">
        <v>0.00809283860131318</v>
      </c>
      <c r="M48" s="11">
        <v>0.0415952942697392</v>
      </c>
      <c r="N48" s="11">
        <v>0.184719876438953</v>
      </c>
      <c r="O48" s="11">
        <v>0.54327245620574</v>
      </c>
      <c r="P48" s="11">
        <v>0.269121275384323</v>
      </c>
    </row>
    <row r="49" spans="2:16">
      <c r="B49" s="4"/>
      <c r="C49" s="4"/>
      <c r="D49" s="4"/>
      <c r="E49" s="5">
        <f>E15</f>
        <v>2020</v>
      </c>
      <c r="F49" s="4"/>
      <c r="G49" s="4" t="s">
        <v>46</v>
      </c>
      <c r="H49" s="4"/>
      <c r="I49" s="4"/>
      <c r="J49" s="11">
        <f t="shared" ref="J49:P49" si="15">1-SUM(J50:J55)</f>
        <v>0.00160871821484165</v>
      </c>
      <c r="K49" s="11">
        <f t="shared" si="15"/>
        <v>0</v>
      </c>
      <c r="L49" s="11">
        <f t="shared" si="15"/>
        <v>0.0354618879353862</v>
      </c>
      <c r="M49" s="11">
        <f t="shared" si="15"/>
        <v>0.0898316862260655</v>
      </c>
      <c r="N49" s="11">
        <f t="shared" si="15"/>
        <v>0.0965650639014969</v>
      </c>
      <c r="O49" s="11">
        <f t="shared" si="15"/>
        <v>0.0308082638637186</v>
      </c>
      <c r="P49" s="11">
        <f t="shared" si="15"/>
        <v>0.0429775703748305</v>
      </c>
    </row>
    <row r="50" spans="2:16">
      <c r="B50" s="4"/>
      <c r="C50" s="4"/>
      <c r="D50" s="4"/>
      <c r="E50" s="5">
        <f>E49</f>
        <v>2020</v>
      </c>
      <c r="F50" s="4"/>
      <c r="G50" s="4" t="s">
        <v>60</v>
      </c>
      <c r="H50" s="4"/>
      <c r="I50" s="4"/>
      <c r="J50" s="11">
        <v>0.328253998207294</v>
      </c>
      <c r="K50" s="11">
        <v>0.244094488188976</v>
      </c>
      <c r="L50" s="11">
        <v>0.901186269560828</v>
      </c>
      <c r="M50" s="11">
        <v>0.845969734403953</v>
      </c>
      <c r="N50" s="11">
        <v>0.532110655989766</v>
      </c>
      <c r="O50" s="11">
        <v>0.375886708434733</v>
      </c>
      <c r="P50" s="11">
        <v>0.671759747102213</v>
      </c>
    </row>
    <row r="51" spans="2:16">
      <c r="B51" s="4"/>
      <c r="C51" s="4"/>
      <c r="D51" s="4"/>
      <c r="E51" s="5">
        <f t="shared" ref="E51:E55" si="16">E50</f>
        <v>2020</v>
      </c>
      <c r="F51" s="4"/>
      <c r="G51" s="4" t="s">
        <v>74</v>
      </c>
      <c r="H51" s="4"/>
      <c r="I51" s="4"/>
      <c r="J51" s="11">
        <v>0.0255932443270274</v>
      </c>
      <c r="K51" s="11">
        <v>0.188976377952756</v>
      </c>
      <c r="L51" s="11">
        <v>0</v>
      </c>
      <c r="M51" s="11">
        <v>0</v>
      </c>
      <c r="N51" s="11">
        <v>0.0037455256651537</v>
      </c>
      <c r="O51" s="11">
        <v>0.00429762336250194</v>
      </c>
      <c r="P51" s="11">
        <v>0</v>
      </c>
    </row>
    <row r="52" spans="2:16">
      <c r="B52" s="4"/>
      <c r="C52" s="4"/>
      <c r="D52" s="4"/>
      <c r="E52" s="5">
        <f t="shared" si="16"/>
        <v>2020</v>
      </c>
      <c r="F52" s="4"/>
      <c r="G52" s="4" t="s">
        <v>49</v>
      </c>
      <c r="H52" s="4"/>
      <c r="I52" s="4"/>
      <c r="J52" s="11">
        <v>0.034132188517243</v>
      </c>
      <c r="K52" s="11">
        <v>0</v>
      </c>
      <c r="L52" s="11">
        <v>0.0334427057041898</v>
      </c>
      <c r="M52" s="11">
        <v>0.00617665225447807</v>
      </c>
      <c r="N52" s="11">
        <v>0.0289555580156709</v>
      </c>
      <c r="O52" s="11">
        <v>0.0395070677781805</v>
      </c>
      <c r="P52" s="11">
        <v>0.0391389432485323</v>
      </c>
    </row>
    <row r="53" spans="2:16">
      <c r="B53" s="4"/>
      <c r="C53" s="4"/>
      <c r="D53" s="4"/>
      <c r="E53" s="5">
        <f t="shared" si="16"/>
        <v>2020</v>
      </c>
      <c r="F53" s="4"/>
      <c r="G53" s="4" t="s">
        <v>227</v>
      </c>
      <c r="H53" s="4"/>
      <c r="I53" s="4"/>
      <c r="J53" s="11">
        <v>0.0385431900740671</v>
      </c>
      <c r="K53" s="11">
        <v>0.296062992125984</v>
      </c>
      <c r="L53" s="11">
        <v>0</v>
      </c>
      <c r="M53" s="11">
        <v>0.0135886349598518</v>
      </c>
      <c r="N53" s="11">
        <v>0.123411688008168</v>
      </c>
      <c r="O53" s="11">
        <v>0.0350023300367628</v>
      </c>
      <c r="P53" s="11">
        <v>0</v>
      </c>
    </row>
    <row r="54" spans="2:16">
      <c r="B54" s="4"/>
      <c r="C54" s="4"/>
      <c r="D54" s="4"/>
      <c r="E54" s="5">
        <f t="shared" si="16"/>
        <v>2020</v>
      </c>
      <c r="F54" s="4"/>
      <c r="G54" s="4" t="s">
        <v>51</v>
      </c>
      <c r="H54" s="4"/>
      <c r="I54" s="4"/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</row>
    <row r="55" spans="2:16">
      <c r="B55" s="4"/>
      <c r="C55" s="4"/>
      <c r="D55" s="4"/>
      <c r="E55" s="5">
        <f t="shared" si="16"/>
        <v>2020</v>
      </c>
      <c r="F55" s="4"/>
      <c r="G55" s="4" t="s">
        <v>37</v>
      </c>
      <c r="H55" s="4"/>
      <c r="I55" s="4"/>
      <c r="J55" s="11">
        <v>0.571868660659527</v>
      </c>
      <c r="K55" s="11">
        <v>0.270866141732283</v>
      </c>
      <c r="L55" s="11">
        <v>0.0299091367995962</v>
      </c>
      <c r="M55" s="11">
        <v>0.0444332921556516</v>
      </c>
      <c r="N55" s="11">
        <v>0.215211508419745</v>
      </c>
      <c r="O55" s="11">
        <v>0.514498006524103</v>
      </c>
      <c r="P55" s="11">
        <v>0.246123739274424</v>
      </c>
    </row>
    <row r="56" spans="2:16">
      <c r="B56" s="4"/>
      <c r="C56" s="4"/>
      <c r="D56" s="4"/>
      <c r="E56" s="5">
        <v>2030</v>
      </c>
      <c r="F56" s="4"/>
      <c r="G56" s="4" t="s">
        <v>46</v>
      </c>
      <c r="H56" s="4"/>
      <c r="I56" s="4"/>
      <c r="J56" s="11"/>
      <c r="K56" s="11"/>
      <c r="L56" s="11"/>
      <c r="M56" s="11"/>
      <c r="N56" s="11"/>
      <c r="O56" s="11"/>
      <c r="P56" s="11"/>
    </row>
    <row r="57" spans="2:16">
      <c r="B57" s="4"/>
      <c r="C57" s="4"/>
      <c r="D57" s="4"/>
      <c r="E57" s="5">
        <v>2030</v>
      </c>
      <c r="F57" s="4"/>
      <c r="G57" s="4" t="s">
        <v>60</v>
      </c>
      <c r="H57" s="4"/>
      <c r="I57" s="4"/>
      <c r="J57" s="11">
        <v>1</v>
      </c>
      <c r="K57" s="11">
        <v>1</v>
      </c>
      <c r="L57" s="11">
        <v>1</v>
      </c>
      <c r="M57" s="11">
        <v>1</v>
      </c>
      <c r="N57" s="11">
        <v>1</v>
      </c>
      <c r="O57" s="11">
        <v>1</v>
      </c>
      <c r="P57" s="11">
        <v>1</v>
      </c>
    </row>
    <row r="58" spans="2:16">
      <c r="B58" s="4"/>
      <c r="C58" s="4"/>
      <c r="D58" s="4"/>
      <c r="E58" s="5">
        <v>2030</v>
      </c>
      <c r="F58" s="4"/>
      <c r="G58" s="4" t="s">
        <v>74</v>
      </c>
      <c r="H58" s="4"/>
      <c r="I58" s="4"/>
      <c r="J58" s="11"/>
      <c r="K58" s="11"/>
      <c r="L58" s="11"/>
      <c r="M58" s="11"/>
      <c r="N58" s="11"/>
      <c r="O58" s="11"/>
      <c r="P58" s="11"/>
    </row>
    <row r="59" spans="2:16">
      <c r="B59" s="4"/>
      <c r="C59" s="4"/>
      <c r="D59" s="4"/>
      <c r="E59" s="5">
        <v>2030</v>
      </c>
      <c r="F59" s="4"/>
      <c r="G59" s="4" t="s">
        <v>49</v>
      </c>
      <c r="H59" s="4"/>
      <c r="I59" s="4"/>
      <c r="J59" s="11"/>
      <c r="K59" s="11"/>
      <c r="L59" s="11"/>
      <c r="M59" s="11"/>
      <c r="N59" s="11"/>
      <c r="O59" s="11"/>
      <c r="P59" s="11"/>
    </row>
    <row r="60" spans="2:16">
      <c r="B60" s="4"/>
      <c r="C60" s="4"/>
      <c r="D60" s="4"/>
      <c r="E60" s="5">
        <v>2030</v>
      </c>
      <c r="F60" s="4"/>
      <c r="G60" s="4" t="s">
        <v>227</v>
      </c>
      <c r="H60" s="4"/>
      <c r="I60" s="4"/>
      <c r="J60" s="11"/>
      <c r="K60" s="11"/>
      <c r="L60" s="11"/>
      <c r="M60" s="11"/>
      <c r="N60" s="11"/>
      <c r="O60" s="11"/>
      <c r="P60" s="11"/>
    </row>
    <row r="61" spans="2:16">
      <c r="B61" s="4"/>
      <c r="C61" s="4"/>
      <c r="D61" s="4"/>
      <c r="E61" s="5">
        <v>2030</v>
      </c>
      <c r="F61" s="4"/>
      <c r="G61" s="4" t="s">
        <v>51</v>
      </c>
      <c r="H61" s="4"/>
      <c r="I61" s="4"/>
      <c r="J61" s="11"/>
      <c r="K61" s="11"/>
      <c r="L61" s="11"/>
      <c r="M61" s="11"/>
      <c r="N61" s="11"/>
      <c r="O61" s="11"/>
      <c r="P61" s="11"/>
    </row>
    <row r="62" spans="2:16">
      <c r="B62" s="4"/>
      <c r="C62" s="4"/>
      <c r="D62" s="4"/>
      <c r="E62" s="5">
        <v>2030</v>
      </c>
      <c r="F62" s="4"/>
      <c r="G62" s="4" t="s">
        <v>37</v>
      </c>
      <c r="H62" s="4"/>
      <c r="I62" s="4"/>
      <c r="J62" s="11"/>
      <c r="K62" s="11"/>
      <c r="L62" s="11"/>
      <c r="M62" s="11"/>
      <c r="N62" s="11"/>
      <c r="O62" s="11"/>
      <c r="P62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2013-02-25T18:56:00Z</dcterms:created>
  <dcterms:modified xsi:type="dcterms:W3CDTF">2024-07-06T15:48:55Z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757366345695232</vt:r8>
  </property>
  <property fmtid="{D5CDD505-2E9C-101B-9397-08002B2CF9AE}" pid="3" name="ICV">
    <vt:lpwstr>CFC59A7CFF2448EFB23C4380809F0E2B_12</vt:lpwstr>
  </property>
  <property fmtid="{D5CDD505-2E9C-101B-9397-08002B2CF9AE}" pid="4" name="KSOProductBuildVer">
    <vt:lpwstr>1033-12.2.0.17119</vt:lpwstr>
  </property>
</Properties>
</file>