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https://mcgill-my.sharepoint.com/personal/xiao_li8_mcgill_ca/Documents/Desktop/CAN_TIMES_v2 - Copy - Copy/SubRES_TMPL/"/>
    </mc:Choice>
  </mc:AlternateContent>
  <xr:revisionPtr revIDLastSave="5" documentId="11_18D852B4C55E20B6C0EE3AC0FD853A264C2DE75C" xr6:coauthVersionLast="47" xr6:coauthVersionMax="47" xr10:uidLastSave="{EC70C37A-5519-4558-860F-145EBC42F253}"/>
  <bookViews>
    <workbookView xWindow="-110" yWindow="-110" windowWidth="38620" windowHeight="11020" activeTab="2" xr2:uid="{00000000-000D-0000-FFFF-FFFF00000000}"/>
  </bookViews>
  <sheets>
    <sheet name="RSD" sheetId="3" r:id="rId1"/>
    <sheet name="TRA" sheetId="1" r:id="rId2"/>
    <sheet name="COM" sheetId="4" r:id="rId3"/>
    <sheet name="Hydrogen_blended_for_building" sheetId="9" r:id="rId4"/>
    <sheet name="NOUSE TRA2" sheetId="2" r:id="rId5"/>
    <sheet name="NOAGR_andIND" sheetId="11" r:id="rId6"/>
  </sheets>
  <externalReferences>
    <externalReference r:id="rId7"/>
    <externalReference r:id="rId8"/>
    <externalReference r:id="rId9"/>
    <externalReference r:id="rId10"/>
    <externalReference r:id="rId11"/>
    <externalReference r:id="rId12"/>
    <externalReference r:id="rId13"/>
  </externalReferences>
  <definedNames>
    <definedName name="_xlnm._FilterDatabase" localSheetId="1" hidden="1">TRA!$AS$1:$AS$56</definedName>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1" l="1"/>
  <c r="L19" i="2"/>
  <c r="K19" i="2"/>
  <c r="J19" i="2"/>
  <c r="I19" i="2"/>
  <c r="L18" i="2"/>
  <c r="K18" i="2"/>
  <c r="J18" i="2"/>
  <c r="I18" i="2"/>
  <c r="N12" i="2"/>
  <c r="L12" i="2"/>
  <c r="N11" i="2"/>
  <c r="L11" i="2"/>
  <c r="N9" i="2"/>
  <c r="L9" i="2"/>
  <c r="G9" i="2"/>
  <c r="N8" i="2"/>
  <c r="L8" i="2"/>
  <c r="N7" i="2"/>
  <c r="L7" i="2"/>
  <c r="N6" i="2"/>
  <c r="L6" i="2"/>
  <c r="N5" i="2"/>
  <c r="L5" i="2"/>
  <c r="T102" i="9"/>
  <c r="S102" i="9"/>
  <c r="D102" i="9"/>
  <c r="T101" i="9"/>
  <c r="S101" i="9"/>
  <c r="R101" i="9"/>
  <c r="Q101" i="9"/>
  <c r="P101" i="9"/>
  <c r="O101" i="9"/>
  <c r="L101" i="9"/>
  <c r="K101" i="9"/>
  <c r="H101" i="9"/>
  <c r="G101" i="9"/>
  <c r="F101" i="9"/>
  <c r="D101" i="9"/>
  <c r="C101" i="9"/>
  <c r="T100" i="9"/>
  <c r="S100" i="9"/>
  <c r="D100" i="9"/>
  <c r="T99" i="9"/>
  <c r="S99" i="9"/>
  <c r="R99" i="9"/>
  <c r="Q99" i="9"/>
  <c r="P99" i="9"/>
  <c r="O99" i="9"/>
  <c r="L99" i="9"/>
  <c r="K99" i="9"/>
  <c r="H99" i="9"/>
  <c r="G99" i="9"/>
  <c r="F99" i="9"/>
  <c r="D99" i="9"/>
  <c r="C99" i="9"/>
  <c r="T98" i="9"/>
  <c r="S98" i="9"/>
  <c r="D98" i="9"/>
  <c r="T97" i="9"/>
  <c r="S97" i="9"/>
  <c r="R97" i="9"/>
  <c r="Q97" i="9"/>
  <c r="P97" i="9"/>
  <c r="O97" i="9"/>
  <c r="L97" i="9"/>
  <c r="K97" i="9"/>
  <c r="H97" i="9"/>
  <c r="G97" i="9"/>
  <c r="F97" i="9"/>
  <c r="D97" i="9"/>
  <c r="C97" i="9"/>
  <c r="T96" i="9"/>
  <c r="S96" i="9"/>
  <c r="D96" i="9"/>
  <c r="T95" i="9"/>
  <c r="S95" i="9"/>
  <c r="R95" i="9"/>
  <c r="Q95" i="9"/>
  <c r="P95" i="9"/>
  <c r="O95" i="9"/>
  <c r="L95" i="9"/>
  <c r="K95" i="9"/>
  <c r="H95" i="9"/>
  <c r="G95" i="9"/>
  <c r="F95" i="9"/>
  <c r="D95" i="9"/>
  <c r="C95" i="9"/>
  <c r="T94" i="9"/>
  <c r="S94" i="9"/>
  <c r="D94" i="9"/>
  <c r="T93" i="9"/>
  <c r="S93" i="9"/>
  <c r="R93" i="9"/>
  <c r="Q93" i="9"/>
  <c r="P93" i="9"/>
  <c r="O93" i="9"/>
  <c r="L93" i="9"/>
  <c r="K93" i="9"/>
  <c r="H93" i="9"/>
  <c r="G93" i="9"/>
  <c r="F93" i="9"/>
  <c r="D93" i="9"/>
  <c r="C93" i="9"/>
  <c r="T92" i="9"/>
  <c r="S92" i="9"/>
  <c r="D92" i="9"/>
  <c r="T91" i="9"/>
  <c r="S91" i="9"/>
  <c r="R91" i="9"/>
  <c r="Q91" i="9"/>
  <c r="P91" i="9"/>
  <c r="O91" i="9"/>
  <c r="L91" i="9"/>
  <c r="K91" i="9"/>
  <c r="H91" i="9"/>
  <c r="G91" i="9"/>
  <c r="F91" i="9"/>
  <c r="D91" i="9"/>
  <c r="C91" i="9"/>
  <c r="T90" i="9"/>
  <c r="S90" i="9"/>
  <c r="D90" i="9"/>
  <c r="T89" i="9"/>
  <c r="S89" i="9"/>
  <c r="R89" i="9"/>
  <c r="Q89" i="9"/>
  <c r="P89" i="9"/>
  <c r="O89" i="9"/>
  <c r="L89" i="9"/>
  <c r="K89" i="9"/>
  <c r="H89" i="9"/>
  <c r="G89" i="9"/>
  <c r="F89" i="9"/>
  <c r="D89" i="9"/>
  <c r="C89" i="9"/>
  <c r="T88" i="9"/>
  <c r="S88" i="9"/>
  <c r="D88" i="9"/>
  <c r="T87" i="9"/>
  <c r="S87" i="9"/>
  <c r="R87" i="9"/>
  <c r="Q87" i="9"/>
  <c r="P87" i="9"/>
  <c r="O87" i="9"/>
  <c r="L87" i="9"/>
  <c r="K87" i="9"/>
  <c r="H87" i="9"/>
  <c r="G87" i="9"/>
  <c r="F87" i="9"/>
  <c r="D87" i="9"/>
  <c r="C87" i="9"/>
  <c r="T86" i="9"/>
  <c r="S86" i="9"/>
  <c r="D86" i="9"/>
  <c r="T85" i="9"/>
  <c r="S85" i="9"/>
  <c r="R85" i="9"/>
  <c r="Q85" i="9"/>
  <c r="P85" i="9"/>
  <c r="O85" i="9"/>
  <c r="L85" i="9"/>
  <c r="K85" i="9"/>
  <c r="H85" i="9"/>
  <c r="G85" i="9"/>
  <c r="F85" i="9"/>
  <c r="D85" i="9"/>
  <c r="C85" i="9"/>
  <c r="T84" i="9"/>
  <c r="S84" i="9"/>
  <c r="D84" i="9"/>
  <c r="T83" i="9"/>
  <c r="S83" i="9"/>
  <c r="R83" i="9"/>
  <c r="Q83" i="9"/>
  <c r="P83" i="9"/>
  <c r="O83" i="9"/>
  <c r="L83" i="9"/>
  <c r="K83" i="9"/>
  <c r="H83" i="9"/>
  <c r="G83" i="9"/>
  <c r="F83" i="9"/>
  <c r="D83" i="9"/>
  <c r="C83" i="9"/>
  <c r="T82" i="9"/>
  <c r="S82" i="9"/>
  <c r="D82" i="9"/>
  <c r="T81" i="9"/>
  <c r="S81" i="9"/>
  <c r="R81" i="9"/>
  <c r="Q81" i="9"/>
  <c r="P81" i="9"/>
  <c r="O81" i="9"/>
  <c r="L81" i="9"/>
  <c r="K81" i="9"/>
  <c r="H81" i="9"/>
  <c r="G81" i="9"/>
  <c r="F81" i="9"/>
  <c r="D81" i="9"/>
  <c r="C81" i="9"/>
  <c r="T80" i="9"/>
  <c r="S80" i="9"/>
  <c r="D80" i="9"/>
  <c r="T79" i="9"/>
  <c r="S79" i="9"/>
  <c r="R79" i="9"/>
  <c r="Q79" i="9"/>
  <c r="P79" i="9"/>
  <c r="O79" i="9"/>
  <c r="L79" i="9"/>
  <c r="K79" i="9"/>
  <c r="H79" i="9"/>
  <c r="G79" i="9"/>
  <c r="F79" i="9"/>
  <c r="D79" i="9"/>
  <c r="C79" i="9"/>
  <c r="T78" i="9"/>
  <c r="S78" i="9"/>
  <c r="D78" i="9"/>
  <c r="T77" i="9"/>
  <c r="S77" i="9"/>
  <c r="R77" i="9"/>
  <c r="Q77" i="9"/>
  <c r="P77" i="9"/>
  <c r="O77" i="9"/>
  <c r="L77" i="9"/>
  <c r="K77" i="9"/>
  <c r="H77" i="9"/>
  <c r="G77" i="9"/>
  <c r="F77" i="9"/>
  <c r="D77" i="9"/>
  <c r="C77" i="9"/>
  <c r="T76" i="9"/>
  <c r="S76" i="9"/>
  <c r="D76" i="9"/>
  <c r="T75" i="9"/>
  <c r="S75" i="9"/>
  <c r="R75" i="9"/>
  <c r="Q75" i="9"/>
  <c r="P75" i="9"/>
  <c r="O75" i="9"/>
  <c r="L75" i="9"/>
  <c r="K75" i="9"/>
  <c r="H75" i="9"/>
  <c r="G75" i="9"/>
  <c r="F75" i="9"/>
  <c r="D75" i="9"/>
  <c r="C75" i="9"/>
  <c r="T74" i="9"/>
  <c r="S74" i="9"/>
  <c r="D74" i="9"/>
  <c r="T73" i="9"/>
  <c r="S73" i="9"/>
  <c r="R73" i="9"/>
  <c r="Q73" i="9"/>
  <c r="P73" i="9"/>
  <c r="O73" i="9"/>
  <c r="L73" i="9"/>
  <c r="K73" i="9"/>
  <c r="H73" i="9"/>
  <c r="G73" i="9"/>
  <c r="F73" i="9"/>
  <c r="D73" i="9"/>
  <c r="C73" i="9"/>
  <c r="T72" i="9"/>
  <c r="S72" i="9"/>
  <c r="D72" i="9"/>
  <c r="T71" i="9"/>
  <c r="S71" i="9"/>
  <c r="R71" i="9"/>
  <c r="Q71" i="9"/>
  <c r="P71" i="9"/>
  <c r="O71" i="9"/>
  <c r="L71" i="9"/>
  <c r="K71" i="9"/>
  <c r="H71" i="9"/>
  <c r="G71" i="9"/>
  <c r="F71" i="9"/>
  <c r="D71" i="9"/>
  <c r="C71" i="9"/>
  <c r="T70" i="9"/>
  <c r="S70" i="9"/>
  <c r="D70" i="9"/>
  <c r="T69" i="9"/>
  <c r="S69" i="9"/>
  <c r="R69" i="9"/>
  <c r="Q69" i="9"/>
  <c r="P69" i="9"/>
  <c r="O69" i="9"/>
  <c r="L69" i="9"/>
  <c r="K69" i="9"/>
  <c r="H69" i="9"/>
  <c r="G69" i="9"/>
  <c r="F69" i="9"/>
  <c r="D69" i="9"/>
  <c r="C69" i="9"/>
  <c r="T68" i="9"/>
  <c r="S68" i="9"/>
  <c r="D68" i="9"/>
  <c r="T67" i="9"/>
  <c r="S67" i="9"/>
  <c r="R67" i="9"/>
  <c r="Q67" i="9"/>
  <c r="P67" i="9"/>
  <c r="O67" i="9"/>
  <c r="L67" i="9"/>
  <c r="K67" i="9"/>
  <c r="H67" i="9"/>
  <c r="G67" i="9"/>
  <c r="F67" i="9"/>
  <c r="D67" i="9"/>
  <c r="C67" i="9"/>
  <c r="T66" i="9"/>
  <c r="S66" i="9"/>
  <c r="D66" i="9"/>
  <c r="T65" i="9"/>
  <c r="S65" i="9"/>
  <c r="R65" i="9"/>
  <c r="Q65" i="9"/>
  <c r="P65" i="9"/>
  <c r="O65" i="9"/>
  <c r="L65" i="9"/>
  <c r="K65" i="9"/>
  <c r="H65" i="9"/>
  <c r="G65" i="9"/>
  <c r="F65" i="9"/>
  <c r="D65" i="9"/>
  <c r="C65" i="9"/>
  <c r="D64" i="9"/>
  <c r="T63" i="9"/>
  <c r="S63" i="9"/>
  <c r="R63" i="9"/>
  <c r="Q63" i="9"/>
  <c r="P63" i="9"/>
  <c r="O63" i="9"/>
  <c r="L63" i="9"/>
  <c r="K63" i="9"/>
  <c r="H63" i="9"/>
  <c r="G63" i="9"/>
  <c r="F63" i="9"/>
  <c r="D63" i="9"/>
  <c r="C63" i="9"/>
  <c r="T62" i="9"/>
  <c r="S62" i="9"/>
  <c r="D62" i="9"/>
  <c r="T61" i="9"/>
  <c r="S61" i="9"/>
  <c r="R61" i="9"/>
  <c r="Q61" i="9"/>
  <c r="P61" i="9"/>
  <c r="O61" i="9"/>
  <c r="L61" i="9"/>
  <c r="K61" i="9"/>
  <c r="H61" i="9"/>
  <c r="G61" i="9"/>
  <c r="F61" i="9"/>
  <c r="D61" i="9"/>
  <c r="C61" i="9"/>
  <c r="T60" i="9"/>
  <c r="S60" i="9"/>
  <c r="D60" i="9"/>
  <c r="T59" i="9"/>
  <c r="S59" i="9"/>
  <c r="R59" i="9"/>
  <c r="Q59" i="9"/>
  <c r="P59" i="9"/>
  <c r="O59" i="9"/>
  <c r="L59" i="9"/>
  <c r="K59" i="9"/>
  <c r="H59" i="9"/>
  <c r="G59" i="9"/>
  <c r="F59" i="9"/>
  <c r="D59" i="9"/>
  <c r="C59" i="9"/>
  <c r="T58" i="9"/>
  <c r="S58" i="9"/>
  <c r="D58" i="9"/>
  <c r="T57" i="9"/>
  <c r="S57" i="9"/>
  <c r="R57" i="9"/>
  <c r="Q57" i="9"/>
  <c r="P57" i="9"/>
  <c r="O57" i="9"/>
  <c r="L57" i="9"/>
  <c r="K57" i="9"/>
  <c r="H57" i="9"/>
  <c r="G57" i="9"/>
  <c r="F57" i="9"/>
  <c r="D57" i="9"/>
  <c r="C57" i="9"/>
  <c r="T56" i="9"/>
  <c r="S56" i="9"/>
  <c r="D56" i="9"/>
  <c r="T55" i="9"/>
  <c r="S55" i="9"/>
  <c r="R55" i="9"/>
  <c r="Q55" i="9"/>
  <c r="P55" i="9"/>
  <c r="O55" i="9"/>
  <c r="L55" i="9"/>
  <c r="K55" i="9"/>
  <c r="H55" i="9"/>
  <c r="G55" i="9"/>
  <c r="F55" i="9"/>
  <c r="D55" i="9"/>
  <c r="C55" i="9"/>
  <c r="D54" i="9"/>
  <c r="T53" i="9"/>
  <c r="S53" i="9"/>
  <c r="R53" i="9"/>
  <c r="Q53" i="9"/>
  <c r="P53" i="9"/>
  <c r="O53" i="9"/>
  <c r="L53" i="9"/>
  <c r="K53" i="9"/>
  <c r="H53" i="9"/>
  <c r="G53" i="9"/>
  <c r="F53" i="9"/>
  <c r="D53" i="9"/>
  <c r="C53" i="9"/>
  <c r="T52" i="9"/>
  <c r="S52" i="9"/>
  <c r="D52" i="9"/>
  <c r="T51" i="9"/>
  <c r="S51" i="9"/>
  <c r="R51" i="9"/>
  <c r="Q51" i="9"/>
  <c r="P51" i="9"/>
  <c r="O51" i="9"/>
  <c r="L51" i="9"/>
  <c r="K51" i="9"/>
  <c r="H51" i="9"/>
  <c r="G51" i="9"/>
  <c r="F51" i="9"/>
  <c r="D51" i="9"/>
  <c r="C51" i="9"/>
  <c r="T50" i="9"/>
  <c r="S50" i="9"/>
  <c r="D50" i="9"/>
  <c r="T49" i="9"/>
  <c r="S49" i="9"/>
  <c r="R49" i="9"/>
  <c r="Q49" i="9"/>
  <c r="P49" i="9"/>
  <c r="O49" i="9"/>
  <c r="L49" i="9"/>
  <c r="K49" i="9"/>
  <c r="H49" i="9"/>
  <c r="G49" i="9"/>
  <c r="F49" i="9"/>
  <c r="D49" i="9"/>
  <c r="C49" i="9"/>
  <c r="T48" i="9"/>
  <c r="S48" i="9"/>
  <c r="D48" i="9"/>
  <c r="T47" i="9"/>
  <c r="S47" i="9"/>
  <c r="R47" i="9"/>
  <c r="Q47" i="9"/>
  <c r="P47" i="9"/>
  <c r="O47" i="9"/>
  <c r="L47" i="9"/>
  <c r="K47" i="9"/>
  <c r="H47" i="9"/>
  <c r="G47" i="9"/>
  <c r="F47" i="9"/>
  <c r="D47" i="9"/>
  <c r="C47" i="9"/>
  <c r="T46" i="9"/>
  <c r="S46" i="9"/>
  <c r="D46" i="9"/>
  <c r="T45" i="9"/>
  <c r="S45" i="9"/>
  <c r="R45" i="9"/>
  <c r="Q45" i="9"/>
  <c r="P45" i="9"/>
  <c r="O45" i="9"/>
  <c r="L45" i="9"/>
  <c r="K45" i="9"/>
  <c r="H45" i="9"/>
  <c r="G45" i="9"/>
  <c r="F45" i="9"/>
  <c r="D45" i="9"/>
  <c r="C45" i="9"/>
  <c r="D44" i="9"/>
  <c r="T43" i="9"/>
  <c r="S43" i="9"/>
  <c r="R43" i="9"/>
  <c r="Q43" i="9"/>
  <c r="P43" i="9"/>
  <c r="O43" i="9"/>
  <c r="L43" i="9"/>
  <c r="K43" i="9"/>
  <c r="H43" i="9"/>
  <c r="G43" i="9"/>
  <c r="F43" i="9"/>
  <c r="D43" i="9"/>
  <c r="C43" i="9"/>
  <c r="T42" i="9"/>
  <c r="S42" i="9"/>
  <c r="D42" i="9"/>
  <c r="T41" i="9"/>
  <c r="S41" i="9"/>
  <c r="R41" i="9"/>
  <c r="Q41" i="9"/>
  <c r="P41" i="9"/>
  <c r="O41" i="9"/>
  <c r="L41" i="9"/>
  <c r="K41" i="9"/>
  <c r="H41" i="9"/>
  <c r="G41" i="9"/>
  <c r="F41" i="9"/>
  <c r="D41" i="9"/>
  <c r="C41" i="9"/>
  <c r="T40" i="9"/>
  <c r="S40" i="9"/>
  <c r="D40" i="9"/>
  <c r="T39" i="9"/>
  <c r="S39" i="9"/>
  <c r="R39" i="9"/>
  <c r="Q39" i="9"/>
  <c r="P39" i="9"/>
  <c r="O39" i="9"/>
  <c r="L39" i="9"/>
  <c r="K39" i="9"/>
  <c r="H39" i="9"/>
  <c r="G39" i="9"/>
  <c r="F39" i="9"/>
  <c r="D39" i="9"/>
  <c r="C39" i="9"/>
  <c r="T38" i="9"/>
  <c r="S38" i="9"/>
  <c r="D38" i="9"/>
  <c r="T37" i="9"/>
  <c r="S37" i="9"/>
  <c r="R37" i="9"/>
  <c r="Q37" i="9"/>
  <c r="P37" i="9"/>
  <c r="O37" i="9"/>
  <c r="L37" i="9"/>
  <c r="K37" i="9"/>
  <c r="H37" i="9"/>
  <c r="G37" i="9"/>
  <c r="F37" i="9"/>
  <c r="D37" i="9"/>
  <c r="C37" i="9"/>
  <c r="T36" i="9"/>
  <c r="S36" i="9"/>
  <c r="D36" i="9"/>
  <c r="T35" i="9"/>
  <c r="S35" i="9"/>
  <c r="R35" i="9"/>
  <c r="Q35" i="9"/>
  <c r="P35" i="9"/>
  <c r="O35" i="9"/>
  <c r="L35" i="9"/>
  <c r="K35" i="9"/>
  <c r="H35" i="9"/>
  <c r="G35" i="9"/>
  <c r="F35" i="9"/>
  <c r="D35" i="9"/>
  <c r="C35" i="9"/>
  <c r="D34" i="9"/>
  <c r="T33" i="9"/>
  <c r="S33" i="9"/>
  <c r="R33" i="9"/>
  <c r="Q33" i="9"/>
  <c r="P33" i="9"/>
  <c r="O33" i="9"/>
  <c r="L33" i="9"/>
  <c r="K33" i="9"/>
  <c r="H33" i="9"/>
  <c r="G33" i="9"/>
  <c r="F33" i="9"/>
  <c r="D33" i="9"/>
  <c r="C33" i="9"/>
  <c r="T32" i="9"/>
  <c r="S32" i="9"/>
  <c r="D32" i="9"/>
  <c r="T31" i="9"/>
  <c r="S31" i="9"/>
  <c r="R31" i="9"/>
  <c r="Q31" i="9"/>
  <c r="P31" i="9"/>
  <c r="O31" i="9"/>
  <c r="L31" i="9"/>
  <c r="K31" i="9"/>
  <c r="H31" i="9"/>
  <c r="G31" i="9"/>
  <c r="F31" i="9"/>
  <c r="D31" i="9"/>
  <c r="C31" i="9"/>
  <c r="T30" i="9"/>
  <c r="S30" i="9"/>
  <c r="D30" i="9"/>
  <c r="T29" i="9"/>
  <c r="S29" i="9"/>
  <c r="R29" i="9"/>
  <c r="Q29" i="9"/>
  <c r="P29" i="9"/>
  <c r="O29" i="9"/>
  <c r="L29" i="9"/>
  <c r="K29" i="9"/>
  <c r="H29" i="9"/>
  <c r="G29" i="9"/>
  <c r="F29" i="9"/>
  <c r="D29" i="9"/>
  <c r="C29" i="9"/>
  <c r="T28" i="9"/>
  <c r="S28" i="9"/>
  <c r="D28" i="9"/>
  <c r="T27" i="9"/>
  <c r="S27" i="9"/>
  <c r="R27" i="9"/>
  <c r="Q27" i="9"/>
  <c r="P27" i="9"/>
  <c r="O27" i="9"/>
  <c r="L27" i="9"/>
  <c r="K27" i="9"/>
  <c r="H27" i="9"/>
  <c r="G27" i="9"/>
  <c r="F27" i="9"/>
  <c r="D27" i="9"/>
  <c r="C27" i="9"/>
  <c r="T26" i="9"/>
  <c r="S26" i="9"/>
  <c r="D26" i="9"/>
  <c r="T25" i="9"/>
  <c r="S25" i="9"/>
  <c r="R25" i="9"/>
  <c r="Q25" i="9"/>
  <c r="P25" i="9"/>
  <c r="O25" i="9"/>
  <c r="L25" i="9"/>
  <c r="K25" i="9"/>
  <c r="H25" i="9"/>
  <c r="G25" i="9"/>
  <c r="F25" i="9"/>
  <c r="D25" i="9"/>
  <c r="C25" i="9"/>
  <c r="D24" i="9"/>
  <c r="T23" i="9"/>
  <c r="S23" i="9"/>
  <c r="R23" i="9"/>
  <c r="Q23" i="9"/>
  <c r="P23" i="9"/>
  <c r="O23" i="9"/>
  <c r="L23" i="9"/>
  <c r="K23" i="9"/>
  <c r="H23" i="9"/>
  <c r="G23" i="9"/>
  <c r="F23" i="9"/>
  <c r="D23" i="9"/>
  <c r="C23" i="9"/>
  <c r="T22" i="9"/>
  <c r="S22" i="9"/>
  <c r="D22" i="9"/>
  <c r="T21" i="9"/>
  <c r="S21" i="9"/>
  <c r="R21" i="9"/>
  <c r="Q21" i="9"/>
  <c r="P21" i="9"/>
  <c r="O21" i="9"/>
  <c r="N21" i="9"/>
  <c r="M21" i="9"/>
  <c r="L21" i="9"/>
  <c r="K21" i="9"/>
  <c r="J21" i="9"/>
  <c r="G21" i="9"/>
  <c r="C21" i="9"/>
  <c r="T20" i="9"/>
  <c r="S20" i="9"/>
  <c r="D20" i="9"/>
  <c r="T19" i="9"/>
  <c r="S19" i="9"/>
  <c r="R19" i="9"/>
  <c r="Q19" i="9"/>
  <c r="P19" i="9"/>
  <c r="O19" i="9"/>
  <c r="N19" i="9"/>
  <c r="M19" i="9"/>
  <c r="L19" i="9"/>
  <c r="K19" i="9"/>
  <c r="J19" i="9"/>
  <c r="G19" i="9"/>
  <c r="D19" i="9"/>
  <c r="C19" i="9"/>
  <c r="T18" i="9"/>
  <c r="S18" i="9"/>
  <c r="D18" i="9"/>
  <c r="T17" i="9"/>
  <c r="S17" i="9"/>
  <c r="R17" i="9"/>
  <c r="Q17" i="9"/>
  <c r="P17" i="9"/>
  <c r="O17" i="9"/>
  <c r="N17" i="9"/>
  <c r="M17" i="9"/>
  <c r="L17" i="9"/>
  <c r="K17" i="9"/>
  <c r="J17" i="9"/>
  <c r="G17" i="9"/>
  <c r="D17" i="9"/>
  <c r="C17" i="9"/>
  <c r="D16" i="9"/>
  <c r="T15" i="9"/>
  <c r="S15" i="9"/>
  <c r="R15" i="9"/>
  <c r="Q15" i="9"/>
  <c r="P15" i="9"/>
  <c r="O15" i="9"/>
  <c r="N15" i="9"/>
  <c r="M15" i="9"/>
  <c r="L15" i="9"/>
  <c r="K15" i="9"/>
  <c r="J15" i="9"/>
  <c r="G15" i="9"/>
  <c r="C15" i="9"/>
  <c r="S14" i="9"/>
  <c r="D14" i="9"/>
  <c r="T13" i="9"/>
  <c r="S13" i="9"/>
  <c r="R13" i="9"/>
  <c r="Q13" i="9"/>
  <c r="P13" i="9"/>
  <c r="O13" i="9"/>
  <c r="N13" i="9"/>
  <c r="M13" i="9"/>
  <c r="L13" i="9"/>
  <c r="K13" i="9"/>
  <c r="H13" i="9"/>
  <c r="G13" i="9"/>
  <c r="D13" i="9"/>
  <c r="C13" i="9"/>
  <c r="AK12" i="9"/>
  <c r="S12" i="9"/>
  <c r="D12" i="9"/>
  <c r="AK11" i="9"/>
  <c r="T11" i="9"/>
  <c r="S11" i="9"/>
  <c r="R11" i="9"/>
  <c r="Q11" i="9"/>
  <c r="P11" i="9"/>
  <c r="O11" i="9"/>
  <c r="N11" i="9"/>
  <c r="M11" i="9"/>
  <c r="L11" i="9"/>
  <c r="K11" i="9"/>
  <c r="H11" i="9"/>
  <c r="G11" i="9"/>
  <c r="D11" i="9"/>
  <c r="C11" i="9"/>
  <c r="AK10" i="9"/>
  <c r="AG10" i="9"/>
  <c r="S10" i="9"/>
  <c r="D10" i="9"/>
  <c r="AK9" i="9"/>
  <c r="AG9" i="9"/>
  <c r="T9" i="9"/>
  <c r="S9" i="9"/>
  <c r="R9" i="9"/>
  <c r="Q9" i="9"/>
  <c r="P9" i="9"/>
  <c r="O9" i="9"/>
  <c r="N9" i="9"/>
  <c r="M9" i="9"/>
  <c r="L9" i="9"/>
  <c r="K9" i="9"/>
  <c r="H9" i="9"/>
  <c r="G9" i="9"/>
  <c r="C9" i="9"/>
  <c r="AK8" i="9"/>
  <c r="AG8" i="9"/>
  <c r="AK7" i="9"/>
  <c r="AG7" i="9"/>
  <c r="T7" i="9"/>
  <c r="S7" i="9"/>
  <c r="R7" i="9"/>
  <c r="Q7" i="9"/>
  <c r="P7" i="9"/>
  <c r="O7" i="9"/>
  <c r="N7" i="9"/>
  <c r="M7" i="9"/>
  <c r="L7" i="9"/>
  <c r="K7" i="9"/>
  <c r="H7" i="9"/>
  <c r="G7" i="9"/>
  <c r="C7" i="9"/>
  <c r="P285" i="4"/>
  <c r="H285" i="4"/>
  <c r="D285" i="4"/>
  <c r="C285" i="4"/>
  <c r="P284" i="4"/>
  <c r="N284" i="4"/>
  <c r="M284" i="4"/>
  <c r="L284" i="4"/>
  <c r="K284" i="4"/>
  <c r="J284" i="4"/>
  <c r="I284" i="4"/>
  <c r="C284" i="4"/>
  <c r="B284" i="4"/>
  <c r="P283" i="4"/>
  <c r="H283" i="4"/>
  <c r="D283" i="4"/>
  <c r="C283" i="4"/>
  <c r="P282" i="4"/>
  <c r="N282" i="4"/>
  <c r="M282" i="4"/>
  <c r="L282" i="4"/>
  <c r="K282" i="4"/>
  <c r="J282" i="4"/>
  <c r="I282" i="4"/>
  <c r="C282" i="4"/>
  <c r="B282" i="4"/>
  <c r="P281" i="4"/>
  <c r="H281" i="4"/>
  <c r="D281" i="4"/>
  <c r="C281" i="4"/>
  <c r="P280" i="4"/>
  <c r="N280" i="4"/>
  <c r="M280" i="4"/>
  <c r="L280" i="4"/>
  <c r="K280" i="4"/>
  <c r="J280" i="4"/>
  <c r="I280" i="4"/>
  <c r="C280" i="4"/>
  <c r="B280" i="4"/>
  <c r="P279" i="4"/>
  <c r="H279" i="4"/>
  <c r="D279" i="4"/>
  <c r="C279" i="4"/>
  <c r="P278" i="4"/>
  <c r="N278" i="4"/>
  <c r="M278" i="4"/>
  <c r="L278" i="4"/>
  <c r="K278" i="4"/>
  <c r="J278" i="4"/>
  <c r="I278" i="4"/>
  <c r="C278" i="4"/>
  <c r="B278" i="4"/>
  <c r="P277" i="4"/>
  <c r="H277" i="4"/>
  <c r="D277" i="4"/>
  <c r="C277" i="4"/>
  <c r="P276" i="4"/>
  <c r="N276" i="4"/>
  <c r="M276" i="4"/>
  <c r="L276" i="4"/>
  <c r="K276" i="4"/>
  <c r="J276" i="4"/>
  <c r="I276" i="4"/>
  <c r="C276" i="4"/>
  <c r="B276" i="4"/>
  <c r="U275" i="4"/>
  <c r="P275" i="4"/>
  <c r="H275" i="4"/>
  <c r="D275" i="4"/>
  <c r="C275" i="4"/>
  <c r="U274" i="4"/>
  <c r="P274" i="4"/>
  <c r="N274" i="4"/>
  <c r="M274" i="4"/>
  <c r="L274" i="4"/>
  <c r="K274" i="4"/>
  <c r="J274" i="4"/>
  <c r="I274" i="4"/>
  <c r="C274" i="4"/>
  <c r="B274" i="4"/>
  <c r="U273" i="4"/>
  <c r="P273" i="4"/>
  <c r="H273" i="4"/>
  <c r="D273" i="4"/>
  <c r="C273" i="4"/>
  <c r="U272" i="4"/>
  <c r="P272" i="4"/>
  <c r="N272" i="4"/>
  <c r="M272" i="4"/>
  <c r="L272" i="4"/>
  <c r="K272" i="4"/>
  <c r="J272" i="4"/>
  <c r="I272" i="4"/>
  <c r="C272" i="4"/>
  <c r="B272" i="4"/>
  <c r="U271" i="4"/>
  <c r="P271" i="4"/>
  <c r="H271" i="4"/>
  <c r="D271" i="4"/>
  <c r="C271" i="4"/>
  <c r="U270" i="4"/>
  <c r="P270" i="4"/>
  <c r="N270" i="4"/>
  <c r="M270" i="4"/>
  <c r="L270" i="4"/>
  <c r="K270" i="4"/>
  <c r="J270" i="4"/>
  <c r="I270" i="4"/>
  <c r="C270" i="4"/>
  <c r="B270" i="4"/>
  <c r="U269" i="4"/>
  <c r="P269" i="4"/>
  <c r="H269" i="4"/>
  <c r="D269" i="4"/>
  <c r="C269" i="4"/>
  <c r="U268" i="4"/>
  <c r="P268" i="4"/>
  <c r="N268" i="4"/>
  <c r="M268" i="4"/>
  <c r="L268" i="4"/>
  <c r="K268" i="4"/>
  <c r="J268" i="4"/>
  <c r="I268" i="4"/>
  <c r="C268" i="4"/>
  <c r="B268" i="4"/>
  <c r="U267" i="4"/>
  <c r="P267" i="4"/>
  <c r="H267" i="4"/>
  <c r="D267" i="4"/>
  <c r="C267" i="4"/>
  <c r="U266" i="4"/>
  <c r="P266" i="4"/>
  <c r="O266" i="4"/>
  <c r="N266" i="4"/>
  <c r="M266" i="4"/>
  <c r="L266" i="4"/>
  <c r="K266" i="4"/>
  <c r="J266" i="4"/>
  <c r="I266" i="4"/>
  <c r="C266" i="4"/>
  <c r="B266" i="4"/>
  <c r="P265" i="4"/>
  <c r="H265" i="4"/>
  <c r="D265" i="4"/>
  <c r="C265" i="4"/>
  <c r="P264" i="4"/>
  <c r="M264" i="4"/>
  <c r="L264" i="4"/>
  <c r="K264" i="4"/>
  <c r="J264" i="4"/>
  <c r="C264" i="4"/>
  <c r="B264" i="4"/>
  <c r="P263" i="4"/>
  <c r="H263" i="4"/>
  <c r="D263" i="4"/>
  <c r="C263" i="4"/>
  <c r="P262" i="4"/>
  <c r="M262" i="4"/>
  <c r="L262" i="4"/>
  <c r="K262" i="4"/>
  <c r="J262" i="4"/>
  <c r="C262" i="4"/>
  <c r="B262" i="4"/>
  <c r="P261" i="4"/>
  <c r="H261" i="4"/>
  <c r="D261" i="4"/>
  <c r="C261" i="4"/>
  <c r="P260" i="4"/>
  <c r="M260" i="4"/>
  <c r="L260" i="4"/>
  <c r="K260" i="4"/>
  <c r="J260" i="4"/>
  <c r="C260" i="4"/>
  <c r="B260" i="4"/>
  <c r="P259" i="4"/>
  <c r="H259" i="4"/>
  <c r="D259" i="4"/>
  <c r="C259" i="4"/>
  <c r="P258" i="4"/>
  <c r="M258" i="4"/>
  <c r="L258" i="4"/>
  <c r="K258" i="4"/>
  <c r="J258" i="4"/>
  <c r="C258" i="4"/>
  <c r="B258" i="4"/>
  <c r="P257" i="4"/>
  <c r="H257" i="4"/>
  <c r="D257" i="4"/>
  <c r="C257" i="4"/>
  <c r="P256" i="4"/>
  <c r="M256" i="4"/>
  <c r="L256" i="4"/>
  <c r="K256" i="4"/>
  <c r="J256" i="4"/>
  <c r="C256" i="4"/>
  <c r="B256" i="4"/>
  <c r="P255" i="4"/>
  <c r="H255" i="4"/>
  <c r="D255" i="4"/>
  <c r="C255" i="4"/>
  <c r="P254" i="4"/>
  <c r="M254" i="4"/>
  <c r="L254" i="4"/>
  <c r="K254" i="4"/>
  <c r="J254" i="4"/>
  <c r="C254" i="4"/>
  <c r="B254" i="4"/>
  <c r="P253" i="4"/>
  <c r="H253" i="4"/>
  <c r="D253" i="4"/>
  <c r="C253" i="4"/>
  <c r="P252" i="4"/>
  <c r="M252" i="4"/>
  <c r="L252" i="4"/>
  <c r="K252" i="4"/>
  <c r="J252" i="4"/>
  <c r="C252" i="4"/>
  <c r="B252" i="4"/>
  <c r="P251" i="4"/>
  <c r="H251" i="4"/>
  <c r="D251" i="4"/>
  <c r="C251" i="4"/>
  <c r="P250" i="4"/>
  <c r="M250" i="4"/>
  <c r="L250" i="4"/>
  <c r="K250" i="4"/>
  <c r="J250" i="4"/>
  <c r="C250" i="4"/>
  <c r="B250" i="4"/>
  <c r="P249" i="4"/>
  <c r="H249" i="4"/>
  <c r="D249" i="4"/>
  <c r="C249" i="4"/>
  <c r="P248" i="4"/>
  <c r="M248" i="4"/>
  <c r="L248" i="4"/>
  <c r="K248" i="4"/>
  <c r="J248" i="4"/>
  <c r="C248" i="4"/>
  <c r="B248" i="4"/>
  <c r="P247" i="4"/>
  <c r="H247" i="4"/>
  <c r="D247" i="4"/>
  <c r="C247" i="4"/>
  <c r="P246" i="4"/>
  <c r="M246" i="4"/>
  <c r="L246" i="4"/>
  <c r="K246" i="4"/>
  <c r="J246" i="4"/>
  <c r="C246" i="4"/>
  <c r="B246" i="4"/>
  <c r="P245" i="4"/>
  <c r="H245" i="4"/>
  <c r="D245" i="4"/>
  <c r="C245" i="4"/>
  <c r="P244" i="4"/>
  <c r="N244" i="4"/>
  <c r="M244" i="4"/>
  <c r="L244" i="4"/>
  <c r="K244" i="4"/>
  <c r="J244" i="4"/>
  <c r="I244" i="4"/>
  <c r="C244" i="4"/>
  <c r="B244" i="4"/>
  <c r="P243" i="4"/>
  <c r="H243" i="4"/>
  <c r="D243" i="4"/>
  <c r="C243" i="4"/>
  <c r="P242" i="4"/>
  <c r="N242" i="4"/>
  <c r="M242" i="4"/>
  <c r="L242" i="4"/>
  <c r="K242" i="4"/>
  <c r="J242" i="4"/>
  <c r="I242" i="4"/>
  <c r="C242" i="4"/>
  <c r="B242" i="4"/>
  <c r="P241" i="4"/>
  <c r="H241" i="4"/>
  <c r="D241" i="4"/>
  <c r="C241" i="4"/>
  <c r="P240" i="4"/>
  <c r="N240" i="4"/>
  <c r="M240" i="4"/>
  <c r="L240" i="4"/>
  <c r="K240" i="4"/>
  <c r="J240" i="4"/>
  <c r="I240" i="4"/>
  <c r="C240" i="4"/>
  <c r="B240" i="4"/>
  <c r="P239" i="4"/>
  <c r="H239" i="4"/>
  <c r="D239" i="4"/>
  <c r="C239" i="4"/>
  <c r="P238" i="4"/>
  <c r="N238" i="4"/>
  <c r="M238" i="4"/>
  <c r="L238" i="4"/>
  <c r="K238" i="4"/>
  <c r="J238" i="4"/>
  <c r="I238" i="4"/>
  <c r="C238" i="4"/>
  <c r="B238" i="4"/>
  <c r="P237" i="4"/>
  <c r="H237" i="4"/>
  <c r="D237" i="4"/>
  <c r="C237" i="4"/>
  <c r="P236" i="4"/>
  <c r="N236" i="4"/>
  <c r="M236" i="4"/>
  <c r="L236" i="4"/>
  <c r="K236" i="4"/>
  <c r="J236" i="4"/>
  <c r="I236" i="4"/>
  <c r="C236" i="4"/>
  <c r="B236" i="4"/>
  <c r="P235" i="4"/>
  <c r="H235" i="4"/>
  <c r="D235" i="4"/>
  <c r="C235" i="4"/>
  <c r="P234" i="4"/>
  <c r="N234" i="4"/>
  <c r="M234" i="4"/>
  <c r="L234" i="4"/>
  <c r="K234" i="4"/>
  <c r="J234" i="4"/>
  <c r="I234" i="4"/>
  <c r="C234" i="4"/>
  <c r="B234" i="4"/>
  <c r="P233" i="4"/>
  <c r="H233" i="4"/>
  <c r="D233" i="4"/>
  <c r="C233" i="4"/>
  <c r="P232" i="4"/>
  <c r="N232" i="4"/>
  <c r="M232" i="4"/>
  <c r="L232" i="4"/>
  <c r="K232" i="4"/>
  <c r="J232" i="4"/>
  <c r="I232" i="4"/>
  <c r="C232" i="4"/>
  <c r="B232" i="4"/>
  <c r="P231" i="4"/>
  <c r="H231" i="4"/>
  <c r="D231" i="4"/>
  <c r="C231" i="4"/>
  <c r="P230" i="4"/>
  <c r="N230" i="4"/>
  <c r="M230" i="4"/>
  <c r="L230" i="4"/>
  <c r="K230" i="4"/>
  <c r="J230" i="4"/>
  <c r="I230" i="4"/>
  <c r="C230" i="4"/>
  <c r="B230" i="4"/>
  <c r="P229" i="4"/>
  <c r="H229" i="4"/>
  <c r="D229" i="4"/>
  <c r="P228" i="4"/>
  <c r="N228" i="4"/>
  <c r="M228" i="4"/>
  <c r="L228" i="4"/>
  <c r="K228" i="4"/>
  <c r="J228" i="4"/>
  <c r="I228" i="4"/>
  <c r="B228" i="4"/>
  <c r="P227" i="4"/>
  <c r="H227" i="4"/>
  <c r="C227" i="4"/>
  <c r="N226" i="4"/>
  <c r="M226" i="4"/>
  <c r="L226" i="4"/>
  <c r="K226" i="4"/>
  <c r="J226" i="4"/>
  <c r="B226" i="4"/>
  <c r="N225" i="4"/>
  <c r="M225" i="4"/>
  <c r="L225" i="4"/>
  <c r="K225" i="4"/>
  <c r="J225" i="4"/>
  <c r="G225" i="4"/>
  <c r="N224" i="4"/>
  <c r="M224" i="4"/>
  <c r="L224" i="4"/>
  <c r="K224" i="4"/>
  <c r="J224" i="4"/>
  <c r="G224" i="4"/>
  <c r="N223" i="4"/>
  <c r="M223" i="4"/>
  <c r="L223" i="4"/>
  <c r="K223" i="4"/>
  <c r="J223" i="4"/>
  <c r="G223" i="4"/>
  <c r="N222" i="4"/>
  <c r="M222" i="4"/>
  <c r="L222" i="4"/>
  <c r="K222" i="4"/>
  <c r="J222" i="4"/>
  <c r="G222" i="4"/>
  <c r="N221" i="4"/>
  <c r="M221" i="4"/>
  <c r="L221" i="4"/>
  <c r="K221" i="4"/>
  <c r="J221" i="4"/>
  <c r="G221" i="4"/>
  <c r="N220" i="4"/>
  <c r="M220" i="4"/>
  <c r="L220" i="4"/>
  <c r="K220" i="4"/>
  <c r="J220" i="4"/>
  <c r="G220" i="4"/>
  <c r="N219" i="4"/>
  <c r="M219" i="4"/>
  <c r="L219" i="4"/>
  <c r="K219" i="4"/>
  <c r="J219" i="4"/>
  <c r="G219" i="4"/>
  <c r="N218" i="4"/>
  <c r="M218" i="4"/>
  <c r="L218" i="4"/>
  <c r="K218" i="4"/>
  <c r="J218" i="4"/>
  <c r="G218" i="4"/>
  <c r="N217" i="4"/>
  <c r="M217" i="4"/>
  <c r="L217" i="4"/>
  <c r="K217" i="4"/>
  <c r="J217" i="4"/>
  <c r="G217" i="4"/>
  <c r="N216" i="4"/>
  <c r="M216" i="4"/>
  <c r="L216" i="4"/>
  <c r="K216" i="4"/>
  <c r="J216" i="4"/>
  <c r="G216" i="4"/>
  <c r="N215" i="4"/>
  <c r="M215" i="4"/>
  <c r="L215" i="4"/>
  <c r="K215" i="4"/>
  <c r="J215" i="4"/>
  <c r="G215" i="4"/>
  <c r="N214" i="4"/>
  <c r="M214" i="4"/>
  <c r="L214" i="4"/>
  <c r="K214" i="4"/>
  <c r="J214" i="4"/>
  <c r="G214" i="4"/>
  <c r="N213" i="4"/>
  <c r="M213" i="4"/>
  <c r="L213" i="4"/>
  <c r="K213" i="4"/>
  <c r="J213" i="4"/>
  <c r="G213" i="4"/>
  <c r="N212" i="4"/>
  <c r="M212" i="4"/>
  <c r="L212" i="4"/>
  <c r="K212" i="4"/>
  <c r="J212" i="4"/>
  <c r="G212" i="4"/>
  <c r="N211" i="4"/>
  <c r="M211" i="4"/>
  <c r="L211" i="4"/>
  <c r="K211" i="4"/>
  <c r="J211" i="4"/>
  <c r="G211" i="4"/>
  <c r="N210" i="4"/>
  <c r="M210" i="4"/>
  <c r="L210" i="4"/>
  <c r="K210" i="4"/>
  <c r="J210" i="4"/>
  <c r="G210" i="4"/>
  <c r="N209" i="4"/>
  <c r="M209" i="4"/>
  <c r="L209" i="4"/>
  <c r="K209" i="4"/>
  <c r="J209" i="4"/>
  <c r="G209" i="4"/>
  <c r="N208" i="4"/>
  <c r="M208" i="4"/>
  <c r="L208" i="4"/>
  <c r="K208" i="4"/>
  <c r="J208" i="4"/>
  <c r="G208" i="4"/>
  <c r="M207" i="4"/>
  <c r="L207" i="4"/>
  <c r="K207" i="4"/>
  <c r="J207" i="4"/>
  <c r="M206" i="4"/>
  <c r="L206" i="4"/>
  <c r="K206" i="4"/>
  <c r="J206" i="4"/>
  <c r="G206" i="4"/>
  <c r="N205" i="4"/>
  <c r="M205" i="4"/>
  <c r="L205" i="4"/>
  <c r="K205" i="4"/>
  <c r="J205" i="4"/>
  <c r="G205" i="4"/>
  <c r="N204" i="4"/>
  <c r="M204" i="4"/>
  <c r="L204" i="4"/>
  <c r="K204" i="4"/>
  <c r="J204" i="4"/>
  <c r="G204" i="4"/>
  <c r="N203" i="4"/>
  <c r="M203" i="4"/>
  <c r="L203" i="4"/>
  <c r="K203" i="4"/>
  <c r="J203" i="4"/>
  <c r="G203" i="4"/>
  <c r="N202" i="4"/>
  <c r="M202" i="4"/>
  <c r="L202" i="4"/>
  <c r="K202" i="4"/>
  <c r="J202" i="4"/>
  <c r="G202" i="4"/>
  <c r="N201" i="4"/>
  <c r="M201" i="4"/>
  <c r="L201" i="4"/>
  <c r="K201" i="4"/>
  <c r="J201" i="4"/>
  <c r="G201" i="4"/>
  <c r="N200" i="4"/>
  <c r="M200" i="4"/>
  <c r="L200" i="4"/>
  <c r="K200" i="4"/>
  <c r="J200" i="4"/>
  <c r="G200" i="4"/>
  <c r="N199" i="4"/>
  <c r="M199" i="4"/>
  <c r="L199" i="4"/>
  <c r="K199" i="4"/>
  <c r="J199" i="4"/>
  <c r="G199" i="4"/>
  <c r="N198" i="4"/>
  <c r="M198" i="4"/>
  <c r="L198" i="4"/>
  <c r="K198" i="4"/>
  <c r="J198" i="4"/>
  <c r="G198" i="4"/>
  <c r="N197" i="4"/>
  <c r="M197" i="4"/>
  <c r="L197" i="4"/>
  <c r="K197" i="4"/>
  <c r="J197" i="4"/>
  <c r="G197" i="4"/>
  <c r="N196" i="4"/>
  <c r="M196" i="4"/>
  <c r="L196" i="4"/>
  <c r="K196" i="4"/>
  <c r="J196" i="4"/>
  <c r="G196" i="4"/>
  <c r="N195" i="4"/>
  <c r="M195" i="4"/>
  <c r="L195" i="4"/>
  <c r="K195" i="4"/>
  <c r="J195" i="4"/>
  <c r="G195" i="4"/>
  <c r="N194" i="4"/>
  <c r="M194" i="4"/>
  <c r="L194" i="4"/>
  <c r="K194" i="4"/>
  <c r="J194" i="4"/>
  <c r="G194" i="4"/>
  <c r="N193" i="4"/>
  <c r="M193" i="4"/>
  <c r="L193" i="4"/>
  <c r="K193" i="4"/>
  <c r="J193" i="4"/>
  <c r="G193" i="4"/>
  <c r="N192" i="4"/>
  <c r="M192" i="4"/>
  <c r="L192" i="4"/>
  <c r="K192" i="4"/>
  <c r="J192" i="4"/>
  <c r="G192" i="4"/>
  <c r="N191" i="4"/>
  <c r="M191" i="4"/>
  <c r="L191" i="4"/>
  <c r="K191" i="4"/>
  <c r="J191" i="4"/>
  <c r="G191" i="4"/>
  <c r="N190" i="4"/>
  <c r="M190" i="4"/>
  <c r="L190" i="4"/>
  <c r="K190" i="4"/>
  <c r="J190" i="4"/>
  <c r="G190" i="4"/>
  <c r="N189" i="4"/>
  <c r="M189" i="4"/>
  <c r="L189" i="4"/>
  <c r="K189" i="4"/>
  <c r="J189" i="4"/>
  <c r="G189" i="4"/>
  <c r="N188" i="4"/>
  <c r="M188" i="4"/>
  <c r="L188" i="4"/>
  <c r="K188" i="4"/>
  <c r="J188" i="4"/>
  <c r="G188" i="4"/>
  <c r="N187" i="4"/>
  <c r="M187" i="4"/>
  <c r="L187" i="4"/>
  <c r="K187" i="4"/>
  <c r="J187" i="4"/>
  <c r="G187" i="4"/>
  <c r="N186" i="4"/>
  <c r="M186" i="4"/>
  <c r="L186" i="4"/>
  <c r="K186" i="4"/>
  <c r="J186" i="4"/>
  <c r="G186" i="4"/>
  <c r="N185" i="4"/>
  <c r="M185" i="4"/>
  <c r="L185" i="4"/>
  <c r="K185" i="4"/>
  <c r="J185" i="4"/>
  <c r="G185" i="4"/>
  <c r="N184" i="4"/>
  <c r="M184" i="4"/>
  <c r="L184" i="4"/>
  <c r="K184" i="4"/>
  <c r="J184" i="4"/>
  <c r="G184" i="4"/>
  <c r="N183" i="4"/>
  <c r="M183" i="4"/>
  <c r="L183" i="4"/>
  <c r="K183" i="4"/>
  <c r="J183" i="4"/>
  <c r="G183" i="4"/>
  <c r="N182" i="4"/>
  <c r="M182" i="4"/>
  <c r="L182" i="4"/>
  <c r="K182" i="4"/>
  <c r="J182" i="4"/>
  <c r="G182" i="4"/>
  <c r="N181" i="4"/>
  <c r="M181" i="4"/>
  <c r="L181" i="4"/>
  <c r="K181" i="4"/>
  <c r="J181" i="4"/>
  <c r="G181" i="4"/>
  <c r="N180" i="4"/>
  <c r="M180" i="4"/>
  <c r="L180" i="4"/>
  <c r="K180" i="4"/>
  <c r="J180" i="4"/>
  <c r="G180" i="4"/>
  <c r="N179" i="4"/>
  <c r="M179" i="4"/>
  <c r="L179" i="4"/>
  <c r="K179" i="4"/>
  <c r="J179" i="4"/>
  <c r="G179" i="4"/>
  <c r="N178" i="4"/>
  <c r="M178" i="4"/>
  <c r="L178" i="4"/>
  <c r="K178" i="4"/>
  <c r="J178" i="4"/>
  <c r="G178" i="4"/>
  <c r="N177" i="4"/>
  <c r="M177" i="4"/>
  <c r="L177" i="4"/>
  <c r="K177" i="4"/>
  <c r="J177" i="4"/>
  <c r="G177" i="4"/>
  <c r="N176" i="4"/>
  <c r="M176" i="4"/>
  <c r="L176" i="4"/>
  <c r="K176" i="4"/>
  <c r="J176" i="4"/>
  <c r="G176" i="4"/>
  <c r="N175" i="4"/>
  <c r="M175" i="4"/>
  <c r="L175" i="4"/>
  <c r="K175" i="4"/>
  <c r="J175" i="4"/>
  <c r="G175" i="4"/>
  <c r="N174" i="4"/>
  <c r="M174" i="4"/>
  <c r="L174" i="4"/>
  <c r="K174" i="4"/>
  <c r="J174" i="4"/>
  <c r="G174" i="4"/>
  <c r="N173" i="4"/>
  <c r="M173" i="4"/>
  <c r="L173" i="4"/>
  <c r="K173" i="4"/>
  <c r="J173" i="4"/>
  <c r="G173" i="4"/>
  <c r="N172" i="4"/>
  <c r="M172" i="4"/>
  <c r="L172" i="4"/>
  <c r="K172" i="4"/>
  <c r="J172" i="4"/>
  <c r="G172" i="4"/>
  <c r="N171" i="4"/>
  <c r="M171" i="4"/>
  <c r="L171" i="4"/>
  <c r="K171" i="4"/>
  <c r="J171" i="4"/>
  <c r="G171" i="4"/>
  <c r="N170" i="4"/>
  <c r="M170" i="4"/>
  <c r="L170" i="4"/>
  <c r="K170" i="4"/>
  <c r="J170" i="4"/>
  <c r="G170" i="4"/>
  <c r="N169" i="4"/>
  <c r="M169" i="4"/>
  <c r="L169" i="4"/>
  <c r="K169" i="4"/>
  <c r="J169" i="4"/>
  <c r="G169" i="4"/>
  <c r="N168" i="4"/>
  <c r="M168" i="4"/>
  <c r="L168" i="4"/>
  <c r="K168" i="4"/>
  <c r="J168" i="4"/>
  <c r="G168" i="4"/>
  <c r="N167" i="4"/>
  <c r="M167" i="4"/>
  <c r="L167" i="4"/>
  <c r="K167" i="4"/>
  <c r="J167" i="4"/>
  <c r="G167" i="4"/>
  <c r="N166" i="4"/>
  <c r="M166" i="4"/>
  <c r="L166" i="4"/>
  <c r="K166" i="4"/>
  <c r="J166" i="4"/>
  <c r="G166" i="4"/>
  <c r="N165" i="4"/>
  <c r="M165" i="4"/>
  <c r="L165" i="4"/>
  <c r="K165" i="4"/>
  <c r="J165" i="4"/>
  <c r="G165" i="4"/>
  <c r="N164" i="4"/>
  <c r="M164" i="4"/>
  <c r="L164" i="4"/>
  <c r="K164" i="4"/>
  <c r="J164" i="4"/>
  <c r="G164" i="4"/>
  <c r="N163" i="4"/>
  <c r="M163" i="4"/>
  <c r="L163" i="4"/>
  <c r="K163" i="4"/>
  <c r="J163" i="4"/>
  <c r="G163" i="4"/>
  <c r="N162" i="4"/>
  <c r="M162" i="4"/>
  <c r="L162" i="4"/>
  <c r="K162" i="4"/>
  <c r="J162" i="4"/>
  <c r="G162" i="4"/>
  <c r="N161" i="4"/>
  <c r="M161" i="4"/>
  <c r="L161" i="4"/>
  <c r="K161" i="4"/>
  <c r="J161" i="4"/>
  <c r="G161" i="4"/>
  <c r="N160" i="4"/>
  <c r="M160" i="4"/>
  <c r="L160" i="4"/>
  <c r="K160" i="4"/>
  <c r="J160" i="4"/>
  <c r="G160" i="4"/>
  <c r="N159" i="4"/>
  <c r="M159" i="4"/>
  <c r="L159" i="4"/>
  <c r="K159" i="4"/>
  <c r="J159" i="4"/>
  <c r="G159" i="4"/>
  <c r="N158" i="4"/>
  <c r="M158" i="4"/>
  <c r="L158" i="4"/>
  <c r="K158" i="4"/>
  <c r="J158" i="4"/>
  <c r="G158" i="4"/>
  <c r="N157" i="4"/>
  <c r="M157" i="4"/>
  <c r="L157" i="4"/>
  <c r="K157" i="4"/>
  <c r="J157" i="4"/>
  <c r="G157" i="4"/>
  <c r="N156" i="4"/>
  <c r="M156" i="4"/>
  <c r="L156" i="4"/>
  <c r="K156" i="4"/>
  <c r="J156" i="4"/>
  <c r="G156" i="4"/>
  <c r="N155" i="4"/>
  <c r="M155" i="4"/>
  <c r="L155" i="4"/>
  <c r="K155" i="4"/>
  <c r="J155" i="4"/>
  <c r="G155" i="4"/>
  <c r="N154" i="4"/>
  <c r="M154" i="4"/>
  <c r="L154" i="4"/>
  <c r="K154" i="4"/>
  <c r="J154" i="4"/>
  <c r="G154" i="4"/>
  <c r="N153" i="4"/>
  <c r="M153" i="4"/>
  <c r="L153" i="4"/>
  <c r="K153" i="4"/>
  <c r="J153" i="4"/>
  <c r="G153" i="4"/>
  <c r="N152" i="4"/>
  <c r="M152" i="4"/>
  <c r="L152" i="4"/>
  <c r="K152" i="4"/>
  <c r="J152" i="4"/>
  <c r="G152" i="4"/>
  <c r="N151" i="4"/>
  <c r="M151" i="4"/>
  <c r="L151" i="4"/>
  <c r="K151" i="4"/>
  <c r="J151" i="4"/>
  <c r="G151" i="4"/>
  <c r="N150" i="4"/>
  <c r="M150" i="4"/>
  <c r="L150" i="4"/>
  <c r="K150" i="4"/>
  <c r="J150" i="4"/>
  <c r="G150" i="4"/>
  <c r="N149" i="4"/>
  <c r="M149" i="4"/>
  <c r="L149" i="4"/>
  <c r="K149" i="4"/>
  <c r="J149" i="4"/>
  <c r="G149" i="4"/>
  <c r="M148" i="4"/>
  <c r="L148" i="4"/>
  <c r="K148" i="4"/>
  <c r="J148" i="4"/>
  <c r="M147" i="4"/>
  <c r="L147" i="4"/>
  <c r="K147" i="4"/>
  <c r="J147" i="4"/>
  <c r="M146" i="4"/>
  <c r="L146" i="4"/>
  <c r="K146" i="4"/>
  <c r="J146" i="4"/>
  <c r="N145" i="4"/>
  <c r="M145" i="4"/>
  <c r="L145" i="4"/>
  <c r="K145" i="4"/>
  <c r="J145" i="4"/>
  <c r="G145" i="4"/>
  <c r="N144" i="4"/>
  <c r="M144" i="4"/>
  <c r="L144" i="4"/>
  <c r="K144" i="4"/>
  <c r="J144" i="4"/>
  <c r="G144" i="4"/>
  <c r="N143" i="4"/>
  <c r="M143" i="4"/>
  <c r="L143" i="4"/>
  <c r="K143" i="4"/>
  <c r="J143" i="4"/>
  <c r="G143" i="4"/>
  <c r="N142" i="4"/>
  <c r="M142" i="4"/>
  <c r="L142" i="4"/>
  <c r="K142" i="4"/>
  <c r="J142" i="4"/>
  <c r="G142" i="4"/>
  <c r="N141" i="4"/>
  <c r="M141" i="4"/>
  <c r="L141" i="4"/>
  <c r="K141" i="4"/>
  <c r="J141" i="4"/>
  <c r="G141" i="4"/>
  <c r="N140" i="4"/>
  <c r="M140" i="4"/>
  <c r="L140" i="4"/>
  <c r="K140" i="4"/>
  <c r="J140" i="4"/>
  <c r="G140" i="4"/>
  <c r="N139" i="4"/>
  <c r="M139" i="4"/>
  <c r="L139" i="4"/>
  <c r="K139" i="4"/>
  <c r="J139" i="4"/>
  <c r="G139" i="4"/>
  <c r="N138" i="4"/>
  <c r="M138" i="4"/>
  <c r="L138" i="4"/>
  <c r="K138" i="4"/>
  <c r="J138" i="4"/>
  <c r="G138" i="4"/>
  <c r="N137" i="4"/>
  <c r="M137" i="4"/>
  <c r="L137" i="4"/>
  <c r="K137" i="4"/>
  <c r="J137" i="4"/>
  <c r="G137" i="4"/>
  <c r="N136" i="4"/>
  <c r="M136" i="4"/>
  <c r="L136" i="4"/>
  <c r="K136" i="4"/>
  <c r="J136" i="4"/>
  <c r="G136" i="4"/>
  <c r="N135" i="4"/>
  <c r="M135" i="4"/>
  <c r="L135" i="4"/>
  <c r="K135" i="4"/>
  <c r="J135" i="4"/>
  <c r="G135" i="4"/>
  <c r="N134" i="4"/>
  <c r="M134" i="4"/>
  <c r="L134" i="4"/>
  <c r="K134" i="4"/>
  <c r="J134" i="4"/>
  <c r="G134" i="4"/>
  <c r="N133" i="4"/>
  <c r="M133" i="4"/>
  <c r="L133" i="4"/>
  <c r="K133" i="4"/>
  <c r="J133" i="4"/>
  <c r="G133" i="4"/>
  <c r="N132" i="4"/>
  <c r="M132" i="4"/>
  <c r="L132" i="4"/>
  <c r="K132" i="4"/>
  <c r="J132" i="4"/>
  <c r="G132" i="4"/>
  <c r="N131" i="4"/>
  <c r="M131" i="4"/>
  <c r="L131" i="4"/>
  <c r="K131" i="4"/>
  <c r="J131" i="4"/>
  <c r="G131" i="4"/>
  <c r="N130" i="4"/>
  <c r="M130" i="4"/>
  <c r="L130" i="4"/>
  <c r="K130" i="4"/>
  <c r="J130" i="4"/>
  <c r="G130" i="4"/>
  <c r="N129" i="4"/>
  <c r="M129" i="4"/>
  <c r="L129" i="4"/>
  <c r="K129" i="4"/>
  <c r="J129" i="4"/>
  <c r="G129" i="4"/>
  <c r="N128" i="4"/>
  <c r="M128" i="4"/>
  <c r="L128" i="4"/>
  <c r="K128" i="4"/>
  <c r="J128" i="4"/>
  <c r="G128" i="4"/>
  <c r="N127" i="4"/>
  <c r="M127" i="4"/>
  <c r="L127" i="4"/>
  <c r="K127" i="4"/>
  <c r="J127" i="4"/>
  <c r="G127" i="4"/>
  <c r="N126" i="4"/>
  <c r="M126" i="4"/>
  <c r="L126" i="4"/>
  <c r="K126" i="4"/>
  <c r="J126" i="4"/>
  <c r="G126" i="4"/>
  <c r="N125" i="4"/>
  <c r="M125" i="4"/>
  <c r="L125" i="4"/>
  <c r="K125" i="4"/>
  <c r="J125" i="4"/>
  <c r="G125" i="4"/>
  <c r="AJ124" i="4"/>
  <c r="N124" i="4"/>
  <c r="M124" i="4"/>
  <c r="L124" i="4"/>
  <c r="K124" i="4"/>
  <c r="J124" i="4"/>
  <c r="G124" i="4"/>
  <c r="N123" i="4"/>
  <c r="M123" i="4"/>
  <c r="L123" i="4"/>
  <c r="K123" i="4"/>
  <c r="J123" i="4"/>
  <c r="G123" i="4"/>
  <c r="AJ122" i="4"/>
  <c r="N122" i="4"/>
  <c r="M122" i="4"/>
  <c r="L122" i="4"/>
  <c r="K122" i="4"/>
  <c r="J122" i="4"/>
  <c r="G122" i="4"/>
  <c r="N121" i="4"/>
  <c r="M121" i="4"/>
  <c r="L121" i="4"/>
  <c r="K121" i="4"/>
  <c r="J121" i="4"/>
  <c r="G121" i="4"/>
  <c r="AJ120" i="4"/>
  <c r="N120" i="4"/>
  <c r="M120" i="4"/>
  <c r="L120" i="4"/>
  <c r="K120" i="4"/>
  <c r="J120" i="4"/>
  <c r="G120" i="4"/>
  <c r="N119" i="4"/>
  <c r="M119" i="4"/>
  <c r="L119" i="4"/>
  <c r="K119" i="4"/>
  <c r="J119" i="4"/>
  <c r="G119" i="4"/>
  <c r="AJ118" i="4"/>
  <c r="N118" i="4"/>
  <c r="M118" i="4"/>
  <c r="L118" i="4"/>
  <c r="K118" i="4"/>
  <c r="J118" i="4"/>
  <c r="G118" i="4"/>
  <c r="N117" i="4"/>
  <c r="M117" i="4"/>
  <c r="L117" i="4"/>
  <c r="K117" i="4"/>
  <c r="J117" i="4"/>
  <c r="G117" i="4"/>
  <c r="AJ116" i="4"/>
  <c r="N116" i="4"/>
  <c r="M116" i="4"/>
  <c r="L116" i="4"/>
  <c r="K116" i="4"/>
  <c r="J116" i="4"/>
  <c r="G116" i="4"/>
  <c r="N115" i="4"/>
  <c r="M115" i="4"/>
  <c r="L115" i="4"/>
  <c r="K115" i="4"/>
  <c r="J115" i="4"/>
  <c r="G115" i="4"/>
  <c r="AJ114" i="4"/>
  <c r="N114" i="4"/>
  <c r="M114" i="4"/>
  <c r="L114" i="4"/>
  <c r="K114" i="4"/>
  <c r="J114" i="4"/>
  <c r="G114" i="4"/>
  <c r="N113" i="4"/>
  <c r="M113" i="4"/>
  <c r="L113" i="4"/>
  <c r="K113" i="4"/>
  <c r="J113" i="4"/>
  <c r="G113" i="4"/>
  <c r="AJ112" i="4"/>
  <c r="N112" i="4"/>
  <c r="M112" i="4"/>
  <c r="L112" i="4"/>
  <c r="K112" i="4"/>
  <c r="J112" i="4"/>
  <c r="G112" i="4"/>
  <c r="N111" i="4"/>
  <c r="M111" i="4"/>
  <c r="L111" i="4"/>
  <c r="K111" i="4"/>
  <c r="J111" i="4"/>
  <c r="G111" i="4"/>
  <c r="AJ110" i="4"/>
  <c r="N110" i="4"/>
  <c r="M110" i="4"/>
  <c r="L110" i="4"/>
  <c r="K110" i="4"/>
  <c r="J110" i="4"/>
  <c r="G110" i="4"/>
  <c r="N109" i="4"/>
  <c r="M109" i="4"/>
  <c r="L109" i="4"/>
  <c r="K109" i="4"/>
  <c r="J109" i="4"/>
  <c r="G109" i="4"/>
  <c r="AJ108" i="4"/>
  <c r="N108" i="4"/>
  <c r="M108" i="4"/>
  <c r="L108" i="4"/>
  <c r="K108" i="4"/>
  <c r="J108" i="4"/>
  <c r="G108" i="4"/>
  <c r="N107" i="4"/>
  <c r="M107" i="4"/>
  <c r="L107" i="4"/>
  <c r="K107" i="4"/>
  <c r="J107" i="4"/>
  <c r="G107" i="4"/>
  <c r="AJ106" i="4"/>
  <c r="N106" i="4"/>
  <c r="M106" i="4"/>
  <c r="L106" i="4"/>
  <c r="K106" i="4"/>
  <c r="J106" i="4"/>
  <c r="G106" i="4"/>
  <c r="N105" i="4"/>
  <c r="M105" i="4"/>
  <c r="L105" i="4"/>
  <c r="K105" i="4"/>
  <c r="J105" i="4"/>
  <c r="G105" i="4"/>
  <c r="N104" i="4"/>
  <c r="M104" i="4"/>
  <c r="L104" i="4"/>
  <c r="K104" i="4"/>
  <c r="J104" i="4"/>
  <c r="G104" i="4"/>
  <c r="N103" i="4"/>
  <c r="M103" i="4"/>
  <c r="L103" i="4"/>
  <c r="K103" i="4"/>
  <c r="J103" i="4"/>
  <c r="G103" i="4"/>
  <c r="N102" i="4"/>
  <c r="M102" i="4"/>
  <c r="L102" i="4"/>
  <c r="K102" i="4"/>
  <c r="J102" i="4"/>
  <c r="G102" i="4"/>
  <c r="N101" i="4"/>
  <c r="M101" i="4"/>
  <c r="L101" i="4"/>
  <c r="K101" i="4"/>
  <c r="J101" i="4"/>
  <c r="G101" i="4"/>
  <c r="N100" i="4"/>
  <c r="M100" i="4"/>
  <c r="L100" i="4"/>
  <c r="K100" i="4"/>
  <c r="J100" i="4"/>
  <c r="G100" i="4"/>
  <c r="N99" i="4"/>
  <c r="M99" i="4"/>
  <c r="L99" i="4"/>
  <c r="K99" i="4"/>
  <c r="J99" i="4"/>
  <c r="G99" i="4"/>
  <c r="N98" i="4"/>
  <c r="M98" i="4"/>
  <c r="L98" i="4"/>
  <c r="K98" i="4"/>
  <c r="J98" i="4"/>
  <c r="G98" i="4"/>
  <c r="N97" i="4"/>
  <c r="M97" i="4"/>
  <c r="L97" i="4"/>
  <c r="K97" i="4"/>
  <c r="J97" i="4"/>
  <c r="G97" i="4"/>
  <c r="N96" i="4"/>
  <c r="M96" i="4"/>
  <c r="L96" i="4"/>
  <c r="K96" i="4"/>
  <c r="J96" i="4"/>
  <c r="G96" i="4"/>
  <c r="N95" i="4"/>
  <c r="M95" i="4"/>
  <c r="L95" i="4"/>
  <c r="K95" i="4"/>
  <c r="J95" i="4"/>
  <c r="G95" i="4"/>
  <c r="N94" i="4"/>
  <c r="M94" i="4"/>
  <c r="L94" i="4"/>
  <c r="K94" i="4"/>
  <c r="J94" i="4"/>
  <c r="G94" i="4"/>
  <c r="N93" i="4"/>
  <c r="M93" i="4"/>
  <c r="L93" i="4"/>
  <c r="K93" i="4"/>
  <c r="J93" i="4"/>
  <c r="G93" i="4"/>
  <c r="N92" i="4"/>
  <c r="M92" i="4"/>
  <c r="L92" i="4"/>
  <c r="K92" i="4"/>
  <c r="J92" i="4"/>
  <c r="G92" i="4"/>
  <c r="N91" i="4"/>
  <c r="M91" i="4"/>
  <c r="L91" i="4"/>
  <c r="K91" i="4"/>
  <c r="J91" i="4"/>
  <c r="G91" i="4"/>
  <c r="M90" i="4"/>
  <c r="L90" i="4"/>
  <c r="K90" i="4"/>
  <c r="J90" i="4"/>
  <c r="M89" i="4"/>
  <c r="L89" i="4"/>
  <c r="K89" i="4"/>
  <c r="J89" i="4"/>
  <c r="M88" i="4"/>
  <c r="L88" i="4"/>
  <c r="K88" i="4"/>
  <c r="J88" i="4"/>
  <c r="I88" i="4"/>
  <c r="I94" i="4" s="1"/>
  <c r="I100" i="4" s="1"/>
  <c r="I106" i="4" s="1"/>
  <c r="I112" i="4" s="1"/>
  <c r="I118" i="4" s="1"/>
  <c r="I124" i="4" s="1"/>
  <c r="I130" i="4" s="1"/>
  <c r="I136" i="4" s="1"/>
  <c r="I142" i="4" s="1"/>
  <c r="M87" i="4"/>
  <c r="L87" i="4"/>
  <c r="K87" i="4"/>
  <c r="J87" i="4"/>
  <c r="AJ86" i="4"/>
  <c r="AJ88" i="4" s="1"/>
  <c r="AJ90" i="4" s="1"/>
  <c r="AJ92" i="4" s="1"/>
  <c r="AJ94" i="4" s="1"/>
  <c r="AJ96" i="4" s="1"/>
  <c r="AJ98" i="4" s="1"/>
  <c r="AJ100" i="4" s="1"/>
  <c r="AJ102" i="4" s="1"/>
  <c r="AJ104" i="4" s="1"/>
  <c r="M86" i="4"/>
  <c r="L86" i="4"/>
  <c r="K86" i="4"/>
  <c r="J86" i="4"/>
  <c r="G86" i="4"/>
  <c r="AJ85" i="4"/>
  <c r="AE85" i="4"/>
  <c r="N85" i="4"/>
  <c r="M85" i="4"/>
  <c r="L85" i="4"/>
  <c r="K85" i="4"/>
  <c r="J85" i="4"/>
  <c r="G85" i="4"/>
  <c r="AJ84" i="4"/>
  <c r="AE84" i="4"/>
  <c r="N84" i="4"/>
  <c r="M84" i="4"/>
  <c r="L84" i="4"/>
  <c r="K84" i="4"/>
  <c r="J84" i="4"/>
  <c r="G84" i="4"/>
  <c r="AJ83" i="4"/>
  <c r="AE83" i="4"/>
  <c r="N83" i="4"/>
  <c r="M83" i="4"/>
  <c r="L83" i="4"/>
  <c r="K83" i="4"/>
  <c r="J83" i="4"/>
  <c r="G83" i="4"/>
  <c r="AJ82" i="4"/>
  <c r="AE82" i="4"/>
  <c r="N82" i="4"/>
  <c r="M82" i="4"/>
  <c r="L82" i="4"/>
  <c r="K82" i="4"/>
  <c r="J82" i="4"/>
  <c r="G82" i="4"/>
  <c r="AJ81" i="4"/>
  <c r="AE81" i="4"/>
  <c r="N81" i="4"/>
  <c r="M81" i="4"/>
  <c r="L81" i="4"/>
  <c r="K81" i="4"/>
  <c r="J81" i="4"/>
  <c r="G81" i="4"/>
  <c r="AJ80" i="4"/>
  <c r="AE80" i="4"/>
  <c r="N80" i="4"/>
  <c r="M80" i="4"/>
  <c r="L80" i="4"/>
  <c r="K80" i="4"/>
  <c r="J80" i="4"/>
  <c r="G80" i="4"/>
  <c r="AJ79" i="4"/>
  <c r="AE79" i="4"/>
  <c r="N79" i="4"/>
  <c r="M79" i="4"/>
  <c r="L79" i="4"/>
  <c r="K79" i="4"/>
  <c r="J79" i="4"/>
  <c r="G79" i="4"/>
  <c r="AJ78" i="4"/>
  <c r="AE78" i="4"/>
  <c r="N78" i="4"/>
  <c r="M78" i="4"/>
  <c r="L78" i="4"/>
  <c r="K78" i="4"/>
  <c r="J78" i="4"/>
  <c r="G78" i="4"/>
  <c r="AJ77" i="4"/>
  <c r="AE77" i="4"/>
  <c r="N77" i="4"/>
  <c r="M77" i="4"/>
  <c r="L77" i="4"/>
  <c r="K77" i="4"/>
  <c r="J77" i="4"/>
  <c r="G77" i="4"/>
  <c r="AJ76" i="4"/>
  <c r="AE76" i="4"/>
  <c r="N76" i="4"/>
  <c r="M76" i="4"/>
  <c r="L76" i="4"/>
  <c r="K76" i="4"/>
  <c r="J76" i="4"/>
  <c r="G76" i="4"/>
  <c r="AJ75" i="4"/>
  <c r="AE75" i="4"/>
  <c r="N75" i="4"/>
  <c r="M75" i="4"/>
  <c r="L75" i="4"/>
  <c r="K75" i="4"/>
  <c r="J75" i="4"/>
  <c r="G75" i="4"/>
  <c r="AJ74" i="4"/>
  <c r="AE74" i="4"/>
  <c r="N74" i="4"/>
  <c r="M74" i="4"/>
  <c r="L74" i="4"/>
  <c r="K74" i="4"/>
  <c r="J74" i="4"/>
  <c r="G74" i="4"/>
  <c r="AJ73" i="4"/>
  <c r="AE73" i="4"/>
  <c r="N73" i="4"/>
  <c r="M73" i="4"/>
  <c r="L73" i="4"/>
  <c r="K73" i="4"/>
  <c r="J73" i="4"/>
  <c r="G73" i="4"/>
  <c r="AJ72" i="4"/>
  <c r="AE72" i="4"/>
  <c r="N72" i="4"/>
  <c r="M72" i="4"/>
  <c r="L72" i="4"/>
  <c r="K72" i="4"/>
  <c r="J72" i="4"/>
  <c r="G72" i="4"/>
  <c r="AJ71" i="4"/>
  <c r="AE71" i="4"/>
  <c r="N71" i="4"/>
  <c r="M71" i="4"/>
  <c r="L71" i="4"/>
  <c r="K71" i="4"/>
  <c r="J71" i="4"/>
  <c r="G71" i="4"/>
  <c r="AJ70" i="4"/>
  <c r="AE70" i="4"/>
  <c r="N70" i="4"/>
  <c r="M70" i="4"/>
  <c r="L70" i="4"/>
  <c r="K70" i="4"/>
  <c r="J70" i="4"/>
  <c r="G70" i="4"/>
  <c r="AJ69" i="4"/>
  <c r="AE69" i="4"/>
  <c r="N69" i="4"/>
  <c r="M69" i="4"/>
  <c r="L69" i="4"/>
  <c r="K69" i="4"/>
  <c r="J69" i="4"/>
  <c r="G69" i="4"/>
  <c r="AJ68" i="4"/>
  <c r="AE68" i="4"/>
  <c r="N68" i="4"/>
  <c r="M68" i="4"/>
  <c r="L68" i="4"/>
  <c r="K68" i="4"/>
  <c r="J68" i="4"/>
  <c r="G68" i="4"/>
  <c r="AJ67" i="4"/>
  <c r="AE67" i="4"/>
  <c r="N67" i="4"/>
  <c r="M67" i="4"/>
  <c r="L67" i="4"/>
  <c r="K67" i="4"/>
  <c r="J67" i="4"/>
  <c r="G67" i="4"/>
  <c r="AJ66" i="4"/>
  <c r="AE66" i="4"/>
  <c r="N66" i="4"/>
  <c r="M66" i="4"/>
  <c r="L66" i="4"/>
  <c r="K66" i="4"/>
  <c r="J66" i="4"/>
  <c r="G66" i="4"/>
  <c r="AE65" i="4"/>
  <c r="N65" i="4"/>
  <c r="M65" i="4"/>
  <c r="L65" i="4"/>
  <c r="K65" i="4"/>
  <c r="J65" i="4"/>
  <c r="G65" i="4"/>
  <c r="AE64" i="4"/>
  <c r="N64" i="4"/>
  <c r="M64" i="4"/>
  <c r="L64" i="4"/>
  <c r="K64" i="4"/>
  <c r="J64" i="4"/>
  <c r="G64" i="4"/>
  <c r="AE63" i="4"/>
  <c r="N63" i="4"/>
  <c r="M63" i="4"/>
  <c r="L63" i="4"/>
  <c r="K63" i="4"/>
  <c r="J63" i="4"/>
  <c r="G63" i="4"/>
  <c r="AE62" i="4"/>
  <c r="N62" i="4"/>
  <c r="M62" i="4"/>
  <c r="L62" i="4"/>
  <c r="K62" i="4"/>
  <c r="J62" i="4"/>
  <c r="G62" i="4"/>
  <c r="AE61" i="4"/>
  <c r="N61" i="4"/>
  <c r="M61" i="4"/>
  <c r="L61" i="4"/>
  <c r="K61" i="4"/>
  <c r="J61" i="4"/>
  <c r="G61" i="4"/>
  <c r="AE60" i="4"/>
  <c r="N60" i="4"/>
  <c r="M60" i="4"/>
  <c r="L60" i="4"/>
  <c r="K60" i="4"/>
  <c r="J60" i="4"/>
  <c r="G60" i="4"/>
  <c r="AE59" i="4"/>
  <c r="N59" i="4"/>
  <c r="M59" i="4"/>
  <c r="L59" i="4"/>
  <c r="K59" i="4"/>
  <c r="J59" i="4"/>
  <c r="G59" i="4"/>
  <c r="AE58" i="4"/>
  <c r="N58" i="4"/>
  <c r="M58" i="4"/>
  <c r="L58" i="4"/>
  <c r="K58" i="4"/>
  <c r="J58" i="4"/>
  <c r="G58" i="4"/>
  <c r="AE57" i="4"/>
  <c r="N57" i="4"/>
  <c r="M57" i="4"/>
  <c r="L57" i="4"/>
  <c r="K57" i="4"/>
  <c r="J57" i="4"/>
  <c r="G57" i="4"/>
  <c r="AE56" i="4"/>
  <c r="N56" i="4"/>
  <c r="M56" i="4"/>
  <c r="L56" i="4"/>
  <c r="K56" i="4"/>
  <c r="J56" i="4"/>
  <c r="G56" i="4"/>
  <c r="AE55" i="4"/>
  <c r="N55" i="4"/>
  <c r="M55" i="4"/>
  <c r="L55" i="4"/>
  <c r="K55" i="4"/>
  <c r="J55" i="4"/>
  <c r="G55" i="4"/>
  <c r="AE54" i="4"/>
  <c r="N54" i="4"/>
  <c r="M54" i="4"/>
  <c r="L54" i="4"/>
  <c r="K54" i="4"/>
  <c r="J54" i="4"/>
  <c r="G54" i="4"/>
  <c r="AE53" i="4"/>
  <c r="N53" i="4"/>
  <c r="M53" i="4"/>
  <c r="L53" i="4"/>
  <c r="K53" i="4"/>
  <c r="J53" i="4"/>
  <c r="G53" i="4"/>
  <c r="AE52" i="4"/>
  <c r="N52" i="4"/>
  <c r="M52" i="4"/>
  <c r="L52" i="4"/>
  <c r="K52" i="4"/>
  <c r="J52" i="4"/>
  <c r="G52" i="4"/>
  <c r="AE51" i="4"/>
  <c r="N51" i="4"/>
  <c r="M51" i="4"/>
  <c r="L51" i="4"/>
  <c r="K51" i="4"/>
  <c r="J51" i="4"/>
  <c r="G51" i="4"/>
  <c r="AE50" i="4"/>
  <c r="N50" i="4"/>
  <c r="M50" i="4"/>
  <c r="L50" i="4"/>
  <c r="K50" i="4"/>
  <c r="J50" i="4"/>
  <c r="G50" i="4"/>
  <c r="AE49" i="4"/>
  <c r="N49" i="4"/>
  <c r="M49" i="4"/>
  <c r="L49" i="4"/>
  <c r="K49" i="4"/>
  <c r="J49" i="4"/>
  <c r="G49" i="4"/>
  <c r="AE48" i="4"/>
  <c r="N48" i="4"/>
  <c r="M48" i="4"/>
  <c r="L48" i="4"/>
  <c r="K48" i="4"/>
  <c r="J48" i="4"/>
  <c r="G48" i="4"/>
  <c r="AE47" i="4"/>
  <c r="N47" i="4"/>
  <c r="M47" i="4"/>
  <c r="L47" i="4"/>
  <c r="K47" i="4"/>
  <c r="J47" i="4"/>
  <c r="G47" i="4"/>
  <c r="AE46" i="4"/>
  <c r="N46" i="4"/>
  <c r="M46" i="4"/>
  <c r="L46" i="4"/>
  <c r="K46" i="4"/>
  <c r="J46" i="4"/>
  <c r="G46" i="4"/>
  <c r="AE45" i="4"/>
  <c r="N45" i="4"/>
  <c r="M45" i="4"/>
  <c r="L45" i="4"/>
  <c r="K45" i="4"/>
  <c r="J45" i="4"/>
  <c r="G45" i="4"/>
  <c r="AE44" i="4"/>
  <c r="N44" i="4"/>
  <c r="M44" i="4"/>
  <c r="L44" i="4"/>
  <c r="K44" i="4"/>
  <c r="J44" i="4"/>
  <c r="G44" i="4"/>
  <c r="AE43" i="4"/>
  <c r="N43" i="4"/>
  <c r="M43" i="4"/>
  <c r="L43" i="4"/>
  <c r="K43" i="4"/>
  <c r="J43" i="4"/>
  <c r="G43" i="4"/>
  <c r="AE42" i="4"/>
  <c r="N42" i="4"/>
  <c r="M42" i="4"/>
  <c r="L42" i="4"/>
  <c r="K42" i="4"/>
  <c r="J42" i="4"/>
  <c r="G42" i="4"/>
  <c r="AE41" i="4"/>
  <c r="N41" i="4"/>
  <c r="M41" i="4"/>
  <c r="L41" i="4"/>
  <c r="K41" i="4"/>
  <c r="J41" i="4"/>
  <c r="G41" i="4"/>
  <c r="AE40" i="4"/>
  <c r="N40" i="4"/>
  <c r="M40" i="4"/>
  <c r="L40" i="4"/>
  <c r="K40" i="4"/>
  <c r="J40" i="4"/>
  <c r="G40" i="4"/>
  <c r="AE39" i="4"/>
  <c r="N39" i="4"/>
  <c r="M39" i="4"/>
  <c r="L39" i="4"/>
  <c r="K39" i="4"/>
  <c r="J39" i="4"/>
  <c r="G39" i="4"/>
  <c r="AE38" i="4"/>
  <c r="N38" i="4"/>
  <c r="M38" i="4"/>
  <c r="L38" i="4"/>
  <c r="K38" i="4"/>
  <c r="J38" i="4"/>
  <c r="G38" i="4"/>
  <c r="AE37" i="4"/>
  <c r="N37" i="4"/>
  <c r="M37" i="4"/>
  <c r="L37" i="4"/>
  <c r="K37" i="4"/>
  <c r="J37" i="4"/>
  <c r="G37" i="4"/>
  <c r="AE36" i="4"/>
  <c r="N36" i="4"/>
  <c r="M36" i="4"/>
  <c r="L36" i="4"/>
  <c r="K36" i="4"/>
  <c r="J36" i="4"/>
  <c r="G36" i="4"/>
  <c r="AE35" i="4"/>
  <c r="N35" i="4"/>
  <c r="M35" i="4"/>
  <c r="L35" i="4"/>
  <c r="K35" i="4"/>
  <c r="J35" i="4"/>
  <c r="G35" i="4"/>
  <c r="AE34" i="4"/>
  <c r="N34" i="4"/>
  <c r="M34" i="4"/>
  <c r="L34" i="4"/>
  <c r="K34" i="4"/>
  <c r="J34" i="4"/>
  <c r="G34" i="4"/>
  <c r="AE33" i="4"/>
  <c r="N33" i="4"/>
  <c r="M33" i="4"/>
  <c r="L33" i="4"/>
  <c r="K33" i="4"/>
  <c r="J33" i="4"/>
  <c r="G33" i="4"/>
  <c r="AE32" i="4"/>
  <c r="N32" i="4"/>
  <c r="M32" i="4"/>
  <c r="L32" i="4"/>
  <c r="K32" i="4"/>
  <c r="J32" i="4"/>
  <c r="G32" i="4"/>
  <c r="AE31" i="4"/>
  <c r="N31" i="4"/>
  <c r="M31" i="4"/>
  <c r="L31" i="4"/>
  <c r="K31" i="4"/>
  <c r="J31" i="4"/>
  <c r="G31" i="4"/>
  <c r="AE30" i="4"/>
  <c r="N30" i="4"/>
  <c r="M30" i="4"/>
  <c r="L30" i="4"/>
  <c r="K30" i="4"/>
  <c r="J30" i="4"/>
  <c r="G30" i="4"/>
  <c r="AE29" i="4"/>
  <c r="N29" i="4"/>
  <c r="M29" i="4"/>
  <c r="L29" i="4"/>
  <c r="K29" i="4"/>
  <c r="J29" i="4"/>
  <c r="G29" i="4"/>
  <c r="AE28" i="4"/>
  <c r="N28" i="4"/>
  <c r="M28" i="4"/>
  <c r="L28" i="4"/>
  <c r="K28" i="4"/>
  <c r="J28" i="4"/>
  <c r="G28" i="4"/>
  <c r="AE27" i="4"/>
  <c r="N27" i="4"/>
  <c r="M27" i="4"/>
  <c r="L27" i="4"/>
  <c r="K27" i="4"/>
  <c r="J27" i="4"/>
  <c r="G27" i="4"/>
  <c r="AE26" i="4"/>
  <c r="N26" i="4"/>
  <c r="M26" i="4"/>
  <c r="L26" i="4"/>
  <c r="K26" i="4"/>
  <c r="J26" i="4"/>
  <c r="G26" i="4"/>
  <c r="AJ25" i="4"/>
  <c r="AJ31" i="4" s="1"/>
  <c r="AJ37" i="4" s="1"/>
  <c r="AJ43" i="4" s="1"/>
  <c r="AJ49" i="4" s="1"/>
  <c r="AJ55" i="4" s="1"/>
  <c r="AJ61" i="4" s="1"/>
  <c r="AE25" i="4"/>
  <c r="O25" i="4"/>
  <c r="N25" i="4"/>
  <c r="M25" i="4"/>
  <c r="L25" i="4"/>
  <c r="K25" i="4"/>
  <c r="J25" i="4"/>
  <c r="G25" i="4"/>
  <c r="AE24" i="4"/>
  <c r="O24" i="4"/>
  <c r="N24" i="4"/>
  <c r="M24" i="4"/>
  <c r="L24" i="4"/>
  <c r="K24" i="4"/>
  <c r="J24" i="4"/>
  <c r="G24" i="4"/>
  <c r="AJ23" i="4"/>
  <c r="AJ29" i="4" s="1"/>
  <c r="AJ35" i="4" s="1"/>
  <c r="AJ41" i="4" s="1"/>
  <c r="AJ47" i="4" s="1"/>
  <c r="AJ53" i="4" s="1"/>
  <c r="AJ59" i="4" s="1"/>
  <c r="AJ65" i="4" s="1"/>
  <c r="AE23" i="4"/>
  <c r="O23" i="4"/>
  <c r="N23" i="4"/>
  <c r="M23" i="4"/>
  <c r="L23" i="4"/>
  <c r="K23" i="4"/>
  <c r="J23" i="4"/>
  <c r="G23" i="4"/>
  <c r="AE22" i="4"/>
  <c r="O22" i="4"/>
  <c r="N22" i="4"/>
  <c r="M22" i="4"/>
  <c r="L22" i="4"/>
  <c r="K22" i="4"/>
  <c r="J22" i="4"/>
  <c r="G22" i="4"/>
  <c r="AJ21" i="4"/>
  <c r="AJ27" i="4" s="1"/>
  <c r="AJ33" i="4" s="1"/>
  <c r="AJ39" i="4" s="1"/>
  <c r="AJ45" i="4" s="1"/>
  <c r="AJ51" i="4" s="1"/>
  <c r="AJ57" i="4" s="1"/>
  <c r="AJ63" i="4" s="1"/>
  <c r="AE21" i="4"/>
  <c r="O21" i="4"/>
  <c r="N21" i="4"/>
  <c r="M21" i="4"/>
  <c r="L21" i="4"/>
  <c r="K21" i="4"/>
  <c r="J21" i="4"/>
  <c r="G21" i="4"/>
  <c r="AE20" i="4"/>
  <c r="O20" i="4"/>
  <c r="N20" i="4"/>
  <c r="M20" i="4"/>
  <c r="L20" i="4"/>
  <c r="K20" i="4"/>
  <c r="J20" i="4"/>
  <c r="G20" i="4"/>
  <c r="AJ19" i="4"/>
  <c r="AE19" i="4"/>
  <c r="O19" i="4"/>
  <c r="N19" i="4"/>
  <c r="M19" i="4"/>
  <c r="L19" i="4"/>
  <c r="K19" i="4"/>
  <c r="J19" i="4"/>
  <c r="G19" i="4"/>
  <c r="AE18" i="4"/>
  <c r="O18" i="4"/>
  <c r="N18" i="4"/>
  <c r="M18" i="4"/>
  <c r="L18" i="4"/>
  <c r="K18" i="4"/>
  <c r="J18" i="4"/>
  <c r="G18" i="4"/>
  <c r="AJ17" i="4"/>
  <c r="AE17" i="4"/>
  <c r="O17" i="4"/>
  <c r="N17" i="4"/>
  <c r="M17" i="4"/>
  <c r="L17" i="4"/>
  <c r="K17" i="4"/>
  <c r="J17" i="4"/>
  <c r="G17" i="4"/>
  <c r="AJ16" i="4"/>
  <c r="AJ22" i="4" s="1"/>
  <c r="AJ28" i="4" s="1"/>
  <c r="AJ34" i="4" s="1"/>
  <c r="AJ40" i="4" s="1"/>
  <c r="AJ46" i="4" s="1"/>
  <c r="AJ52" i="4" s="1"/>
  <c r="AJ58" i="4" s="1"/>
  <c r="AJ64" i="4" s="1"/>
  <c r="AE16" i="4"/>
  <c r="O16" i="4"/>
  <c r="N16" i="4"/>
  <c r="M16" i="4"/>
  <c r="L16" i="4"/>
  <c r="K16" i="4"/>
  <c r="J16" i="4"/>
  <c r="AJ15" i="4"/>
  <c r="AE15" i="4"/>
  <c r="R15" i="4"/>
  <c r="N15" i="4"/>
  <c r="M15" i="4"/>
  <c r="L15" i="4"/>
  <c r="K15" i="4"/>
  <c r="J15" i="4"/>
  <c r="AJ14" i="4"/>
  <c r="AJ20" i="4" s="1"/>
  <c r="AJ26" i="4" s="1"/>
  <c r="AJ32" i="4" s="1"/>
  <c r="AJ38" i="4" s="1"/>
  <c r="AJ44" i="4" s="1"/>
  <c r="AJ50" i="4" s="1"/>
  <c r="AJ56" i="4" s="1"/>
  <c r="AJ62" i="4" s="1"/>
  <c r="AE14" i="4"/>
  <c r="R14" i="4"/>
  <c r="N14" i="4"/>
  <c r="M14" i="4"/>
  <c r="L14" i="4"/>
  <c r="K14" i="4"/>
  <c r="J14" i="4"/>
  <c r="AJ13" i="4"/>
  <c r="AE13" i="4"/>
  <c r="R13" i="4"/>
  <c r="N13" i="4"/>
  <c r="M13" i="4"/>
  <c r="L13" i="4"/>
  <c r="K13" i="4"/>
  <c r="J13" i="4"/>
  <c r="AJ12" i="4"/>
  <c r="AJ18" i="4" s="1"/>
  <c r="AJ24" i="4" s="1"/>
  <c r="AJ30" i="4" s="1"/>
  <c r="AJ36" i="4" s="1"/>
  <c r="AJ42" i="4" s="1"/>
  <c r="AJ48" i="4" s="1"/>
  <c r="AJ54" i="4" s="1"/>
  <c r="AJ60" i="4" s="1"/>
  <c r="AE12" i="4"/>
  <c r="R12" i="4"/>
  <c r="N12" i="4"/>
  <c r="M12" i="4"/>
  <c r="L12" i="4"/>
  <c r="K12" i="4"/>
  <c r="J12" i="4"/>
  <c r="AE11" i="4"/>
  <c r="R11" i="4"/>
  <c r="N11" i="4"/>
  <c r="M11" i="4"/>
  <c r="L11" i="4"/>
  <c r="K11" i="4"/>
  <c r="J11" i="4"/>
  <c r="AE10" i="4"/>
  <c r="R10" i="4"/>
  <c r="N10" i="4"/>
  <c r="M10" i="4"/>
  <c r="L10" i="4"/>
  <c r="K10" i="4"/>
  <c r="J10" i="4"/>
  <c r="AE9" i="4"/>
  <c r="R9" i="4"/>
  <c r="N9" i="4"/>
  <c r="M9" i="4"/>
  <c r="L9" i="4"/>
  <c r="K9" i="4"/>
  <c r="J9" i="4"/>
  <c r="AE8" i="4"/>
  <c r="R8" i="4"/>
  <c r="N8" i="4"/>
  <c r="M8" i="4"/>
  <c r="L8" i="4"/>
  <c r="K8" i="4"/>
  <c r="J8" i="4"/>
  <c r="AE7" i="4"/>
  <c r="R7" i="4"/>
  <c r="N7" i="4"/>
  <c r="M7" i="4"/>
  <c r="L7" i="4"/>
  <c r="K7" i="4"/>
  <c r="J7" i="4"/>
  <c r="I7" i="4"/>
  <c r="I8" i="4" s="1"/>
  <c r="I9" i="4" s="1"/>
  <c r="I10" i="4" s="1"/>
  <c r="I11" i="4" s="1"/>
  <c r="I12" i="4" s="1"/>
  <c r="I13" i="4" s="1"/>
  <c r="I14" i="4" s="1"/>
  <c r="I15" i="4" s="1"/>
  <c r="AE6" i="4"/>
  <c r="N6" i="4"/>
  <c r="M6" i="4"/>
  <c r="L6" i="4"/>
  <c r="K6" i="4"/>
  <c r="J6" i="4"/>
  <c r="T42" i="1"/>
  <c r="S42" i="1"/>
  <c r="R42" i="1"/>
  <c r="Q42" i="1"/>
  <c r="P42" i="1"/>
  <c r="O42" i="1"/>
  <c r="N42" i="1"/>
  <c r="M42" i="1"/>
  <c r="L42" i="1"/>
  <c r="K42" i="1"/>
  <c r="J42" i="1"/>
  <c r="I42" i="1"/>
  <c r="H42" i="1"/>
  <c r="G42" i="1"/>
  <c r="E42" i="1"/>
  <c r="D42" i="1"/>
  <c r="T41" i="1"/>
  <c r="S41" i="1"/>
  <c r="R41" i="1"/>
  <c r="Q41" i="1"/>
  <c r="P41" i="1"/>
  <c r="O41" i="1"/>
  <c r="N41" i="1"/>
  <c r="M41" i="1"/>
  <c r="L41" i="1"/>
  <c r="K41" i="1"/>
  <c r="J41" i="1"/>
  <c r="I41" i="1"/>
  <c r="H41" i="1"/>
  <c r="G41" i="1"/>
  <c r="F41" i="1"/>
  <c r="E41" i="1"/>
  <c r="D41" i="1"/>
  <c r="AF40" i="1"/>
  <c r="AD40" i="1"/>
  <c r="T40" i="1"/>
  <c r="S40" i="1"/>
  <c r="R40" i="1"/>
  <c r="Q40" i="1"/>
  <c r="P40" i="1"/>
  <c r="O40" i="1"/>
  <c r="N40" i="1"/>
  <c r="M40" i="1"/>
  <c r="L40" i="1"/>
  <c r="K40" i="1"/>
  <c r="J40" i="1"/>
  <c r="I40" i="1"/>
  <c r="H40" i="1"/>
  <c r="G40" i="1"/>
  <c r="F40" i="1"/>
  <c r="E40" i="1"/>
  <c r="D40" i="1"/>
  <c r="AF39" i="1"/>
  <c r="AD39" i="1"/>
  <c r="T39" i="1"/>
  <c r="S39" i="1"/>
  <c r="R39" i="1"/>
  <c r="Q39" i="1"/>
  <c r="P39" i="1"/>
  <c r="O39" i="1"/>
  <c r="N39" i="1"/>
  <c r="M39" i="1"/>
  <c r="L39" i="1"/>
  <c r="K39" i="1"/>
  <c r="J39" i="1"/>
  <c r="I39" i="1"/>
  <c r="H39" i="1"/>
  <c r="G39" i="1"/>
  <c r="E39" i="1"/>
  <c r="D39" i="1"/>
  <c r="AF38" i="1"/>
  <c r="AD38" i="1"/>
  <c r="T38" i="1"/>
  <c r="S38" i="1"/>
  <c r="R38" i="1"/>
  <c r="Q38" i="1"/>
  <c r="P38" i="1"/>
  <c r="O38" i="1"/>
  <c r="N38" i="1"/>
  <c r="M38" i="1"/>
  <c r="L38" i="1"/>
  <c r="K38" i="1"/>
  <c r="J38" i="1"/>
  <c r="I38" i="1"/>
  <c r="H38" i="1"/>
  <c r="G38" i="1"/>
  <c r="F38" i="1"/>
  <c r="E38" i="1"/>
  <c r="D38" i="1"/>
  <c r="AF37" i="1"/>
  <c r="AD37" i="1"/>
  <c r="T37" i="1"/>
  <c r="S37" i="1"/>
  <c r="R37" i="1"/>
  <c r="Q37" i="1"/>
  <c r="P37" i="1"/>
  <c r="O37" i="1"/>
  <c r="N37" i="1"/>
  <c r="M37" i="1"/>
  <c r="L37" i="1"/>
  <c r="K37" i="1"/>
  <c r="J37" i="1"/>
  <c r="I37" i="1"/>
  <c r="H37" i="1"/>
  <c r="G37" i="1"/>
  <c r="F37" i="1"/>
  <c r="E37" i="1"/>
  <c r="D37" i="1"/>
  <c r="AF36" i="1"/>
  <c r="AD36" i="1"/>
  <c r="T36" i="1"/>
  <c r="S36" i="1"/>
  <c r="R36" i="1"/>
  <c r="Q36" i="1"/>
  <c r="P36" i="1"/>
  <c r="O36" i="1"/>
  <c r="N36" i="1"/>
  <c r="M36" i="1"/>
  <c r="L36" i="1"/>
  <c r="K36" i="1"/>
  <c r="J36" i="1"/>
  <c r="I36" i="1"/>
  <c r="H36" i="1"/>
  <c r="G36" i="1"/>
  <c r="F36" i="1"/>
  <c r="E36" i="1"/>
  <c r="D36" i="1"/>
  <c r="AF35" i="1"/>
  <c r="AD35" i="1"/>
  <c r="T35" i="1"/>
  <c r="S35" i="1"/>
  <c r="R35" i="1"/>
  <c r="Q35" i="1"/>
  <c r="P35" i="1"/>
  <c r="O35" i="1"/>
  <c r="N35" i="1"/>
  <c r="M35" i="1"/>
  <c r="L35" i="1"/>
  <c r="K35" i="1"/>
  <c r="J35" i="1"/>
  <c r="I35" i="1"/>
  <c r="H35" i="1"/>
  <c r="G35" i="1"/>
  <c r="E35" i="1"/>
  <c r="AF34" i="1"/>
  <c r="AD34" i="1"/>
  <c r="R34" i="1"/>
  <c r="Q34" i="1"/>
  <c r="P34" i="1"/>
  <c r="O34" i="1"/>
  <c r="N34" i="1"/>
  <c r="M34" i="1"/>
  <c r="L34" i="1"/>
  <c r="K34" i="1"/>
  <c r="J34" i="1"/>
  <c r="I34" i="1"/>
  <c r="H34" i="1"/>
  <c r="G34" i="1"/>
  <c r="AF33" i="1"/>
  <c r="AD33" i="1"/>
  <c r="R33" i="1"/>
  <c r="Q33" i="1"/>
  <c r="P33" i="1"/>
  <c r="O33" i="1"/>
  <c r="N33" i="1"/>
  <c r="M33" i="1"/>
  <c r="L33" i="1"/>
  <c r="K33" i="1"/>
  <c r="J33" i="1"/>
  <c r="I33" i="1"/>
  <c r="H33" i="1"/>
  <c r="G33" i="1"/>
  <c r="R32" i="1"/>
  <c r="Q32" i="1"/>
  <c r="P32" i="1"/>
  <c r="O32" i="1"/>
  <c r="N32" i="1"/>
  <c r="M32" i="1"/>
  <c r="L32" i="1"/>
  <c r="K32" i="1"/>
  <c r="J32" i="1"/>
  <c r="I32" i="1"/>
  <c r="H32" i="1"/>
  <c r="G32" i="1"/>
  <c r="R31" i="1"/>
  <c r="Q31" i="1"/>
  <c r="P31" i="1"/>
  <c r="O31" i="1"/>
  <c r="N31" i="1"/>
  <c r="M31" i="1"/>
  <c r="L31" i="1"/>
  <c r="K31" i="1"/>
  <c r="J31" i="1"/>
  <c r="I31" i="1"/>
  <c r="H31" i="1"/>
  <c r="G31" i="1"/>
  <c r="U30" i="1"/>
  <c r="R29" i="1"/>
  <c r="Q29" i="1"/>
  <c r="P29" i="1"/>
  <c r="O29" i="1"/>
  <c r="N29" i="1"/>
  <c r="M29" i="1"/>
  <c r="L29" i="1"/>
  <c r="K29" i="1"/>
  <c r="J29" i="1"/>
  <c r="I29" i="1"/>
  <c r="H29" i="1"/>
  <c r="G29" i="1"/>
  <c r="U28" i="1"/>
  <c r="U27" i="1"/>
  <c r="R27" i="1"/>
  <c r="Q27" i="1"/>
  <c r="P27" i="1"/>
  <c r="O27" i="1"/>
  <c r="N27" i="1"/>
  <c r="M27" i="1"/>
  <c r="L27" i="1"/>
  <c r="K27" i="1"/>
  <c r="J27" i="1"/>
  <c r="I27" i="1"/>
  <c r="H27" i="1"/>
  <c r="G27" i="1"/>
  <c r="R26" i="1"/>
  <c r="Q26" i="1"/>
  <c r="P26" i="1"/>
  <c r="O26" i="1"/>
  <c r="N26" i="1"/>
  <c r="M26" i="1"/>
  <c r="L26" i="1"/>
  <c r="K26" i="1"/>
  <c r="J26" i="1"/>
  <c r="I26" i="1"/>
  <c r="H26" i="1"/>
  <c r="G26" i="1"/>
  <c r="U25" i="1"/>
  <c r="R24" i="1"/>
  <c r="Q24" i="1"/>
  <c r="P24" i="1"/>
  <c r="O24" i="1"/>
  <c r="N24" i="1"/>
  <c r="M24" i="1"/>
  <c r="L24" i="1"/>
  <c r="K24" i="1"/>
  <c r="J24" i="1"/>
  <c r="I24" i="1"/>
  <c r="H24" i="1"/>
  <c r="G24" i="1"/>
  <c r="U23" i="1"/>
  <c r="U22" i="1"/>
  <c r="R22" i="1"/>
  <c r="Q22" i="1"/>
  <c r="P22" i="1"/>
  <c r="O22" i="1"/>
  <c r="N22" i="1"/>
  <c r="M22" i="1"/>
  <c r="L22" i="1"/>
  <c r="K22" i="1"/>
  <c r="J22" i="1"/>
  <c r="I22" i="1"/>
  <c r="H22" i="1"/>
  <c r="G22" i="1"/>
  <c r="R21" i="1"/>
  <c r="Q21" i="1"/>
  <c r="P21" i="1"/>
  <c r="O21" i="1"/>
  <c r="N21" i="1"/>
  <c r="M21" i="1"/>
  <c r="L21" i="1"/>
  <c r="K21" i="1"/>
  <c r="J21" i="1"/>
  <c r="I21" i="1"/>
  <c r="H21" i="1"/>
  <c r="G21" i="1"/>
  <c r="T20" i="1"/>
  <c r="R20" i="1"/>
  <c r="Q20" i="1"/>
  <c r="P20" i="1"/>
  <c r="O20" i="1"/>
  <c r="N20" i="1"/>
  <c r="M20" i="1"/>
  <c r="L20" i="1"/>
  <c r="K20" i="1"/>
  <c r="J20" i="1"/>
  <c r="I20" i="1"/>
  <c r="H20" i="1"/>
  <c r="G20" i="1"/>
  <c r="T19" i="1"/>
  <c r="R19" i="1"/>
  <c r="Q19" i="1"/>
  <c r="P19" i="1"/>
  <c r="O19" i="1"/>
  <c r="N19" i="1"/>
  <c r="M19" i="1"/>
  <c r="L19" i="1"/>
  <c r="K19" i="1"/>
  <c r="J19" i="1"/>
  <c r="I19" i="1"/>
  <c r="H19" i="1"/>
  <c r="G19" i="1"/>
  <c r="T18" i="1"/>
  <c r="R18" i="1"/>
  <c r="Q18" i="1"/>
  <c r="P18" i="1"/>
  <c r="O18" i="1"/>
  <c r="N18" i="1"/>
  <c r="M18" i="1"/>
  <c r="L18" i="1"/>
  <c r="K18" i="1"/>
  <c r="J18" i="1"/>
  <c r="I18" i="1"/>
  <c r="H18" i="1"/>
  <c r="G18" i="1"/>
  <c r="T17" i="1"/>
  <c r="R17" i="1"/>
  <c r="Q17" i="1"/>
  <c r="P17" i="1"/>
  <c r="O17" i="1"/>
  <c r="N17" i="1"/>
  <c r="M17" i="1"/>
  <c r="L17" i="1"/>
  <c r="K17" i="1"/>
  <c r="J17" i="1"/>
  <c r="I17" i="1"/>
  <c r="H17" i="1"/>
  <c r="G17" i="1"/>
  <c r="T16" i="1"/>
  <c r="R16" i="1"/>
  <c r="Q16" i="1"/>
  <c r="P16" i="1"/>
  <c r="O16" i="1"/>
  <c r="N16" i="1"/>
  <c r="M16" i="1"/>
  <c r="L16" i="1"/>
  <c r="K16" i="1"/>
  <c r="J16" i="1"/>
  <c r="I16" i="1"/>
  <c r="H16" i="1"/>
  <c r="G16" i="1"/>
  <c r="T15" i="1"/>
  <c r="R15" i="1"/>
  <c r="Q15" i="1"/>
  <c r="P15" i="1"/>
  <c r="O15" i="1"/>
  <c r="N15" i="1"/>
  <c r="M15" i="1"/>
  <c r="L15" i="1"/>
  <c r="K15" i="1"/>
  <c r="J15" i="1"/>
  <c r="I15" i="1"/>
  <c r="H15" i="1"/>
  <c r="G15" i="1"/>
  <c r="T14" i="1"/>
  <c r="R14" i="1"/>
  <c r="Q14" i="1"/>
  <c r="P14" i="1"/>
  <c r="O14" i="1"/>
  <c r="N14" i="1"/>
  <c r="M14" i="1"/>
  <c r="L14" i="1"/>
  <c r="K14" i="1"/>
  <c r="J14" i="1"/>
  <c r="I14" i="1"/>
  <c r="H14" i="1"/>
  <c r="G14" i="1"/>
  <c r="T13" i="1"/>
  <c r="R13" i="1"/>
  <c r="Q13" i="1"/>
  <c r="P13" i="1"/>
  <c r="O13" i="1"/>
  <c r="N13" i="1"/>
  <c r="M13" i="1"/>
  <c r="L13" i="1"/>
  <c r="K13" i="1"/>
  <c r="J13" i="1"/>
  <c r="I13" i="1"/>
  <c r="H13" i="1"/>
  <c r="G13" i="1"/>
  <c r="T12" i="1"/>
  <c r="R12" i="1"/>
  <c r="Q12" i="1"/>
  <c r="P12" i="1"/>
  <c r="O12" i="1"/>
  <c r="N12" i="1"/>
  <c r="M12" i="1"/>
  <c r="L12" i="1"/>
  <c r="K12" i="1"/>
  <c r="J12" i="1"/>
  <c r="I12" i="1"/>
  <c r="H12" i="1"/>
  <c r="G12" i="1"/>
  <c r="T11" i="1"/>
  <c r="R11" i="1"/>
  <c r="Q11" i="1"/>
  <c r="P11" i="1"/>
  <c r="O11" i="1"/>
  <c r="N11" i="1"/>
  <c r="M11" i="1"/>
  <c r="L11" i="1"/>
  <c r="K11" i="1"/>
  <c r="J11" i="1"/>
  <c r="I11" i="1"/>
  <c r="H11" i="1"/>
  <c r="T10" i="1"/>
  <c r="R10" i="1"/>
  <c r="Q10" i="1"/>
  <c r="P10" i="1"/>
  <c r="O10" i="1"/>
  <c r="N10" i="1"/>
  <c r="M10" i="1"/>
  <c r="L10" i="1"/>
  <c r="K10" i="1"/>
  <c r="J10" i="1"/>
  <c r="I10" i="1"/>
  <c r="H10" i="1"/>
  <c r="G10" i="1"/>
  <c r="T9" i="1"/>
  <c r="R9" i="1"/>
  <c r="Q9" i="1"/>
  <c r="P9" i="1"/>
  <c r="O9" i="1"/>
  <c r="N9" i="1"/>
  <c r="M9" i="1"/>
  <c r="L9" i="1"/>
  <c r="K9" i="1"/>
  <c r="J9" i="1"/>
  <c r="I9" i="1"/>
  <c r="H9" i="1"/>
  <c r="G9" i="1"/>
  <c r="T8" i="1"/>
  <c r="R8" i="1"/>
  <c r="Q8" i="1"/>
  <c r="P8" i="1"/>
  <c r="O8" i="1"/>
  <c r="N8" i="1"/>
  <c r="M8" i="1"/>
  <c r="L8" i="1"/>
  <c r="K8" i="1"/>
  <c r="J8" i="1"/>
  <c r="I8" i="1"/>
  <c r="H8" i="1"/>
  <c r="G8" i="1"/>
  <c r="T7" i="1"/>
  <c r="R7" i="1"/>
  <c r="Q7" i="1"/>
  <c r="P7" i="1"/>
  <c r="O7" i="1"/>
  <c r="N7" i="1"/>
  <c r="M7" i="1"/>
  <c r="L7" i="1"/>
  <c r="K7" i="1"/>
  <c r="J7" i="1"/>
  <c r="I7" i="1"/>
  <c r="H7" i="1"/>
  <c r="G7" i="1"/>
  <c r="H234" i="3"/>
  <c r="H232" i="3"/>
  <c r="H230" i="3"/>
  <c r="H228" i="3"/>
  <c r="D217" i="3"/>
  <c r="H216" i="3"/>
  <c r="D198" i="3"/>
  <c r="D179" i="3"/>
  <c r="D160" i="3"/>
  <c r="S137" i="3"/>
  <c r="D137" i="3"/>
  <c r="S136" i="3"/>
  <c r="P136" i="3"/>
  <c r="O136" i="3"/>
  <c r="N136" i="3"/>
  <c r="M136" i="3"/>
  <c r="L136" i="3"/>
  <c r="K136" i="3"/>
  <c r="D136" i="3"/>
  <c r="S135" i="3"/>
  <c r="D135" i="3"/>
  <c r="S134" i="3"/>
  <c r="P134" i="3"/>
  <c r="O134" i="3"/>
  <c r="N134" i="3"/>
  <c r="M134" i="3"/>
  <c r="L134" i="3"/>
  <c r="K134" i="3"/>
  <c r="D134" i="3"/>
  <c r="S133" i="3"/>
  <c r="D133" i="3"/>
  <c r="S132" i="3"/>
  <c r="P132" i="3"/>
  <c r="O132" i="3"/>
  <c r="N132" i="3"/>
  <c r="M132" i="3"/>
  <c r="L132" i="3"/>
  <c r="K132" i="3"/>
  <c r="D132" i="3"/>
  <c r="S131" i="3"/>
  <c r="D131" i="3"/>
  <c r="S130" i="3"/>
  <c r="P130" i="3"/>
  <c r="O130" i="3"/>
  <c r="N130" i="3"/>
  <c r="M130" i="3"/>
  <c r="L130" i="3"/>
  <c r="K130" i="3"/>
  <c r="D130" i="3"/>
  <c r="S129" i="3"/>
  <c r="D129" i="3"/>
  <c r="S128" i="3"/>
  <c r="P128" i="3"/>
  <c r="O128" i="3"/>
  <c r="N128" i="3"/>
  <c r="M128" i="3"/>
  <c r="L128" i="3"/>
  <c r="K128" i="3"/>
  <c r="D128" i="3"/>
  <c r="C128" i="3"/>
  <c r="S127" i="3"/>
  <c r="D127" i="3"/>
  <c r="S126" i="3"/>
  <c r="P126" i="3"/>
  <c r="O126" i="3"/>
  <c r="N126" i="3"/>
  <c r="M126" i="3"/>
  <c r="L126" i="3"/>
  <c r="K126" i="3"/>
  <c r="D126" i="3"/>
  <c r="C126" i="3"/>
  <c r="S125" i="3"/>
  <c r="D125" i="3"/>
  <c r="S124" i="3"/>
  <c r="P124" i="3"/>
  <c r="O124" i="3"/>
  <c r="N124" i="3"/>
  <c r="M124" i="3"/>
  <c r="L124" i="3"/>
  <c r="K124" i="3"/>
  <c r="D124" i="3"/>
  <c r="C124" i="3"/>
  <c r="S123" i="3"/>
  <c r="D123" i="3"/>
  <c r="Q122" i="3"/>
  <c r="P122" i="3"/>
  <c r="O122" i="3"/>
  <c r="N122" i="3"/>
  <c r="M122" i="3"/>
  <c r="L122" i="3"/>
  <c r="K122" i="3"/>
  <c r="C122" i="3"/>
  <c r="Q121" i="3"/>
  <c r="P121" i="3"/>
  <c r="O121" i="3"/>
  <c r="N121" i="3"/>
  <c r="M121" i="3"/>
  <c r="L121" i="3"/>
  <c r="K121" i="3"/>
  <c r="J121" i="3"/>
  <c r="I6" i="4" s="1"/>
  <c r="H121" i="3"/>
  <c r="G6" i="4" s="1"/>
  <c r="G7" i="4" s="1"/>
  <c r="G8" i="4" s="1"/>
  <c r="G9" i="4" s="1"/>
  <c r="G10" i="4" s="1"/>
  <c r="G11" i="4" s="1"/>
  <c r="G12" i="4" s="1"/>
  <c r="G13" i="4" s="1"/>
  <c r="G14" i="4" s="1"/>
  <c r="G15" i="4" s="1"/>
  <c r="Q120" i="3"/>
  <c r="P120" i="3"/>
  <c r="O120" i="3"/>
  <c r="N120" i="3"/>
  <c r="M120" i="3"/>
  <c r="L120" i="3"/>
  <c r="K120" i="3"/>
  <c r="P119" i="3"/>
  <c r="O119" i="3"/>
  <c r="N119" i="3"/>
  <c r="M119" i="3"/>
  <c r="L119" i="3"/>
  <c r="K119" i="3"/>
  <c r="P118" i="3"/>
  <c r="O118" i="3"/>
  <c r="N118" i="3"/>
  <c r="M118" i="3"/>
  <c r="L118" i="3"/>
  <c r="K118" i="3"/>
  <c r="P117" i="3"/>
  <c r="O117" i="3"/>
  <c r="N117" i="3"/>
  <c r="M117" i="3"/>
  <c r="L117" i="3"/>
  <c r="K117" i="3"/>
  <c r="P116" i="3"/>
  <c r="O116" i="3"/>
  <c r="N116" i="3"/>
  <c r="M116" i="3"/>
  <c r="L116" i="3"/>
  <c r="K116" i="3"/>
  <c r="P115" i="3"/>
  <c r="O115" i="3"/>
  <c r="N115" i="3"/>
  <c r="M115" i="3"/>
  <c r="L115" i="3"/>
  <c r="K115" i="3"/>
  <c r="P114" i="3"/>
  <c r="O114" i="3"/>
  <c r="N114" i="3"/>
  <c r="M114" i="3"/>
  <c r="L114" i="3"/>
  <c r="K114" i="3"/>
  <c r="Q113" i="3"/>
  <c r="P113" i="3"/>
  <c r="O113" i="3"/>
  <c r="N113" i="3"/>
  <c r="M113" i="3"/>
  <c r="L113" i="3"/>
  <c r="K113" i="3"/>
  <c r="J113" i="3"/>
  <c r="J136" i="3" s="1"/>
  <c r="H113" i="3"/>
  <c r="Q112" i="3"/>
  <c r="P112" i="3"/>
  <c r="O112" i="3"/>
  <c r="N112" i="3"/>
  <c r="M112" i="3"/>
  <c r="L112" i="3"/>
  <c r="K112" i="3"/>
  <c r="H112" i="3"/>
  <c r="Q111" i="3"/>
  <c r="P111" i="3"/>
  <c r="O111" i="3"/>
  <c r="N111" i="3"/>
  <c r="M111" i="3"/>
  <c r="L111" i="3"/>
  <c r="K111" i="3"/>
  <c r="H111" i="3"/>
  <c r="Q110" i="3"/>
  <c r="P110" i="3"/>
  <c r="O110" i="3"/>
  <c r="N110" i="3"/>
  <c r="M110" i="3"/>
  <c r="L110" i="3"/>
  <c r="K110" i="3"/>
  <c r="H110" i="3"/>
  <c r="Q109" i="3"/>
  <c r="P109" i="3"/>
  <c r="O109" i="3"/>
  <c r="N109" i="3"/>
  <c r="M109" i="3"/>
  <c r="L109" i="3"/>
  <c r="K109" i="3"/>
  <c r="H109" i="3"/>
  <c r="Q108" i="3"/>
  <c r="P108" i="3"/>
  <c r="O108" i="3"/>
  <c r="N108" i="3"/>
  <c r="M108" i="3"/>
  <c r="L108" i="3"/>
  <c r="K108" i="3"/>
  <c r="H108" i="3"/>
  <c r="Q107" i="3"/>
  <c r="P107" i="3"/>
  <c r="O107" i="3"/>
  <c r="N107" i="3"/>
  <c r="M107" i="3"/>
  <c r="L107" i="3"/>
  <c r="K107" i="3"/>
  <c r="J107" i="3"/>
  <c r="J134" i="3" s="1"/>
  <c r="H107" i="3"/>
  <c r="Q106" i="3"/>
  <c r="P106" i="3"/>
  <c r="O106" i="3"/>
  <c r="N106" i="3"/>
  <c r="M106" i="3"/>
  <c r="L106" i="3"/>
  <c r="K106" i="3"/>
  <c r="H106" i="3"/>
  <c r="Q105" i="3"/>
  <c r="P105" i="3"/>
  <c r="O105" i="3"/>
  <c r="N105" i="3"/>
  <c r="M105" i="3"/>
  <c r="L105" i="3"/>
  <c r="K105" i="3"/>
  <c r="H105" i="3"/>
  <c r="Q104" i="3"/>
  <c r="P104" i="3"/>
  <c r="O104" i="3"/>
  <c r="N104" i="3"/>
  <c r="M104" i="3"/>
  <c r="L104" i="3"/>
  <c r="K104" i="3"/>
  <c r="H104" i="3"/>
  <c r="Q103" i="3"/>
  <c r="P103" i="3"/>
  <c r="O103" i="3"/>
  <c r="N103" i="3"/>
  <c r="M103" i="3"/>
  <c r="L103" i="3"/>
  <c r="K103" i="3"/>
  <c r="H103" i="3"/>
  <c r="Q102" i="3"/>
  <c r="P102" i="3"/>
  <c r="O102" i="3"/>
  <c r="N102" i="3"/>
  <c r="M102" i="3"/>
  <c r="L102" i="3"/>
  <c r="K102" i="3"/>
  <c r="H102" i="3"/>
  <c r="Q101" i="3"/>
  <c r="P101" i="3"/>
  <c r="O101" i="3"/>
  <c r="N101" i="3"/>
  <c r="M101" i="3"/>
  <c r="L101" i="3"/>
  <c r="K101" i="3"/>
  <c r="J101" i="3"/>
  <c r="J132" i="3" s="1"/>
  <c r="H101" i="3"/>
  <c r="Q100" i="3"/>
  <c r="P100" i="3"/>
  <c r="O100" i="3"/>
  <c r="N100" i="3"/>
  <c r="M100" i="3"/>
  <c r="L100" i="3"/>
  <c r="K100" i="3"/>
  <c r="H100" i="3"/>
  <c r="Q99" i="3"/>
  <c r="P99" i="3"/>
  <c r="O99" i="3"/>
  <c r="N99" i="3"/>
  <c r="M99" i="3"/>
  <c r="L99" i="3"/>
  <c r="K99" i="3"/>
  <c r="H99" i="3"/>
  <c r="Q98" i="3"/>
  <c r="P98" i="3"/>
  <c r="O98" i="3"/>
  <c r="N98" i="3"/>
  <c r="M98" i="3"/>
  <c r="L98" i="3"/>
  <c r="K98" i="3"/>
  <c r="H98" i="3"/>
  <c r="Q97" i="3"/>
  <c r="P97" i="3"/>
  <c r="O97" i="3"/>
  <c r="N97" i="3"/>
  <c r="M97" i="3"/>
  <c r="L97" i="3"/>
  <c r="K97" i="3"/>
  <c r="H97" i="3"/>
  <c r="Q96" i="3"/>
  <c r="P96" i="3"/>
  <c r="O96" i="3"/>
  <c r="N96" i="3"/>
  <c r="M96" i="3"/>
  <c r="L96" i="3"/>
  <c r="K96" i="3"/>
  <c r="H96" i="3"/>
  <c r="P95" i="3"/>
  <c r="O95" i="3"/>
  <c r="N95" i="3"/>
  <c r="M95" i="3"/>
  <c r="L95" i="3"/>
  <c r="K95" i="3"/>
  <c r="J95" i="3"/>
  <c r="J130" i="3" s="1"/>
  <c r="H95" i="3"/>
  <c r="Q94" i="3"/>
  <c r="P94" i="3"/>
  <c r="O94" i="3"/>
  <c r="N94" i="3"/>
  <c r="M94" i="3"/>
  <c r="L94" i="3"/>
  <c r="K94" i="3"/>
  <c r="H94" i="3"/>
  <c r="P93" i="3"/>
  <c r="O93" i="3"/>
  <c r="N93" i="3"/>
  <c r="M93" i="3"/>
  <c r="L93" i="3"/>
  <c r="K93" i="3"/>
  <c r="H93" i="3"/>
  <c r="P92" i="3"/>
  <c r="O92" i="3"/>
  <c r="N92" i="3"/>
  <c r="M92" i="3"/>
  <c r="L92" i="3"/>
  <c r="K92" i="3"/>
  <c r="H92" i="3"/>
  <c r="P91" i="3"/>
  <c r="O91" i="3"/>
  <c r="N91" i="3"/>
  <c r="M91" i="3"/>
  <c r="L91" i="3"/>
  <c r="K91" i="3"/>
  <c r="H91" i="3"/>
  <c r="H15" i="9" s="1"/>
  <c r="H17" i="9" s="1"/>
  <c r="H19" i="9" s="1"/>
  <c r="H21" i="9" s="1"/>
  <c r="P90" i="3"/>
  <c r="O90" i="3"/>
  <c r="N90" i="3"/>
  <c r="M90" i="3"/>
  <c r="L90" i="3"/>
  <c r="K90" i="3"/>
  <c r="H90" i="3"/>
  <c r="C89" i="3"/>
  <c r="Q88" i="3"/>
  <c r="P88" i="3"/>
  <c r="O88" i="3"/>
  <c r="N88" i="3"/>
  <c r="M88" i="3"/>
  <c r="L88" i="3"/>
  <c r="K88" i="3"/>
  <c r="H88" i="3"/>
  <c r="C88" i="3"/>
  <c r="C87" i="3"/>
  <c r="Q86" i="3"/>
  <c r="P86" i="3"/>
  <c r="O86" i="3"/>
  <c r="N86" i="3"/>
  <c r="M86" i="3"/>
  <c r="L86" i="3"/>
  <c r="K86" i="3"/>
  <c r="H86" i="3"/>
  <c r="C86" i="3"/>
  <c r="C85" i="3"/>
  <c r="Q84" i="3"/>
  <c r="P84" i="3"/>
  <c r="O84" i="3"/>
  <c r="N84" i="3"/>
  <c r="M84" i="3"/>
  <c r="L84" i="3"/>
  <c r="K84" i="3"/>
  <c r="H84" i="3"/>
  <c r="C84" i="3"/>
  <c r="C83" i="3"/>
  <c r="Q82" i="3"/>
  <c r="P82" i="3"/>
  <c r="O82" i="3"/>
  <c r="N82" i="3"/>
  <c r="M82" i="3"/>
  <c r="L82" i="3"/>
  <c r="K82" i="3"/>
  <c r="H82" i="3"/>
  <c r="C82" i="3"/>
  <c r="S81" i="3"/>
  <c r="S80" i="3"/>
  <c r="Q80" i="3"/>
  <c r="P80" i="3"/>
  <c r="O80" i="3"/>
  <c r="N80" i="3"/>
  <c r="M80" i="3"/>
  <c r="L80" i="3"/>
  <c r="K80" i="3"/>
  <c r="S79" i="3"/>
  <c r="S78" i="3"/>
  <c r="Q78" i="3"/>
  <c r="P78" i="3"/>
  <c r="O78" i="3"/>
  <c r="N78" i="3"/>
  <c r="M78" i="3"/>
  <c r="L78" i="3"/>
  <c r="K78" i="3"/>
  <c r="S77" i="3"/>
  <c r="S76" i="3"/>
  <c r="Q76" i="3"/>
  <c r="P76" i="3"/>
  <c r="O76" i="3"/>
  <c r="N76" i="3"/>
  <c r="M76" i="3"/>
  <c r="L76" i="3"/>
  <c r="K76" i="3"/>
  <c r="S75" i="3"/>
  <c r="S74" i="3"/>
  <c r="Q74" i="3"/>
  <c r="P74" i="3"/>
  <c r="O74" i="3"/>
  <c r="N74" i="3"/>
  <c r="M74" i="3"/>
  <c r="L74" i="3"/>
  <c r="K74" i="3"/>
  <c r="Q73" i="3"/>
  <c r="P73" i="3"/>
  <c r="O73" i="3"/>
  <c r="N73" i="3"/>
  <c r="M73" i="3"/>
  <c r="L73" i="3"/>
  <c r="K73" i="3"/>
  <c r="Q72" i="3"/>
  <c r="P72" i="3"/>
  <c r="O72" i="3"/>
  <c r="N72" i="3"/>
  <c r="M72" i="3"/>
  <c r="L72" i="3"/>
  <c r="K72" i="3"/>
  <c r="S71" i="3"/>
  <c r="D71" i="3"/>
  <c r="Q70" i="3"/>
  <c r="P70" i="3"/>
  <c r="O70" i="3"/>
  <c r="N70" i="3"/>
  <c r="M70" i="3"/>
  <c r="L70" i="3"/>
  <c r="K70" i="3"/>
  <c r="H70" i="3"/>
  <c r="Q69" i="3"/>
  <c r="P69" i="3"/>
  <c r="O69" i="3"/>
  <c r="N69" i="3"/>
  <c r="M69" i="3"/>
  <c r="L69" i="3"/>
  <c r="K69" i="3"/>
  <c r="Q68" i="3"/>
  <c r="P68" i="3"/>
  <c r="O68" i="3"/>
  <c r="N68" i="3"/>
  <c r="M68" i="3"/>
  <c r="L68" i="3"/>
  <c r="K68" i="3"/>
  <c r="Q67" i="3"/>
  <c r="P67" i="3"/>
  <c r="O67" i="3"/>
  <c r="N67" i="3"/>
  <c r="M67" i="3"/>
  <c r="L67" i="3"/>
  <c r="K67" i="3"/>
  <c r="Q66" i="3"/>
  <c r="P66" i="3"/>
  <c r="O66" i="3"/>
  <c r="N66" i="3"/>
  <c r="M66" i="3"/>
  <c r="L66" i="3"/>
  <c r="K66" i="3"/>
  <c r="Q65" i="3"/>
  <c r="P65" i="3"/>
  <c r="O65" i="3"/>
  <c r="N65" i="3"/>
  <c r="M65" i="3"/>
  <c r="L65" i="3"/>
  <c r="K65" i="3"/>
  <c r="Q64" i="3"/>
  <c r="P64" i="3"/>
  <c r="O64" i="3"/>
  <c r="N64" i="3"/>
  <c r="M64" i="3"/>
  <c r="L64" i="3"/>
  <c r="K64" i="3"/>
  <c r="Q63" i="3"/>
  <c r="P63" i="3"/>
  <c r="O63" i="3"/>
  <c r="N63" i="3"/>
  <c r="M63" i="3"/>
  <c r="L63" i="3"/>
  <c r="K63" i="3"/>
  <c r="S62" i="3"/>
  <c r="S61" i="3"/>
  <c r="Q61" i="3"/>
  <c r="P61" i="3"/>
  <c r="O61" i="3"/>
  <c r="N61" i="3"/>
  <c r="M61" i="3"/>
  <c r="L61" i="3"/>
  <c r="K61" i="3"/>
  <c r="S60" i="3"/>
  <c r="S59" i="3"/>
  <c r="Q59" i="3"/>
  <c r="P59" i="3"/>
  <c r="O59" i="3"/>
  <c r="N59" i="3"/>
  <c r="M59" i="3"/>
  <c r="L59" i="3"/>
  <c r="K59" i="3"/>
  <c r="S58" i="3"/>
  <c r="S57" i="3"/>
  <c r="Q57" i="3"/>
  <c r="P57" i="3"/>
  <c r="O57" i="3"/>
  <c r="N57" i="3"/>
  <c r="M57" i="3"/>
  <c r="L57" i="3"/>
  <c r="K57" i="3"/>
  <c r="S56" i="3"/>
  <c r="S55" i="3"/>
  <c r="Q55" i="3"/>
  <c r="P55" i="3"/>
  <c r="O55" i="3"/>
  <c r="N55" i="3"/>
  <c r="M55" i="3"/>
  <c r="L55" i="3"/>
  <c r="K55" i="3"/>
  <c r="Q54" i="3"/>
  <c r="P54" i="3"/>
  <c r="O54" i="3"/>
  <c r="N54" i="3"/>
  <c r="M54" i="3"/>
  <c r="L54" i="3"/>
  <c r="K54" i="3"/>
  <c r="Q53" i="3"/>
  <c r="P53" i="3"/>
  <c r="O53" i="3"/>
  <c r="N53" i="3"/>
  <c r="M53" i="3"/>
  <c r="L53" i="3"/>
  <c r="K53" i="3"/>
  <c r="S52" i="3"/>
  <c r="D52" i="3"/>
  <c r="Q51" i="3"/>
  <c r="P51" i="3"/>
  <c r="O51" i="3"/>
  <c r="N51" i="3"/>
  <c r="M51" i="3"/>
  <c r="L51" i="3"/>
  <c r="K51" i="3"/>
  <c r="Q50" i="3"/>
  <c r="P50" i="3"/>
  <c r="O50" i="3"/>
  <c r="N50" i="3"/>
  <c r="M50" i="3"/>
  <c r="L50" i="3"/>
  <c r="K50" i="3"/>
  <c r="Q49" i="3"/>
  <c r="P49" i="3"/>
  <c r="O49" i="3"/>
  <c r="N49" i="3"/>
  <c r="M49" i="3"/>
  <c r="L49" i="3"/>
  <c r="K49" i="3"/>
  <c r="Q48" i="3"/>
  <c r="P48" i="3"/>
  <c r="O48" i="3"/>
  <c r="N48" i="3"/>
  <c r="M48" i="3"/>
  <c r="L48" i="3"/>
  <c r="K48" i="3"/>
  <c r="Q47" i="3"/>
  <c r="P47" i="3"/>
  <c r="O47" i="3"/>
  <c r="N47" i="3"/>
  <c r="M47" i="3"/>
  <c r="L47" i="3"/>
  <c r="K47" i="3"/>
  <c r="Q46" i="3"/>
  <c r="P46" i="3"/>
  <c r="O46" i="3"/>
  <c r="N46" i="3"/>
  <c r="M46" i="3"/>
  <c r="L46" i="3"/>
  <c r="K46" i="3"/>
  <c r="Q45" i="3"/>
  <c r="P45" i="3"/>
  <c r="O45" i="3"/>
  <c r="N45" i="3"/>
  <c r="M45" i="3"/>
  <c r="L45" i="3"/>
  <c r="K45" i="3"/>
  <c r="Q44" i="3"/>
  <c r="P44" i="3"/>
  <c r="O44" i="3"/>
  <c r="N44" i="3"/>
  <c r="M44" i="3"/>
  <c r="L44" i="3"/>
  <c r="K44" i="3"/>
  <c r="S43" i="3"/>
  <c r="S42" i="3"/>
  <c r="Q42" i="3"/>
  <c r="P42" i="3"/>
  <c r="O42" i="3"/>
  <c r="N42" i="3"/>
  <c r="M42" i="3"/>
  <c r="L42" i="3"/>
  <c r="K42" i="3"/>
  <c r="S41" i="3"/>
  <c r="S40" i="3"/>
  <c r="Q40" i="3"/>
  <c r="P40" i="3"/>
  <c r="O40" i="3"/>
  <c r="N40" i="3"/>
  <c r="M40" i="3"/>
  <c r="L40" i="3"/>
  <c r="K40" i="3"/>
  <c r="S39" i="3"/>
  <c r="S38" i="3"/>
  <c r="Q38" i="3"/>
  <c r="P38" i="3"/>
  <c r="O38" i="3"/>
  <c r="N38" i="3"/>
  <c r="M38" i="3"/>
  <c r="L38" i="3"/>
  <c r="K38" i="3"/>
  <c r="S37" i="3"/>
  <c r="S36" i="3"/>
  <c r="Q36" i="3"/>
  <c r="P36" i="3"/>
  <c r="O36" i="3"/>
  <c r="N36" i="3"/>
  <c r="M36" i="3"/>
  <c r="L36" i="3"/>
  <c r="K36" i="3"/>
  <c r="Q35" i="3"/>
  <c r="P35" i="3"/>
  <c r="O35" i="3"/>
  <c r="N35" i="3"/>
  <c r="M35" i="3"/>
  <c r="L35" i="3"/>
  <c r="K35" i="3"/>
  <c r="Q34" i="3"/>
  <c r="P34" i="3"/>
  <c r="O34" i="3"/>
  <c r="N34" i="3"/>
  <c r="M34" i="3"/>
  <c r="L34" i="3"/>
  <c r="K34" i="3"/>
  <c r="D33" i="3"/>
  <c r="Q32" i="3"/>
  <c r="P32" i="3"/>
  <c r="O32" i="3"/>
  <c r="N32" i="3"/>
  <c r="M32" i="3"/>
  <c r="L32" i="3"/>
  <c r="K32" i="3"/>
  <c r="Q31" i="3"/>
  <c r="P31" i="3"/>
  <c r="O31" i="3"/>
  <c r="N31" i="3"/>
  <c r="M31" i="3"/>
  <c r="L31" i="3"/>
  <c r="K31" i="3"/>
  <c r="Q30" i="3"/>
  <c r="P30" i="3"/>
  <c r="O30" i="3"/>
  <c r="N30" i="3"/>
  <c r="M30" i="3"/>
  <c r="L30" i="3"/>
  <c r="K30" i="3"/>
  <c r="Q29" i="3"/>
  <c r="P29" i="3"/>
  <c r="O29" i="3"/>
  <c r="N29" i="3"/>
  <c r="M29" i="3"/>
  <c r="L29" i="3"/>
  <c r="K29" i="3"/>
  <c r="Q28" i="3"/>
  <c r="P28" i="3"/>
  <c r="O28" i="3"/>
  <c r="N28" i="3"/>
  <c r="M28" i="3"/>
  <c r="L28" i="3"/>
  <c r="K28" i="3"/>
  <c r="Q27" i="3"/>
  <c r="P27" i="3"/>
  <c r="O27" i="3"/>
  <c r="N27" i="3"/>
  <c r="M27" i="3"/>
  <c r="L27" i="3"/>
  <c r="K27" i="3"/>
  <c r="Q26" i="3"/>
  <c r="P26" i="3"/>
  <c r="O26" i="3"/>
  <c r="N26" i="3"/>
  <c r="M26" i="3"/>
  <c r="L26" i="3"/>
  <c r="K26" i="3"/>
  <c r="Q25" i="3"/>
  <c r="P25" i="3"/>
  <c r="O25" i="3"/>
  <c r="N25" i="3"/>
  <c r="M25" i="3"/>
  <c r="L25" i="3"/>
  <c r="K25" i="3"/>
  <c r="S24" i="3"/>
  <c r="S23" i="3"/>
  <c r="Q23" i="3"/>
  <c r="P23" i="3"/>
  <c r="O23" i="3"/>
  <c r="N23" i="3"/>
  <c r="M23" i="3"/>
  <c r="L23" i="3"/>
  <c r="K23" i="3"/>
  <c r="S22" i="3"/>
  <c r="S21" i="3"/>
  <c r="Q21" i="3"/>
  <c r="P21" i="3"/>
  <c r="O21" i="3"/>
  <c r="N21" i="3"/>
  <c r="M21" i="3"/>
  <c r="L21" i="3"/>
  <c r="K21" i="3"/>
  <c r="AY20" i="3"/>
  <c r="AX20" i="3"/>
  <c r="S20" i="3"/>
  <c r="AY19" i="3"/>
  <c r="AX19" i="3"/>
  <c r="S19" i="3"/>
  <c r="Q19" i="3"/>
  <c r="P19" i="3"/>
  <c r="O19" i="3"/>
  <c r="N19" i="3"/>
  <c r="M19" i="3"/>
  <c r="L19" i="3"/>
  <c r="K19" i="3"/>
  <c r="AY18" i="3"/>
  <c r="AX18" i="3"/>
  <c r="S18" i="3"/>
  <c r="AY17" i="3"/>
  <c r="AX17" i="3"/>
  <c r="S17" i="3"/>
  <c r="Q17" i="3"/>
  <c r="P17" i="3"/>
  <c r="O17" i="3"/>
  <c r="N17" i="3"/>
  <c r="M17" i="3"/>
  <c r="L17" i="3"/>
  <c r="K17" i="3"/>
  <c r="AY16" i="3"/>
  <c r="AX16" i="3"/>
  <c r="P16" i="3"/>
  <c r="O16" i="3"/>
  <c r="N16" i="3"/>
  <c r="M16" i="3"/>
  <c r="L16" i="3"/>
  <c r="K16" i="3"/>
  <c r="Q15" i="3"/>
  <c r="P15" i="3"/>
  <c r="O15" i="3"/>
  <c r="N15" i="3"/>
  <c r="M15" i="3"/>
  <c r="L15" i="3"/>
  <c r="K15" i="3"/>
  <c r="S14" i="3"/>
  <c r="D14" i="3"/>
  <c r="P13" i="3"/>
  <c r="O13" i="3"/>
  <c r="N13" i="3"/>
  <c r="M13" i="3"/>
  <c r="L13" i="3"/>
  <c r="K13" i="3"/>
  <c r="Q12" i="3"/>
  <c r="P12" i="3"/>
  <c r="O12" i="3"/>
  <c r="N12" i="3"/>
  <c r="M12" i="3"/>
  <c r="K12" i="3"/>
  <c r="P11" i="3"/>
  <c r="O11" i="3"/>
  <c r="N11" i="3"/>
  <c r="M11" i="3"/>
  <c r="L11" i="3"/>
  <c r="K11" i="3"/>
  <c r="P10" i="3"/>
  <c r="O10" i="3"/>
  <c r="N10" i="3"/>
  <c r="M10" i="3"/>
  <c r="L10" i="3"/>
  <c r="K10" i="3"/>
  <c r="P9" i="3"/>
  <c r="O9" i="3"/>
  <c r="N9" i="3"/>
  <c r="M9" i="3"/>
  <c r="L9" i="3"/>
  <c r="K9" i="3"/>
  <c r="AP8" i="3"/>
  <c r="AO8" i="3"/>
  <c r="AN8" i="3"/>
  <c r="Q8" i="3"/>
  <c r="P8" i="3"/>
  <c r="O8" i="3"/>
  <c r="N8" i="3"/>
  <c r="M8" i="3"/>
  <c r="L8" i="3"/>
  <c r="K8" i="3"/>
  <c r="AP7" i="3"/>
  <c r="AO7" i="3"/>
  <c r="AN7" i="3"/>
  <c r="Q7" i="3"/>
  <c r="P7" i="3"/>
  <c r="O7" i="3"/>
  <c r="N7" i="3"/>
  <c r="M7" i="3"/>
  <c r="L7" i="3"/>
  <c r="K7" i="3"/>
  <c r="AP6" i="3"/>
  <c r="AO6" i="3"/>
  <c r="AN6" i="3"/>
  <c r="Q6" i="3"/>
  <c r="P6" i="3"/>
  <c r="O6" i="3"/>
  <c r="N6" i="3"/>
  <c r="M6" i="3"/>
  <c r="L6" i="3"/>
  <c r="K6" i="3"/>
  <c r="AP5" i="3"/>
  <c r="AO5" i="3"/>
  <c r="AN5" i="3"/>
  <c r="AP4" i="3"/>
  <c r="AO4" i="3"/>
  <c r="AN4" i="3"/>
  <c r="AP3" i="3"/>
  <c r="AO3" i="3"/>
  <c r="I26" i="4" l="1"/>
  <c r="I32" i="4" s="1"/>
  <c r="I38" i="4" s="1"/>
  <c r="I44" i="4" s="1"/>
  <c r="I50" i="4" s="1"/>
  <c r="I56" i="4" s="1"/>
  <c r="I62" i="4" s="1"/>
  <c r="I68" i="4" s="1"/>
  <c r="I74" i="4" s="1"/>
  <c r="I80" i="4" s="1"/>
  <c r="I86" i="4"/>
  <c r="I92" i="4" s="1"/>
  <c r="I98" i="4" s="1"/>
  <c r="I104" i="4" s="1"/>
  <c r="I110" i="4" s="1"/>
  <c r="I116" i="4" s="1"/>
  <c r="I122" i="4" s="1"/>
  <c r="I128" i="4" s="1"/>
  <c r="I134" i="4" s="1"/>
  <c r="I140" i="4" s="1"/>
  <c r="I87" i="4"/>
  <c r="I90" i="4"/>
  <c r="I96" i="4" s="1"/>
  <c r="I102" i="4" s="1"/>
  <c r="I108" i="4" s="1"/>
  <c r="I114" i="4" s="1"/>
  <c r="I120" i="4" s="1"/>
  <c r="I126" i="4" s="1"/>
  <c r="I132" i="4" s="1"/>
  <c r="I138" i="4" s="1"/>
  <c r="I144" i="4" s="1"/>
  <c r="I91" i="4"/>
  <c r="I97" i="4" s="1"/>
  <c r="I103" i="4" s="1"/>
  <c r="I109" i="4" s="1"/>
  <c r="I115" i="4" s="1"/>
  <c r="I121" i="4" s="1"/>
  <c r="I127" i="4" s="1"/>
  <c r="I133" i="4" s="1"/>
  <c r="I139" i="4" s="1"/>
  <c r="I145" i="4" s="1"/>
  <c r="J43" i="9" l="1"/>
  <c r="I93" i="4"/>
  <c r="I16" i="4"/>
  <c r="I17" i="4" s="1"/>
  <c r="I18" i="4" s="1"/>
  <c r="I19" i="4" s="1"/>
  <c r="I20" i="4" s="1"/>
  <c r="I21" i="4" s="1"/>
  <c r="I22" i="4" s="1"/>
  <c r="I23" i="4" s="1"/>
  <c r="I24" i="4" s="1"/>
  <c r="I25" i="4" s="1"/>
  <c r="I27" i="4"/>
  <c r="I89" i="4"/>
  <c r="I95" i="4" s="1"/>
  <c r="I101" i="4" s="1"/>
  <c r="I107" i="4" s="1"/>
  <c r="I113" i="4" s="1"/>
  <c r="I119" i="4" s="1"/>
  <c r="I125" i="4" s="1"/>
  <c r="I131" i="4" s="1"/>
  <c r="I137" i="4" s="1"/>
  <c r="I143" i="4" s="1"/>
  <c r="I28" i="4" l="1"/>
  <c r="I34" i="4" s="1"/>
  <c r="I40" i="4" s="1"/>
  <c r="I46" i="4" s="1"/>
  <c r="I52" i="4" s="1"/>
  <c r="I58" i="4" s="1"/>
  <c r="I64" i="4" s="1"/>
  <c r="I70" i="4" s="1"/>
  <c r="I76" i="4" s="1"/>
  <c r="I82" i="4" s="1"/>
  <c r="I99" i="4"/>
  <c r="J45" i="9"/>
  <c r="J23" i="9"/>
  <c r="I33" i="4"/>
  <c r="J25" i="9" l="1"/>
  <c r="I39" i="4"/>
  <c r="I105" i="4"/>
  <c r="J47" i="9"/>
  <c r="I29" i="4"/>
  <c r="I35" i="4" s="1"/>
  <c r="I41" i="4" s="1"/>
  <c r="I47" i="4" s="1"/>
  <c r="I53" i="4" s="1"/>
  <c r="I59" i="4" s="1"/>
  <c r="I65" i="4" s="1"/>
  <c r="I71" i="4" s="1"/>
  <c r="I77" i="4" s="1"/>
  <c r="I83" i="4" s="1"/>
  <c r="J49" i="9" l="1"/>
  <c r="I111" i="4"/>
  <c r="I30" i="4"/>
  <c r="I36" i="4" s="1"/>
  <c r="I42" i="4" s="1"/>
  <c r="I48" i="4" s="1"/>
  <c r="I54" i="4" s="1"/>
  <c r="I60" i="4" s="1"/>
  <c r="I66" i="4" s="1"/>
  <c r="I72" i="4" s="1"/>
  <c r="I78" i="4" s="1"/>
  <c r="I84" i="4" s="1"/>
  <c r="I45" i="4"/>
  <c r="J27" i="9"/>
  <c r="I117" i="4" l="1"/>
  <c r="J51" i="9"/>
  <c r="J29" i="9"/>
  <c r="I51" i="4"/>
  <c r="I31" i="4"/>
  <c r="I37" i="4" s="1"/>
  <c r="I43" i="4" s="1"/>
  <c r="I49" i="4" s="1"/>
  <c r="I55" i="4" s="1"/>
  <c r="I61" i="4" s="1"/>
  <c r="I67" i="4" s="1"/>
  <c r="I73" i="4" s="1"/>
  <c r="I79" i="4" s="1"/>
  <c r="I85" i="4" s="1"/>
  <c r="J31" i="9" l="1"/>
  <c r="I57" i="4"/>
  <c r="I123" i="4"/>
  <c r="J53" i="9"/>
  <c r="I63" i="4" l="1"/>
  <c r="J33" i="9"/>
  <c r="J55" i="9"/>
  <c r="I129" i="4"/>
  <c r="I69" i="4" l="1"/>
  <c r="J35" i="9"/>
  <c r="J57" i="9"/>
  <c r="I135" i="4"/>
  <c r="I75" i="4" l="1"/>
  <c r="J37" i="9"/>
  <c r="J59" i="9"/>
  <c r="I141" i="4"/>
  <c r="J61" i="9" s="1"/>
  <c r="J39" i="9" l="1"/>
  <c r="I81" i="4"/>
  <c r="J4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xli9</author>
    <author>Xiao Li</author>
  </authors>
  <commentList>
    <comment ref="K6" authorId="0" shapeId="0" xr:uid="{00000000-0006-0000-0000-000001000000}">
      <text>
        <r>
          <rPr>
            <b/>
            <sz val="9"/>
            <rFont val="Times New Roman"/>
            <charset val="134"/>
          </rPr>
          <t>xli9:</t>
        </r>
        <r>
          <rPr>
            <sz val="9"/>
            <rFont val="Times New Roman"/>
            <charset val="134"/>
          </rPr>
          <t xml:space="preserve">
From EIA report, and the 1 2022USD=1 2011 CAD. The EIA has identified the capacity per furnance, so we used it.. then we found if we use this value CAN-TIMES tend to use this process, then we zoom in and found xli9:
If we use EIA’s data to calculate gas-heating we found that it should be 3690/(80/3.412)*1=157 M$/GW, so it means Canadian local cost is higher than USA. So we use this proportion to adjust oil-for heating
</t>
        </r>
      </text>
    </comment>
    <comment ref="K9" authorId="0" shapeId="0" xr:uid="{00000000-0006-0000-0000-000002000000}">
      <text>
        <r>
          <rPr>
            <b/>
            <sz val="9"/>
            <rFont val="Times New Roman"/>
            <charset val="134"/>
          </rPr>
          <t>xli9:</t>
        </r>
        <r>
          <rPr>
            <sz val="9"/>
            <rFont val="Times New Roman"/>
            <charset val="134"/>
          </rPr>
          <t xml:space="preserve">
If we use EIA’s data to calculate we found that it should be 3690/(80/3.412)*1=157 M$/GW, so it means Canadian local cost is higher than USA. So we </t>
        </r>
      </text>
    </comment>
    <comment ref="L9" authorId="0" shapeId="0" xr:uid="{00000000-0006-0000-0000-000003000000}">
      <text>
        <r>
          <rPr>
            <b/>
            <sz val="9"/>
            <rFont val="Times New Roman"/>
            <charset val="134"/>
          </rPr>
          <t>xli9:</t>
        </r>
        <r>
          <rPr>
            <sz val="9"/>
            <rFont val="Times New Roman"/>
            <charset val="134"/>
          </rPr>
          <t xml:space="preserve">
Residential Gas-Fired Furnaces (North), from EIA report</t>
        </r>
      </text>
    </comment>
    <comment ref="K13" authorId="0" shapeId="0" xr:uid="{00000000-0006-0000-0000-000004000000}">
      <text>
        <r>
          <rPr>
            <b/>
            <sz val="9"/>
            <rFont val="Times New Roman"/>
            <charset val="134"/>
          </rPr>
          <t>xli9:</t>
        </r>
        <r>
          <rPr>
            <sz val="9"/>
            <rFont val="Times New Roman"/>
            <charset val="134"/>
          </rPr>
          <t xml:space="preserve">
The heater in cooler environment is preferred</t>
        </r>
      </text>
    </comment>
    <comment ref="L13" authorId="0" shapeId="0" xr:uid="{00000000-0006-0000-0000-000005000000}">
      <text>
        <r>
          <rPr>
            <b/>
            <sz val="9"/>
            <rFont val="Times New Roman"/>
            <charset val="134"/>
          </rPr>
          <t>xli9:</t>
        </r>
        <r>
          <rPr>
            <sz val="9"/>
            <rFont val="Times New Roman"/>
            <charset val="134"/>
          </rPr>
          <t xml:space="preserve">
Residential Air-Source Heat Pumps</t>
        </r>
      </text>
    </comment>
    <comment ref="K15" authorId="0" shapeId="0" xr:uid="{00000000-0006-0000-0000-000006000000}">
      <text>
        <r>
          <rPr>
            <b/>
            <sz val="9"/>
            <rFont val="Times New Roman"/>
            <charset val="134"/>
          </rPr>
          <t>xli9:</t>
        </r>
        <r>
          <rPr>
            <sz val="9"/>
            <rFont val="Times New Roman"/>
            <charset val="134"/>
          </rPr>
          <t xml:space="preserve">
Similar to wood-fired furnance </t>
        </r>
      </text>
    </comment>
    <comment ref="K16" authorId="1" shapeId="0" xr:uid="{00000000-0006-0000-0000-000007000000}">
      <text>
        <r>
          <rPr>
            <b/>
            <sz val="9"/>
            <rFont val="Tahoma"/>
            <charset val="134"/>
          </rPr>
          <t>Xiao Li:</t>
        </r>
        <r>
          <rPr>
            <sz val="9"/>
            <rFont val="Tahoma"/>
            <charset val="134"/>
          </rPr>
          <t xml:space="preserve">
Residential wood pellet stoves</t>
        </r>
      </text>
    </comment>
    <comment ref="K17" authorId="0" shapeId="0" xr:uid="{00000000-0006-0000-0000-000008000000}">
      <text>
        <r>
          <rPr>
            <b/>
            <sz val="9"/>
            <rFont val="Times New Roman"/>
            <charset val="134"/>
          </rPr>
          <t>xli9:</t>
        </r>
        <r>
          <rPr>
            <sz val="9"/>
            <rFont val="Times New Roman"/>
            <charset val="134"/>
          </rPr>
          <t xml:space="preserve">
Multiple energy sourced facility will be the range of those energy sourced facility</t>
        </r>
      </text>
    </comment>
    <comment ref="K32" authorId="0" shapeId="0" xr:uid="{00000000-0006-0000-0000-000009000000}">
      <text>
        <r>
          <rPr>
            <b/>
            <sz val="9"/>
            <rFont val="Times New Roman"/>
            <charset val="134"/>
          </rPr>
          <t>xli9:</t>
        </r>
        <r>
          <rPr>
            <sz val="9"/>
            <rFont val="Times New Roman"/>
            <charset val="134"/>
          </rPr>
          <t xml:space="preserve">
The heater in cooler environment is preferred</t>
        </r>
      </text>
    </comment>
    <comment ref="K51" authorId="0" shapeId="0" xr:uid="{00000000-0006-0000-0000-00000A000000}">
      <text>
        <r>
          <rPr>
            <b/>
            <sz val="9"/>
            <rFont val="Times New Roman"/>
            <charset val="134"/>
          </rPr>
          <t>xli9:</t>
        </r>
        <r>
          <rPr>
            <sz val="9"/>
            <rFont val="Times New Roman"/>
            <charset val="134"/>
          </rPr>
          <t xml:space="preserve">
The heater in cooler environment is preferred</t>
        </r>
      </text>
    </comment>
    <comment ref="K70" authorId="0" shapeId="0" xr:uid="{00000000-0006-0000-0000-00000B000000}">
      <text>
        <r>
          <rPr>
            <b/>
            <sz val="9"/>
            <rFont val="Times New Roman"/>
            <charset val="134"/>
          </rPr>
          <t>xli9:</t>
        </r>
        <r>
          <rPr>
            <sz val="9"/>
            <rFont val="Times New Roman"/>
            <charset val="134"/>
          </rPr>
          <t xml:space="preserve">
The heater in cooler environment is preferred</t>
        </r>
      </text>
    </comment>
    <comment ref="L82" authorId="0" shapeId="0" xr:uid="{00000000-0006-0000-0000-00000C000000}">
      <text>
        <r>
          <rPr>
            <b/>
            <sz val="9"/>
            <rFont val="Times New Roman"/>
            <charset val="134"/>
          </rPr>
          <t>xli9:</t>
        </r>
        <r>
          <rPr>
            <sz val="9"/>
            <rFont val="Times New Roman"/>
            <charset val="134"/>
          </rPr>
          <t xml:space="preserve">
Residential Central Air Conditioners – North (Not Hot-Dry or Hot-Humid)</t>
        </r>
      </text>
    </comment>
    <comment ref="K90" authorId="0" shapeId="0" xr:uid="{00000000-0006-0000-0000-00000D000000}">
      <text>
        <r>
          <rPr>
            <b/>
            <sz val="9"/>
            <rFont val="Times New Roman"/>
            <charset val="134"/>
          </rPr>
          <t>xli9:</t>
        </r>
        <r>
          <rPr>
            <sz val="9"/>
            <rFont val="Times New Roman"/>
            <charset val="134"/>
          </rPr>
          <t xml:space="preserve">
EIA report, 1.0 2022USD=1.0 2011CAD;
36gal is about 11kw capacity</t>
        </r>
      </text>
    </comment>
    <comment ref="K91" authorId="0" shapeId="0" xr:uid="{00000000-0006-0000-0000-00000E000000}">
      <text>
        <r>
          <rPr>
            <b/>
            <sz val="9"/>
            <rFont val="Times New Roman"/>
            <charset val="134"/>
          </rPr>
          <t>xli9:</t>
        </r>
        <r>
          <rPr>
            <sz val="9"/>
            <rFont val="Times New Roman"/>
            <charset val="134"/>
          </rPr>
          <t xml:space="preserve">
EIA report, 1.0 2022USD=1.0 2011CAD</t>
        </r>
      </text>
    </comment>
    <comment ref="K93" authorId="0" shapeId="0" xr:uid="{00000000-0006-0000-0000-00000F000000}">
      <text>
        <r>
          <rPr>
            <b/>
            <sz val="9"/>
            <rFont val="Times New Roman"/>
            <charset val="134"/>
          </rPr>
          <t>Gas-fired boilers</t>
        </r>
      </text>
    </comment>
    <comment ref="K94" authorId="1" shapeId="0" xr:uid="{00000000-0006-0000-0000-000010000000}">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shapeId="0" xr:uid="{00000000-0006-0000-0000-000011000000}">
      <text>
        <r>
          <rPr>
            <b/>
            <sz val="9"/>
            <rFont val="Tahoma"/>
            <charset val="134"/>
          </rPr>
          <t>Xiao Li:</t>
        </r>
        <r>
          <rPr>
            <sz val="9"/>
            <rFont val="Tahoma"/>
            <charset val="134"/>
          </rPr>
          <t xml:space="preserve">
Residential wood pellet stoves</t>
        </r>
      </text>
    </comment>
    <comment ref="K114" authorId="0" shapeId="0" xr:uid="{00000000-0006-0000-0000-00001200000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shapeId="0" xr:uid="{00000000-0006-0000-0000-000013000000}">
      <text>
        <r>
          <rPr>
            <b/>
            <sz val="9"/>
            <rFont val="Times New Roman"/>
            <charset val="134"/>
          </rPr>
          <t>xli9:</t>
        </r>
        <r>
          <rPr>
            <sz val="9"/>
            <rFont val="Times New Roman"/>
            <charset val="134"/>
          </rPr>
          <t xml:space="preserve">
Most commercial type-Residential Freezers (Upright)</t>
        </r>
      </text>
    </comment>
    <comment ref="K117" authorId="1" shapeId="0" xr:uid="{00000000-0006-0000-0000-000014000000}">
      <text>
        <r>
          <rPr>
            <b/>
            <sz val="9"/>
            <rFont val="Tahoma"/>
            <charset val="134"/>
          </rPr>
          <t>Xiao Li:</t>
        </r>
        <r>
          <rPr>
            <sz val="9"/>
            <rFont val="Tahoma"/>
            <charset val="134"/>
          </rPr>
          <t xml:space="preserve">
EIA does not identify the capacity, so we use 0.4kw as the default set of our base year</t>
        </r>
      </text>
    </comment>
    <comment ref="K118" authorId="1" shapeId="0" xr:uid="{00000000-0006-0000-0000-000015000000}">
      <text>
        <r>
          <rPr>
            <b/>
            <sz val="9"/>
            <rFont val="Tahoma"/>
            <charset val="134"/>
          </rPr>
          <t xml:space="preserve">Xiao Li:EIA does not identify the capacity, so </t>
        </r>
        <r>
          <rPr>
            <sz val="9"/>
            <rFont val="Tahoma"/>
            <charset val="134"/>
          </rPr>
          <t>0.0032mw capacity is a typical and also our base-year reference</t>
        </r>
      </text>
    </comment>
    <comment ref="K119" authorId="0" shapeId="0" xr:uid="{00000000-0006-0000-0000-000016000000}">
      <text>
        <r>
          <rPr>
            <b/>
            <sz val="9"/>
            <rFont val="Times New Roman"/>
            <charset val="134"/>
          </rPr>
          <t>xli9:</t>
        </r>
        <r>
          <rPr>
            <sz val="9"/>
            <rFont val="Times New Roman"/>
            <charset val="134"/>
          </rPr>
          <t xml:space="preserve">
Elctric range</t>
        </r>
      </text>
    </comment>
    <comment ref="L119" authorId="0" shapeId="0" xr:uid="{00000000-0006-0000-0000-000017000000}">
      <text>
        <r>
          <rPr>
            <b/>
            <sz val="9"/>
            <rFont val="Times New Roman"/>
            <charset val="134"/>
          </rPr>
          <t>xli9:</t>
        </r>
        <r>
          <rPr>
            <sz val="9"/>
            <rFont val="Times New Roman"/>
            <charset val="134"/>
          </rPr>
          <t xml:space="preserve">
Range installation cost is similar to FR, so FIXOM is assumed same</t>
        </r>
      </text>
    </comment>
    <comment ref="K120" authorId="0" shapeId="0" xr:uid="{00000000-0006-0000-0000-00001800000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shapeId="0" xr:uid="{00000000-0006-0000-0000-000019000000}">
      <text>
        <r>
          <rPr>
            <b/>
            <sz val="9"/>
            <rFont val="Times New Roman"/>
            <charset val="134"/>
          </rPr>
          <t>xli9:</t>
        </r>
        <r>
          <rPr>
            <sz val="9"/>
            <rFont val="Times New Roman"/>
            <charset val="134"/>
          </rPr>
          <t xml:space="preserve">
Residential Air-Source Heat Pumps</t>
        </r>
      </text>
    </comment>
    <comment ref="N122" authorId="0" shapeId="0" xr:uid="{00000000-0006-0000-0000-00001A000000}">
      <text>
        <r>
          <rPr>
            <b/>
            <sz val="9"/>
            <rFont val="Times New Roman"/>
            <charset val="134"/>
          </rPr>
          <t>xli9:</t>
        </r>
        <r>
          <rPr>
            <sz val="9"/>
            <rFont val="Times New Roman"/>
            <charset val="134"/>
          </rPr>
          <t xml:space="preserve">
Residential Air-Source Heat Pumps</t>
        </r>
      </text>
    </comment>
    <comment ref="P122" authorId="0" shapeId="0" xr:uid="{00000000-0006-0000-0000-00001B000000}">
      <text>
        <r>
          <rPr>
            <b/>
            <sz val="9"/>
            <rFont val="Times New Roman"/>
            <charset val="134"/>
          </rPr>
          <t>xli9:</t>
        </r>
        <r>
          <rPr>
            <sz val="9"/>
            <rFont val="Times New Roman"/>
            <charset val="134"/>
          </rPr>
          <t xml:space="preserve">
Residential Air-Source Heat Pumps</t>
        </r>
      </text>
    </comment>
    <comment ref="L124" authorId="0" shapeId="0" xr:uid="{00000000-0006-0000-0000-00001C000000}">
      <text>
        <r>
          <rPr>
            <b/>
            <sz val="9"/>
            <rFont val="Times New Roman"/>
            <charset val="134"/>
          </rPr>
          <t>xli9:</t>
        </r>
        <r>
          <rPr>
            <sz val="9"/>
            <rFont val="Times New Roman"/>
            <charset val="134"/>
          </rPr>
          <t xml:space="preserve">
Residential Air-Source Heat Pumps</t>
        </r>
      </text>
    </comment>
    <comment ref="N124" authorId="0" shapeId="0" xr:uid="{00000000-0006-0000-0000-00001D000000}">
      <text>
        <r>
          <rPr>
            <b/>
            <sz val="9"/>
            <rFont val="Times New Roman"/>
            <charset val="134"/>
          </rPr>
          <t>xli9:</t>
        </r>
        <r>
          <rPr>
            <sz val="9"/>
            <rFont val="Times New Roman"/>
            <charset val="134"/>
          </rPr>
          <t xml:space="preserve">
Residential Air-Source Heat Pumps</t>
        </r>
      </text>
    </comment>
    <comment ref="P124" authorId="0" shapeId="0" xr:uid="{00000000-0006-0000-0000-00001E000000}">
      <text>
        <r>
          <rPr>
            <b/>
            <sz val="9"/>
            <rFont val="Times New Roman"/>
            <charset val="134"/>
          </rPr>
          <t>xli9:</t>
        </r>
        <r>
          <rPr>
            <sz val="9"/>
            <rFont val="Times New Roman"/>
            <charset val="134"/>
          </rPr>
          <t xml:space="preserve">
Residential Air-Source Heat Pumps</t>
        </r>
      </text>
    </comment>
    <comment ref="L126" authorId="0" shapeId="0" xr:uid="{00000000-0006-0000-0000-00001F000000}">
      <text>
        <r>
          <rPr>
            <b/>
            <sz val="9"/>
            <rFont val="Times New Roman"/>
            <charset val="134"/>
          </rPr>
          <t>xli9:</t>
        </r>
        <r>
          <rPr>
            <sz val="9"/>
            <rFont val="Times New Roman"/>
            <charset val="134"/>
          </rPr>
          <t xml:space="preserve">
Residential Air-Source Heat Pumps</t>
        </r>
      </text>
    </comment>
    <comment ref="N126" authorId="0" shapeId="0" xr:uid="{00000000-0006-0000-0000-000020000000}">
      <text>
        <r>
          <rPr>
            <b/>
            <sz val="9"/>
            <rFont val="Times New Roman"/>
            <charset val="134"/>
          </rPr>
          <t>xli9:</t>
        </r>
        <r>
          <rPr>
            <sz val="9"/>
            <rFont val="Times New Roman"/>
            <charset val="134"/>
          </rPr>
          <t xml:space="preserve">
Residential Air-Source Heat Pumps</t>
        </r>
      </text>
    </comment>
    <comment ref="P126" authorId="0" shapeId="0" xr:uid="{00000000-0006-0000-0000-000021000000}">
      <text>
        <r>
          <rPr>
            <b/>
            <sz val="9"/>
            <rFont val="Times New Roman"/>
            <charset val="134"/>
          </rPr>
          <t>xli9:</t>
        </r>
        <r>
          <rPr>
            <sz val="9"/>
            <rFont val="Times New Roman"/>
            <charset val="134"/>
          </rPr>
          <t xml:space="preserve">
Residential Air-Source Heat Pumps</t>
        </r>
      </text>
    </comment>
    <comment ref="L128" authorId="0" shapeId="0" xr:uid="{00000000-0006-0000-0000-000022000000}">
      <text>
        <r>
          <rPr>
            <b/>
            <sz val="9"/>
            <rFont val="Times New Roman"/>
            <charset val="134"/>
          </rPr>
          <t>xli9:</t>
        </r>
        <r>
          <rPr>
            <sz val="9"/>
            <rFont val="Times New Roman"/>
            <charset val="134"/>
          </rPr>
          <t xml:space="preserve">
Residential Air-Source Heat Pumps</t>
        </r>
      </text>
    </comment>
    <comment ref="N128" authorId="0" shapeId="0" xr:uid="{00000000-0006-0000-0000-000023000000}">
      <text>
        <r>
          <rPr>
            <b/>
            <sz val="9"/>
            <rFont val="Times New Roman"/>
            <charset val="134"/>
          </rPr>
          <t>xli9:</t>
        </r>
        <r>
          <rPr>
            <sz val="9"/>
            <rFont val="Times New Roman"/>
            <charset val="134"/>
          </rPr>
          <t xml:space="preserve">
Residential Air-Source Heat Pumps</t>
        </r>
      </text>
    </comment>
    <comment ref="P128" authorId="0" shapeId="0" xr:uid="{00000000-0006-0000-0000-000024000000}">
      <text>
        <r>
          <rPr>
            <b/>
            <sz val="9"/>
            <rFont val="Times New Roman"/>
            <charset val="134"/>
          </rPr>
          <t>xli9:</t>
        </r>
        <r>
          <rPr>
            <sz val="9"/>
            <rFont val="Times New Roman"/>
            <charset val="134"/>
          </rPr>
          <t xml:space="preserve">
Residential Air-Source Heat Pumps</t>
        </r>
      </text>
    </comment>
    <comment ref="K130" authorId="0" shapeId="0" xr:uid="{00000000-0006-0000-0000-00002500000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shapeId="0" xr:uid="{00000000-0006-0000-0000-000026000000}">
      <text>
        <r>
          <rPr>
            <b/>
            <sz val="9"/>
            <rFont val="Times New Roman"/>
            <charset val="134"/>
          </rPr>
          <t>xli9:</t>
        </r>
        <r>
          <rPr>
            <sz val="9"/>
            <rFont val="Times New Roman"/>
            <charset val="134"/>
          </rPr>
          <t xml:space="preserve">
Also sourced from EIA report</t>
        </r>
      </text>
    </comment>
    <comment ref="F150" authorId="0" shapeId="0" xr:uid="{00000000-0006-0000-0000-000027000000}">
      <text>
        <r>
          <rPr>
            <b/>
            <sz val="9"/>
            <rFont val="Times New Roman"/>
            <charset val="134"/>
          </rPr>
          <t>xli9:</t>
        </r>
        <r>
          <rPr>
            <sz val="9"/>
            <rFont val="Times New Roman"/>
            <charset val="134"/>
          </rPr>
          <t xml:space="preserve">
No need to revise the new heating tech, because beyond baseyear, the model will choose deployment itself</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xli9</author>
    <author>Maurizio Gargiulo</author>
    <author>Amit Kanudia</author>
  </authors>
  <commentList>
    <comment ref="K6" authorId="0" shapeId="0" xr:uid="{00000000-0006-0000-0100-000001000000}">
      <text>
        <r>
          <rPr>
            <b/>
            <sz val="9"/>
            <rFont val="Times New Roman"/>
            <charset val="134"/>
          </rPr>
          <t>xli9:</t>
        </r>
        <r>
          <rPr>
            <sz val="9"/>
            <rFont val="Times New Roman"/>
            <charset val="134"/>
          </rPr>
          <t xml:space="preserve">
MCAD/BVKM</t>
        </r>
      </text>
    </comment>
    <comment ref="AH6" authorId="1" shapeId="0" xr:uid="{00000000-0006-0000-0100-00000200000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shapeId="0" xr:uid="{00000000-0006-0000-0100-000003000000}">
      <text>
        <r>
          <rPr>
            <b/>
            <sz val="8"/>
            <rFont val="Tahoma"/>
            <charset val="134"/>
          </rPr>
          <t>Amit Kanudia:</t>
        </r>
        <r>
          <rPr>
            <sz val="8"/>
            <rFont val="Tahoma"/>
            <charset val="134"/>
          </rPr>
          <t xml:space="preserve">
Needed only when one wants to override the VEDA default assignment
</t>
        </r>
      </text>
    </comment>
    <comment ref="AJ6" authorId="1" shapeId="0" xr:uid="{00000000-0006-0000-0100-00000400000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shapeId="0" xr:uid="{00000000-0006-0000-0100-000005000000}">
      <text>
        <r>
          <rPr>
            <b/>
            <sz val="9"/>
            <rFont val="Times New Roman"/>
            <charset val="134"/>
          </rPr>
          <t>xli9:</t>
        </r>
        <r>
          <rPr>
            <sz val="9"/>
            <rFont val="Times New Roman"/>
            <charset val="134"/>
          </rPr>
          <t xml:space="preserve">
Chart1: light duty truck, ICEV</t>
        </r>
      </text>
    </comment>
    <comment ref="K7" authorId="0" shapeId="0" xr:uid="{00000000-0006-0000-0100-00000600000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shapeId="0" xr:uid="{00000000-0006-0000-0100-00000700000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shapeId="0" xr:uid="{00000000-0006-0000-0100-00000800000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shapeId="0" xr:uid="{00000000-0006-0000-0100-000009000000}">
      <text>
        <r>
          <rPr>
            <b/>
            <sz val="9"/>
            <rFont val="Times New Roman"/>
            <charset val="134"/>
          </rPr>
          <t>xli9:</t>
        </r>
        <r>
          <rPr>
            <sz val="9"/>
            <rFont val="Times New Roman"/>
            <charset val="134"/>
          </rPr>
          <t xml:space="preserve">
Class 4-6 (Freight), ICEV</t>
        </r>
      </text>
    </comment>
    <comment ref="J11" authorId="0" shapeId="0" xr:uid="{00000000-0006-0000-0100-00000A000000}">
      <text>
        <r>
          <rPr>
            <b/>
            <sz val="9"/>
            <rFont val="Times New Roman"/>
            <charset val="134"/>
          </rPr>
          <t>xli9:</t>
        </r>
        <r>
          <rPr>
            <sz val="9"/>
            <rFont val="Times New Roman"/>
            <charset val="134"/>
          </rPr>
          <t xml:space="preserve">
Class 7-8 (Freight), ICEV</t>
        </r>
      </text>
    </comment>
    <comment ref="J12" authorId="0" shapeId="0" xr:uid="{00000000-0006-0000-0100-00000B000000}">
      <text>
        <r>
          <rPr>
            <sz val="9"/>
            <rFont val="Times New Roman"/>
            <charset val="134"/>
          </rPr>
          <t>A standard commuter gasoline motorcycle (e.g., Honda CB300R) typically costs between $4,000 to $6,000 USD</t>
        </r>
      </text>
    </comment>
    <comment ref="L13" authorId="0" shapeId="0" xr:uid="{00000000-0006-0000-0100-00000C000000}">
      <text>
        <r>
          <rPr>
            <b/>
            <sz val="9"/>
            <rFont val="Times New Roman"/>
            <charset val="134"/>
          </rPr>
          <t>xli9:</t>
        </r>
        <r>
          <rPr>
            <sz val="9"/>
            <rFont val="Times New Roman"/>
            <charset val="134"/>
          </rPr>
          <t xml:space="preserve">
Urban, higher driving intensity</t>
        </r>
      </text>
    </comment>
    <comment ref="L17" authorId="0" shapeId="0" xr:uid="{00000000-0006-0000-0100-00000D000000}">
      <text>
        <r>
          <rPr>
            <b/>
            <sz val="9"/>
            <rFont val="Times New Roman"/>
            <charset val="134"/>
          </rPr>
          <t>xli9:</t>
        </r>
        <r>
          <rPr>
            <sz val="9"/>
            <rFont val="Times New Roman"/>
            <charset val="134"/>
          </rPr>
          <t xml:space="preserve">
Rural, high driving intensity</t>
        </r>
      </text>
    </comment>
    <comment ref="L19" authorId="0" shapeId="0" xr:uid="{00000000-0006-0000-0100-00000E000000}">
      <text>
        <r>
          <rPr>
            <b/>
            <sz val="9"/>
            <rFont val="Times New Roman"/>
            <charset val="134"/>
          </rPr>
          <t>xli9:</t>
        </r>
        <r>
          <rPr>
            <sz val="9"/>
            <rFont val="Times New Roman"/>
            <charset val="134"/>
          </rPr>
          <t xml:space="preserve">
Average of urban, suburban and rural, for medium-driving-intensity</t>
        </r>
      </text>
    </comment>
    <comment ref="J21" authorId="0" shapeId="0" xr:uid="{00000000-0006-0000-0100-00000F000000}">
      <text>
        <r>
          <rPr>
            <b/>
            <sz val="9"/>
            <rFont val="Times New Roman"/>
            <charset val="134"/>
          </rPr>
          <t>xli9:</t>
        </r>
        <r>
          <rPr>
            <sz val="9"/>
            <rFont val="Times New Roman"/>
            <charset val="134"/>
          </rPr>
          <t xml:space="preserve">
BEV (250 mi), which is the most generally used BEV, its invcost is 31500USD</t>
        </r>
      </text>
    </comment>
    <comment ref="K21" authorId="0" shapeId="0" xr:uid="{00000000-0006-0000-0100-00001000000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shapeId="0" xr:uid="{00000000-0006-0000-0100-00001100000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shapeId="0" xr:uid="{00000000-0006-0000-0100-000012000000}">
      <text>
        <r>
          <rPr>
            <b/>
            <sz val="9"/>
            <rFont val="Times New Roman"/>
            <charset val="134"/>
          </rPr>
          <t>xli9:</t>
        </r>
        <r>
          <rPr>
            <sz val="9"/>
            <rFont val="Times New Roman"/>
            <charset val="134"/>
          </rPr>
          <t xml:space="preserve">
Assuming HEV’s purchase price same to PHEV</t>
        </r>
      </text>
    </comment>
    <comment ref="J26" authorId="0" shapeId="0" xr:uid="{00000000-0006-0000-0100-000013000000}">
      <text>
        <r>
          <rPr>
            <b/>
            <sz val="9"/>
            <rFont val="Times New Roman"/>
            <charset val="134"/>
          </rPr>
          <t>xli9:</t>
        </r>
        <r>
          <rPr>
            <sz val="9"/>
            <rFont val="Times New Roman"/>
            <charset val="134"/>
          </rPr>
          <t xml:space="preserve">
Truck BEV(250 mi)</t>
        </r>
      </text>
    </comment>
    <comment ref="G34" authorId="0" shapeId="0" xr:uid="{00000000-0006-0000-0100-000014000000}">
      <text>
        <r>
          <rPr>
            <b/>
            <sz val="9"/>
            <rFont val="Times New Roman"/>
            <charset val="134"/>
          </rPr>
          <t>xli9:</t>
        </r>
        <r>
          <rPr>
            <sz val="9"/>
            <rFont val="Times New Roman"/>
            <charset val="134"/>
          </rPr>
          <t xml:space="preserve">
Same to car</t>
        </r>
      </text>
    </comment>
    <comment ref="J34" authorId="0" shapeId="0" xr:uid="{00000000-0006-0000-0100-000015000000}">
      <text>
        <r>
          <rPr>
            <b/>
            <sz val="9"/>
            <rFont val="Times New Roman"/>
            <charset val="134"/>
          </rPr>
          <t>xli9:</t>
        </r>
        <r>
          <rPr>
            <sz val="9"/>
            <rFont val="Times New Roman"/>
            <charset val="134"/>
          </rPr>
          <t xml:space="preserve">
Zero Motorcycles range from $10,000 to $20,000 USD.</t>
        </r>
      </text>
    </comment>
    <comment ref="K35" authorId="0" shapeId="0" xr:uid="{00000000-0006-0000-0100-000016000000}">
      <text>
        <r>
          <rPr>
            <b/>
            <sz val="9"/>
            <rFont val="Times New Roman"/>
            <charset val="134"/>
          </rPr>
          <t>xli9:</t>
        </r>
        <r>
          <rPr>
            <sz val="9"/>
            <rFont val="Times New Roman"/>
            <charset val="134"/>
          </rPr>
          <t xml:space="preserve">
REGEN assumes $0.10/mile levelized maintenance for HFCVs as well</t>
        </r>
      </text>
    </comment>
    <comment ref="J42" authorId="0" shapeId="0" xr:uid="{00000000-0006-0000-0100-000017000000}">
      <text>
        <r>
          <rPr>
            <b/>
            <sz val="9"/>
            <rFont val="Times New Roman"/>
            <charset val="134"/>
          </rPr>
          <t>xli9:</t>
        </r>
        <r>
          <rPr>
            <sz val="9"/>
            <rFont val="Times New Roman"/>
            <charset val="134"/>
          </rPr>
          <t xml:space="preserve">
Chart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Xiao Li</author>
  </authors>
  <commentList>
    <comment ref="E6" authorId="0" shapeId="0" xr:uid="{00000000-0006-0000-0200-00000100000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shapeId="0" xr:uid="{00000000-0006-0000-0200-00000200000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shapeId="0" xr:uid="{00000000-0006-0000-0200-00000300000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shapeId="0" xr:uid="{00000000-0006-0000-0200-000004000000}">
      <text>
        <r>
          <rPr>
            <b/>
            <sz val="9"/>
            <rFont val="Tahoma"/>
            <charset val="1"/>
          </rPr>
          <t>Xiao Li:</t>
        </r>
        <r>
          <rPr>
            <sz val="9"/>
            <rFont val="Tahoma"/>
            <charset val="1"/>
          </rPr>
          <t xml:space="preserve">
Current standard of 2022, because they did not list 2020</t>
        </r>
      </text>
    </comment>
    <comment ref="J88" authorId="0" shapeId="0" xr:uid="{00000000-0006-0000-0200-000005000000}">
      <text>
        <r>
          <rPr>
            <b/>
            <sz val="9"/>
            <rFont val="Tahoma"/>
            <charset val="134"/>
          </rPr>
          <t>Xiao Li:</t>
        </r>
        <r>
          <rPr>
            <sz val="9"/>
            <rFont val="Tahoma"/>
            <charset val="134"/>
          </rPr>
          <t xml:space="preserve">
The data source does not identify the kw, but 1 kW is approximately equal to 3.412 kBtu/h, so it's 88kw</t>
        </r>
      </text>
    </comment>
    <comment ref="G90" authorId="0" shapeId="0" xr:uid="{00000000-0006-0000-0200-000006000000}">
      <text>
        <r>
          <rPr>
            <b/>
            <sz val="9"/>
            <rFont val="Tahoma"/>
            <charset val="134"/>
          </rPr>
          <t>Xiao Li:</t>
        </r>
        <r>
          <rPr>
            <sz val="9"/>
            <rFont val="Tahoma"/>
            <charset val="134"/>
          </rPr>
          <t xml:space="preserve">
Commercial electric boiler</t>
        </r>
      </text>
    </comment>
    <comment ref="G91" authorId="0" shapeId="0" xr:uid="{00000000-0006-0000-0200-00000700000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shapeId="0" xr:uid="{00000000-0006-0000-0200-000008000000}">
      <text>
        <r>
          <rPr>
            <b/>
            <sz val="9"/>
            <rFont val="Tahoma"/>
            <charset val="134"/>
          </rPr>
          <t>Xiao Li:</t>
        </r>
        <r>
          <rPr>
            <sz val="9"/>
            <rFont val="Tahoma"/>
            <charset val="134"/>
          </rPr>
          <t xml:space="preserve">
Commercial electric boilers</t>
        </r>
      </text>
    </comment>
    <comment ref="G206" authorId="0" shapeId="0" xr:uid="{00000000-0006-0000-0200-00000900000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shapeId="0" xr:uid="{00000000-0006-0000-0200-00000A000000}">
      <text>
        <r>
          <rPr>
            <b/>
            <sz val="9"/>
            <rFont val="Tahoma"/>
            <charset val="134"/>
          </rPr>
          <t>Xiao Li:</t>
        </r>
        <r>
          <rPr>
            <sz val="9"/>
            <rFont val="Tahoma"/>
            <charset val="134"/>
          </rPr>
          <t xml:space="preserve">
Commercial ground-space heat pumps</t>
        </r>
      </text>
    </comment>
    <comment ref="J246" authorId="0" shapeId="0" xr:uid="{00000000-0006-0000-0200-00000B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shapeId="0" xr:uid="{00000000-0006-0000-0200-00000C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shapeId="0" xr:uid="{00000000-0006-0000-0200-00000D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shapeId="0" xr:uid="{00000000-0006-0000-0200-00000E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shapeId="0" xr:uid="{00000000-0006-0000-0200-00000F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shapeId="0" xr:uid="{00000000-0006-0000-0200-000010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shapeId="0" xr:uid="{00000000-0006-0000-0200-000011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shapeId="0" xr:uid="{00000000-0006-0000-0200-000012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shapeId="0" xr:uid="{00000000-0006-0000-0200-000013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shapeId="0" xr:uid="{00000000-0006-0000-0200-000014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shapeId="0" xr:uid="{00000000-0006-0000-0200-00001500000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Y4" authorId="0" shapeId="0" xr:uid="{00000000-0006-0000-0400-00000100000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shapeId="0" xr:uid="{00000000-0006-0000-0400-000002000000}">
      <text>
        <r>
          <rPr>
            <b/>
            <sz val="8"/>
            <rFont val="Tahoma"/>
            <charset val="134"/>
          </rPr>
          <t>Amit Kanudia:</t>
        </r>
        <r>
          <rPr>
            <sz val="8"/>
            <rFont val="Tahoma"/>
            <charset val="134"/>
          </rPr>
          <t xml:space="preserve">
Needed only when one wants to override the VEDA default assignment
</t>
        </r>
      </text>
    </comment>
    <comment ref="AA4" authorId="0" shapeId="0" xr:uid="{00000000-0006-0000-0400-00000300000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shapeId="0" xr:uid="{00000000-0006-0000-0400-00000400000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<sst xmlns="http://schemas.openxmlformats.org/spreadsheetml/2006/main" count="3289" uniqueCount="661">
  <si>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</si>
  <si>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</si>
  <si>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</si>
  <si>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</si>
  <si>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</si>
  <si>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</si>
  <si>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</si>
  <si>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</si>
  <si>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</si>
  <si>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 [Space heating CAPEX has been adjusted--for gas space heating If we use EIA’s data to calculate gas-heating we found that it should be 3690/(80/3.412)*1=157 M$/GW, so it means Canadian local cost (574) is higher than USA’s value for space heating tech. So we use this proportion (574/157) to adjust the heating technologies’CAPEX referenced to EIA (oil-heating, wood heating)]</t>
  </si>
  <si>
    <t>~FI_T</t>
  </si>
  <si>
    <t>~FI_Process</t>
  </si>
  <si>
    <t>TechName</t>
  </si>
  <si>
    <t>Comm-IN</t>
  </si>
  <si>
    <t>Comm-IN-A</t>
  </si>
  <si>
    <t>Comm-OUT</t>
  </si>
  <si>
    <t>START</t>
  </si>
  <si>
    <t>EFF</t>
  </si>
  <si>
    <t>*</t>
  </si>
  <si>
    <t>AFA</t>
  </si>
  <si>
    <t>INVCOST</t>
  </si>
  <si>
    <t>FIXOM</t>
  </si>
  <si>
    <t>INVCOST~2030</t>
  </si>
  <si>
    <t>FIXOM~2030</t>
  </si>
  <si>
    <t>INVCOST~2050</t>
  </si>
  <si>
    <t>FIXOM~2050</t>
  </si>
  <si>
    <t>LIFE</t>
  </si>
  <si>
    <t>CAP2ACT</t>
  </si>
  <si>
    <t>Share-I~UP</t>
  </si>
  <si>
    <t>Sets</t>
  </si>
  <si>
    <t>TechDesc</t>
  </si>
  <si>
    <t>Tact</t>
  </si>
  <si>
    <t>Tcap</t>
  </si>
  <si>
    <t>Tslvl</t>
  </si>
  <si>
    <t>PrimaryCG</t>
  </si>
  <si>
    <t>R_ES_SH-SD_OIL_NE1</t>
  </si>
  <si>
    <t>RSDOIL</t>
  </si>
  <si>
    <t>R_ES-SD-SpHeat</t>
  </si>
  <si>
    <t>DMD</t>
  </si>
  <si>
    <t>PJ</t>
  </si>
  <si>
    <t>GW</t>
  </si>
  <si>
    <t>R_ES_SH-SD_OIL_ME1</t>
  </si>
  <si>
    <t>R_ES_SH-SD_OIL_HE1</t>
  </si>
  <si>
    <t>R_ES_SH-SD_GAS_NE1</t>
  </si>
  <si>
    <t>RSDGAS</t>
  </si>
  <si>
    <t>R_ES_SH-SD_GAS_ME1</t>
  </si>
  <si>
    <t>R_ES_SH-SD_GAS_HE1</t>
  </si>
  <si>
    <t>R_ES_SH-SD_ELC1</t>
  </si>
  <si>
    <t>RSDELC</t>
  </si>
  <si>
    <t>R_ES_SH-SD_HET1</t>
  </si>
  <si>
    <t>Capital costs for different house vintages</t>
  </si>
  <si>
    <t>Heat pumps pay off (climateinstitute.ca)</t>
  </si>
  <si>
    <t>R_ES_SH-SD_COAPRO1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</si>
  <si>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</si>
  <si>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</si>
  <si>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</si>
  <si>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</si>
  <si>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</si>
  <si>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</si>
  <si>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</si>
  <si>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</si>
  <si>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</si>
  <si>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</si>
  <si>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R_ES_SH-SD_WOD1</t>
  </si>
  <si>
    <t>RSDWOD</t>
  </si>
  <si>
    <t>Gas-fired furnace</t>
  </si>
  <si>
    <t>R_ES_SH-SD_WOD_ELC1</t>
  </si>
  <si>
    <t>Central ducted air-conditioner</t>
  </si>
  <si>
    <t>Standard central ducted air-source heat pump (sized at -5°C)</t>
  </si>
  <si>
    <t>R_ES_SH-SD_WOD_OIL1</t>
  </si>
  <si>
    <t>Cold climate central ducted air-source heat pump (sized at -8.3°C)</t>
  </si>
  <si>
    <t>Electric duct-heater element (secondary heating system)</t>
  </si>
  <si>
    <t>R_ES_SH-SD_GAS_ELC1</t>
  </si>
  <si>
    <t>Electric panel upgrade</t>
  </si>
  <si>
    <t>-</t>
  </si>
  <si>
    <t>R_ES_SH-SD_OIL_ELC1</t>
  </si>
  <si>
    <t>R_ES_SH-SA_OIL_NE1</t>
  </si>
  <si>
    <t>R_ES-SA-SpHeat</t>
  </si>
  <si>
    <t>R_ES_SH-SA_OIL_ME1</t>
  </si>
  <si>
    <t>R_ES_SH-SA_OIL_HE1</t>
  </si>
  <si>
    <t>R_ES_SH-SA_GAS_NE1</t>
  </si>
  <si>
    <t>R_ES_SH-SA_GAS_ME1</t>
  </si>
  <si>
    <t>R_ES_SH-SA_GAS_HE1</t>
  </si>
  <si>
    <t>R_ES_SH-SA_ELC1</t>
  </si>
  <si>
    <t>R_ES_SH-SA_HET1</t>
  </si>
  <si>
    <t>R_ES_SH-SA_COAPRO1</t>
  </si>
  <si>
    <t>R_ES_SH-SA_WOD1</t>
  </si>
  <si>
    <t>R_ES_SH-SA_WOD_ELC1</t>
  </si>
  <si>
    <t>R_ES_SH-SA_WOD_OIL1</t>
  </si>
  <si>
    <t>R_ES_SH-SA_GAS_ELC1</t>
  </si>
  <si>
    <t>R_ES_SH-SA_OIL_ELC1</t>
  </si>
  <si>
    <t>R_ES_SH-AP_OIL_NE1</t>
  </si>
  <si>
    <t>R_ES-AP-SpHeat</t>
  </si>
  <si>
    <t>R_ES_SH-AP_OIL_ME1</t>
  </si>
  <si>
    <t>R_ES_SH-AP_OIL_HE1</t>
  </si>
  <si>
    <t>R_ES_SH-AP_GAS_NE1</t>
  </si>
  <si>
    <t>R_ES_SH-AP_GAS_ME1</t>
  </si>
  <si>
    <t>R_ES_SH-AP_GAS_HE1</t>
  </si>
  <si>
    <t>R_ES_SH-AP_ELC1</t>
  </si>
  <si>
    <t>R_ES_SH-AP_HET1</t>
  </si>
  <si>
    <t>R_ES_SH-AP_COAPRO1</t>
  </si>
  <si>
    <t>R_ES_SH-AP_WOD1</t>
  </si>
  <si>
    <t>R_ES_SH-AP_WOD_ELC1</t>
  </si>
  <si>
    <t>R_ES_SH-AP_WOD_OIL1</t>
  </si>
  <si>
    <t>R_ES_SH-AP_GAS_ELC1</t>
  </si>
  <si>
    <t>R_ES_SH-AP_OIL_ELC1</t>
  </si>
  <si>
    <t>R_ES_SH-MOB_OIL_NE1</t>
  </si>
  <si>
    <t>R_ES-MOB-SpHeat</t>
  </si>
  <si>
    <t>R_ES_SH-MOB_OIL_ME1</t>
  </si>
  <si>
    <t>R_ES_SH-MOB_OIL_HE1</t>
  </si>
  <si>
    <t>R_ES_SH-MOB_GAS_NE1</t>
  </si>
  <si>
    <t>R_ES_SH-MOB_GAS_ME1</t>
  </si>
  <si>
    <t>R_ES_SH-MOB_GAS_HE1</t>
  </si>
  <si>
    <t>R_ES_SH-MOB_ELC1</t>
  </si>
  <si>
    <t>R_ES_SH-MOB_HET1</t>
  </si>
  <si>
    <t>R_ES_SH-MOB_COAPRO1</t>
  </si>
  <si>
    <t>R_ES_SH-MOB_WOD1</t>
  </si>
  <si>
    <t>R_ES_SH-MOB_WOD_ELC1</t>
  </si>
  <si>
    <t>R_ES_SH-MOB_WOD_OIL1</t>
  </si>
  <si>
    <t>R_ES_SH-MOB_GAS_ELC1</t>
  </si>
  <si>
    <t>R_ES_SH-MOB_OIL_ELC1</t>
  </si>
  <si>
    <t>R_ES-SD-SpCool</t>
  </si>
  <si>
    <t>R_ES_SC-SD_ELC_ROOM_CENTRAL1</t>
  </si>
  <si>
    <t>R_ES-SA-SpCool</t>
  </si>
  <si>
    <t>R_ES_SC-SA_ELC_ROOM_CENTRAL1</t>
  </si>
  <si>
    <t>R_ES-AP-SpCool</t>
  </si>
  <si>
    <t>R_ES_SC-AP_ELC_ROOM_CENTRAL1</t>
  </si>
  <si>
    <t>R_ES-MOB-SpCool</t>
  </si>
  <si>
    <t>R_ES_SC-MOB_ELC_ROOM_CENTRAL1</t>
  </si>
  <si>
    <t>R_ES_WH-SD_ELC1</t>
  </si>
  <si>
    <t>R_ES-SD-WatHeat</t>
  </si>
  <si>
    <t>R_ES_WH-SD_GAS1</t>
  </si>
  <si>
    <t>R_ES_WH-SD_OIL1</t>
  </si>
  <si>
    <t>R_ES_WH-SD_STEAM1</t>
  </si>
  <si>
    <t>RSDSTEAM</t>
  </si>
  <si>
    <t>R_ES_WH-SD_COAPRO1</t>
  </si>
  <si>
    <t>R_ES_WH-SD_WOD1</t>
  </si>
  <si>
    <t>R_ES_WH-SA_ELC1</t>
  </si>
  <si>
    <t>R_ES-SA-WatHeat</t>
  </si>
  <si>
    <t>R_ES_WH-SA_GAS1</t>
  </si>
  <si>
    <t>R_ES_WH-SA_OIL1</t>
  </si>
  <si>
    <t>R_ES_WH-SA_STEAM1</t>
  </si>
  <si>
    <t>R_ES_WH-SA_COAPRO1</t>
  </si>
  <si>
    <t>R_ES_WH-SA_WOD1</t>
  </si>
  <si>
    <t>R_ES_WH-AP_ELC1</t>
  </si>
  <si>
    <t>R_ES-AP-WatHeat</t>
  </si>
  <si>
    <t>R_ES_WH-AP_GAS1</t>
  </si>
  <si>
    <t>R_ES_WH-AP_OIL1</t>
  </si>
  <si>
    <t>R_ES_WH-AP_STEAM1</t>
  </si>
  <si>
    <t>R_ES_WH-AP_COAPRO1</t>
  </si>
  <si>
    <t>R_ES_WH-AP_WOD1</t>
  </si>
  <si>
    <t>R_ES_WH-MOB_ELC1</t>
  </si>
  <si>
    <t>R_ES-MOB-WatHeat</t>
  </si>
  <si>
    <t>R_ES_WH-MOB_GAS1</t>
  </si>
  <si>
    <t>R_ES_WH-MOB_OIL1</t>
  </si>
  <si>
    <t>R_ES_WH-MOB_STEAM1</t>
  </si>
  <si>
    <t>R_ES_WH-MOB_COAPRO1</t>
  </si>
  <si>
    <t>R_ES_WH-MOB_WOD1</t>
  </si>
  <si>
    <t>R_ES_APP-RE_ELC1</t>
  </si>
  <si>
    <t>R_ES-APP-RE</t>
  </si>
  <si>
    <t>R_ES_APP-FR_ELC1</t>
  </si>
  <si>
    <t>R_ES-APP-FR</t>
  </si>
  <si>
    <t>R_ES_APP-DW_ELC1</t>
  </si>
  <si>
    <t>R_ES-APP-DW</t>
  </si>
  <si>
    <t>R_ES_APP-CW_ELC1</t>
  </si>
  <si>
    <t>R_ES-APP-CW</t>
  </si>
  <si>
    <t>R_ES_APP-CD_ELC1</t>
  </si>
  <si>
    <t>R_ES-APP-CD</t>
  </si>
  <si>
    <t>R_ES_APP-RA_ELC1</t>
  </si>
  <si>
    <t>R_ES-APP-RA</t>
  </si>
  <si>
    <t>R_ES_APP-OTH_ELC1</t>
  </si>
  <si>
    <t>R_ES-APP-OTH</t>
  </si>
  <si>
    <t>R_ES_LI_ELC1</t>
  </si>
  <si>
    <t>R_ES-LI</t>
  </si>
  <si>
    <t>R_ES_HET-SC-SD_HET1</t>
  </si>
  <si>
    <t>R_ES_HET-SC-SA_HET1</t>
  </si>
  <si>
    <t>R_ES_HET-SC-AP_HET1</t>
  </si>
  <si>
    <t>R_ES_HET-SC-MOB_HET1</t>
  </si>
  <si>
    <t>R_ES_WH-SD_HET1</t>
  </si>
  <si>
    <t>R_ES_WH-SA_HET1</t>
  </si>
  <si>
    <t>R_ES_WH-AP_HET1</t>
  </si>
  <si>
    <t>R_ES_WH-MOB_HET1</t>
  </si>
  <si>
    <t>WH14_15,WH16_17,WH18_19,WH20_21, WH0_1,WH2_3,WH4_5,WH6_7,WH8_9, WH10_11,WH12_13, WH22_23</t>
  </si>
  <si>
    <t>SH14_15,SH16_17,SH18_19,SH20_21, SH0_1,SH2_3,SH4_5,SH6_7,SH8_9, SH10_11,SH12_13, SH22_23</t>
  </si>
  <si>
    <t>RSDAHT</t>
  </si>
  <si>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</si>
  <si>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</si>
  <si>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</si>
  <si>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</si>
  <si>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</si>
  <si>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</si>
  <si>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*We blend ethanol into ICE, 10% for gasoline ICE while 4% for diesel, considering their difference with ethanol for energy content per L; it should be 7% for gasoline while 2% for diesel, respectively [we revised this point on 2025/2]</t>
  </si>
  <si>
    <t>ACTFLO~DEMO</t>
  </si>
  <si>
    <t>ACT_COST</t>
  </si>
  <si>
    <t>ACT_COST~2030</t>
  </si>
  <si>
    <t>ACT_COST~2050</t>
  </si>
  <si>
    <t>SHARE-I~UP</t>
  </si>
  <si>
    <t>Region</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</si>
  <si>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</si>
  <si>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</si>
  <si>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</si>
  <si>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</si>
  <si>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</si>
  <si>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</si>
  <si>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</si>
  <si>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</si>
  <si>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</si>
  <si>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</si>
  <si>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</si>
  <si>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</si>
  <si>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</si>
  <si>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</si>
  <si>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</si>
  <si>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TRA_Tru_FLT_GSL1</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</si>
  <si>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</si>
  <si>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</si>
  <si>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</si>
  <si>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</si>
  <si>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</si>
  <si>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</si>
  <si>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</si>
  <si>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</si>
  <si>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</si>
  <si>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</si>
  <si>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</si>
  <si>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</si>
  <si>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</si>
  <si>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</si>
  <si>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</si>
  <si>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</si>
  <si>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</si>
  <si>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</si>
  <si>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</si>
  <si>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</si>
  <si>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</si>
  <si>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DAYNITE</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</si>
  <si>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</si>
  <si>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</si>
  <si>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</si>
  <si>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</si>
  <si>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</si>
  <si>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</si>
  <si>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</si>
  <si>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</si>
  <si>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</si>
  <si>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</si>
  <si>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</si>
  <si>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</si>
  <si>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</si>
  <si>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</si>
  <si>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</si>
  <si>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</si>
  <si>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</si>
  <si>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TRAWOOD</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</si>
  <si>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</si>
  <si>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</si>
  <si>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</si>
  <si>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</si>
  <si>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</si>
  <si>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</si>
  <si>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</si>
  <si>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</si>
  <si>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</si>
  <si>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</si>
  <si>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</si>
  <si>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</si>
  <si>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</si>
  <si>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</si>
  <si>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</si>
  <si>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</si>
  <si>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</si>
  <si>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</si>
  <si>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</si>
  <si>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</si>
  <si>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</si>
  <si>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</si>
  <si>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</si>
  <si>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</si>
  <si>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</si>
  <si>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</si>
  <si>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</si>
  <si>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</si>
  <si>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</si>
  <si>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</si>
  <si>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</si>
  <si>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</si>
  <si>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</si>
  <si>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</si>
  <si>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</si>
  <si>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</si>
  <si>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</si>
  <si>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</si>
  <si>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</si>
  <si>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</si>
  <si>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</si>
  <si>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</si>
  <si>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</si>
  <si>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</si>
  <si>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</si>
  <si>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</si>
  <si>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</si>
  <si>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</si>
  <si>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</si>
  <si>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</si>
  <si>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</si>
  <si>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</si>
  <si>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</si>
  <si>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</si>
  <si>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</si>
  <si>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</si>
  <si>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</si>
  <si>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</si>
  <si>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</si>
  <si>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</si>
  <si>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</si>
  <si>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</si>
  <si>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</si>
  <si>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</si>
  <si>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</si>
  <si>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</si>
  <si>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</si>
  <si>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</si>
  <si>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</si>
  <si>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</si>
  <si>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</si>
  <si>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</si>
  <si>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</si>
  <si>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</si>
  <si>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</si>
  <si>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</si>
  <si>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</si>
  <si>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</si>
  <si>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</si>
  <si>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</si>
  <si>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</si>
  <si>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</si>
  <si>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</si>
  <si>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</si>
  <si>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</si>
  <si>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</si>
  <si>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</si>
  <si>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</si>
  <si>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</si>
  <si>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</si>
  <si>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</si>
  <si>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</si>
  <si>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</si>
  <si>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</si>
  <si>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</si>
  <si>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</si>
  <si>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</si>
  <si>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</si>
  <si>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</si>
  <si>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</si>
  <si>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</si>
  <si>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</si>
  <si>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</si>
  <si>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</si>
  <si>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</si>
  <si>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</si>
  <si>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</si>
  <si>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</si>
  <si>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</si>
  <si>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</si>
  <si>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</si>
  <si>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</si>
  <si>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</si>
  <si>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</si>
  <si>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</si>
  <si>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</si>
  <si>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</si>
  <si>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</si>
  <si>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</si>
  <si>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</si>
  <si>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</si>
  <si>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WST-SpHeat_HET1</t>
  </si>
  <si>
    <t>WST-WaterHeat_GAS1</t>
  </si>
  <si>
    <t>WST-WaterHeat_LFO1</t>
  </si>
  <si>
    <t>RTS-SpHeat_HET1</t>
  </si>
  <si>
    <t>WST-WaterHeat_HFO1</t>
  </si>
  <si>
    <t>WST-WaterHeat_STE1</t>
  </si>
  <si>
    <t>TWS-SpHeat_HET1</t>
  </si>
  <si>
    <t>WST-WaterHeat_COA1</t>
  </si>
  <si>
    <t>RTS-WaterHeat_ELE1</t>
  </si>
  <si>
    <t>RTS-WaterHeat</t>
  </si>
  <si>
    <t>ICS-SpHeat_HET1</t>
  </si>
  <si>
    <t>RTS-WaterHeat_GAS1</t>
  </si>
  <si>
    <t>RTS-WaterHeat_LFO1</t>
  </si>
  <si>
    <t>OS-SpHeat_HET1</t>
  </si>
  <si>
    <t>RTS-WaterHeat_HFO1</t>
  </si>
  <si>
    <t>RTS-WaterHeat_STE1</t>
  </si>
  <si>
    <t>EDU-SpHeat_HET1</t>
  </si>
  <si>
    <t>RTS-WaterHeat_COA1</t>
  </si>
  <si>
    <t>TWS-WaterHeat_ELE1</t>
  </si>
  <si>
    <t>TWS-WaterHeat</t>
  </si>
  <si>
    <t>HSS-SpHeat_HET1</t>
  </si>
  <si>
    <t>TWS-WaterHeat_GAS1</t>
  </si>
  <si>
    <t>TWS-WaterHeat_LFO1</t>
  </si>
  <si>
    <t>ART-SpHeat_HET1</t>
  </si>
  <si>
    <t>TWS-WaterHeat_HFO1</t>
  </si>
  <si>
    <t>TWS-WaterHeat_STE1</t>
  </si>
  <si>
    <t>AFM-SpHeat_HET1</t>
  </si>
  <si>
    <t>TWS-WaterHeat_COA1</t>
  </si>
  <si>
    <t>ICS-WaterHeat_ELE1</t>
  </si>
  <si>
    <t>ICS-WaterHeat</t>
  </si>
  <si>
    <t>OTH-SpHeat_HET1</t>
  </si>
  <si>
    <t>ICS-WaterHeat_GAS1</t>
  </si>
  <si>
    <t>ICS-WaterHeat_LFO1</t>
  </si>
  <si>
    <t>WST-SpCool_HET1</t>
  </si>
  <si>
    <t>WST-SpCool</t>
  </si>
  <si>
    <t>ICS-WaterHeat_HFO1</t>
  </si>
  <si>
    <t>ICS-WaterHeat_STE1</t>
  </si>
  <si>
    <t>RTS-SpCool_HET1</t>
  </si>
  <si>
    <t>RTS-SpCool</t>
  </si>
  <si>
    <t>ICS-WaterHeat_COA1</t>
  </si>
  <si>
    <t>OS-WaterHeat_ELE1</t>
  </si>
  <si>
    <t>OS-WaterHeat</t>
  </si>
  <si>
    <t>TWS-SpCool_HET1</t>
  </si>
  <si>
    <t>TWS-SpCool</t>
  </si>
  <si>
    <t>OS-WaterHeat_GAS1</t>
  </si>
  <si>
    <t>OS-WaterHeat_LFO1</t>
  </si>
  <si>
    <t>ICS-SpCool_HET1</t>
  </si>
  <si>
    <t>ICS-SpCool</t>
  </si>
  <si>
    <t>OS-WaterHeat_HFO1</t>
  </si>
  <si>
    <t>OS-WaterHeat_STE1</t>
  </si>
  <si>
    <t>OS-SpCool_HET1</t>
  </si>
  <si>
    <t>OS-SpCool</t>
  </si>
  <si>
    <t>OS-WaterHeat_COA1</t>
  </si>
  <si>
    <t>EDU-WaterHeat_ELE1</t>
  </si>
  <si>
    <t>EDU-WaterHeat</t>
  </si>
  <si>
    <t>EDU-SpCool_HET1</t>
  </si>
  <si>
    <t>EDU-SpCool</t>
  </si>
  <si>
    <t>EDU-WaterHeat_GAS1</t>
  </si>
  <si>
    <t>EDU-WaterHeat_LFO1</t>
  </si>
  <si>
    <t>HSS-SpCool_HET1</t>
  </si>
  <si>
    <t>HSS-SpCool</t>
  </si>
  <si>
    <t>EDU-WaterHeat_HFO1</t>
  </si>
  <si>
    <t>EDU-WaterHeat_STE1</t>
  </si>
  <si>
    <t>ART-SpCool_HET1</t>
  </si>
  <si>
    <t>ART-SpCool</t>
  </si>
  <si>
    <t>EDU-WaterHeat_COA1</t>
  </si>
  <si>
    <t>HSS-WaterHeat_ELE1</t>
  </si>
  <si>
    <t>HSS-WaterHeat</t>
  </si>
  <si>
    <t>AFM-SpCool_HET1</t>
  </si>
  <si>
    <t>AFM-SpCool</t>
  </si>
  <si>
    <t>HSS-WaterHeat_GAS1</t>
  </si>
  <si>
    <t>HSS-WaterHeat_LFO1</t>
  </si>
  <si>
    <t>OTH-SpCool_HET1</t>
  </si>
  <si>
    <t>OTH-SpCool</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</si>
  <si>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</si>
  <si>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</si>
  <si>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</si>
  <si>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</si>
  <si>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</si>
  <si>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</si>
  <si>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</si>
  <si>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</si>
  <si>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</si>
  <si>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</si>
  <si>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</si>
  <si>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</si>
  <si>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</si>
  <si>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</si>
  <si>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</si>
  <si>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</si>
  <si>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</si>
  <si>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</si>
  <si>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</si>
  <si>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</si>
  <si>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</si>
  <si>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</si>
  <si>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</si>
  <si>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</si>
  <si>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</si>
  <si>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</si>
  <si>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</si>
  <si>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</si>
  <si>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</si>
  <si>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</si>
  <si>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</si>
  <si>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</si>
  <si>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</si>
  <si>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</si>
  <si>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</si>
  <si>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</si>
  <si>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</si>
  <si>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</si>
  <si>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</si>
  <si>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</si>
  <si>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</si>
  <si>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</si>
  <si>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</si>
  <si>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</si>
  <si>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</si>
  <si>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</si>
  <si>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</si>
  <si>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</si>
  <si>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</si>
  <si>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</si>
  <si>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</si>
  <si>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</si>
  <si>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</si>
  <si>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</si>
  <si>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</si>
  <si>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</si>
  <si>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</si>
  <si>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</si>
  <si>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</si>
  <si>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</si>
  <si>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</si>
  <si>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</si>
  <si>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</si>
  <si>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</si>
  <si>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</si>
  <si>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</si>
  <si>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</si>
  <si>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</si>
  <si>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</si>
  <si>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</si>
  <si>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</si>
  <si>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</si>
  <si>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</si>
  <si>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</si>
  <si>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</si>
  <si>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</si>
  <si>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</si>
  <si>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</si>
  <si>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</si>
  <si>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</si>
  <si>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</si>
  <si>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</si>
  <si>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</si>
  <si>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</si>
  <si>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</si>
  <si>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</si>
  <si>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</si>
  <si>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</si>
  <si>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</si>
  <si>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</si>
  <si>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</si>
  <si>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</si>
  <si>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</si>
  <si>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</si>
  <si>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</si>
  <si>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WST-SpCool_GAS1</t>
  </si>
  <si>
    <t>RTS-SpCool_ELE1</t>
  </si>
  <si>
    <t>RTS-SpCool_GAS1</t>
  </si>
  <si>
    <t>TWS-SpCool_ELE1</t>
  </si>
  <si>
    <t>TWS-SpCool_GAS1</t>
  </si>
  <si>
    <t>ICS-SpCool_ELE1</t>
  </si>
  <si>
    <t>ICS-SpCool_GAS1</t>
  </si>
  <si>
    <t>OS-SpCool_ELE1</t>
  </si>
  <si>
    <t>OS-SpCool_GAS1</t>
  </si>
  <si>
    <t>EDU-SpCool_ELE1</t>
  </si>
  <si>
    <t>EDU-SpCool_GAS1</t>
  </si>
  <si>
    <t>HSS-SpCool_ELE1</t>
  </si>
  <si>
    <t>HSS-SpCool_GAS1</t>
  </si>
  <si>
    <t>ART-SpCool_ELE1</t>
  </si>
  <si>
    <t>ART-SpCool_GAS1</t>
  </si>
  <si>
    <t>AFM-SpCool_ELE1</t>
  </si>
  <si>
    <t>AFM-SpCool_GAS1</t>
  </si>
  <si>
    <t>OTH-SpCool_ELE1</t>
  </si>
  <si>
    <t>OTH-SpCool_GAS1</t>
  </si>
  <si>
    <t>WST-WaterHeat_HET1</t>
  </si>
  <si>
    <t>RTS-WaterHeat_HET1</t>
  </si>
  <si>
    <t>TWS-WaterHeat_HET1</t>
  </si>
  <si>
    <t>ICS-WaterHeat_HET1</t>
  </si>
  <si>
    <t>OS-WaterHeat_HET1</t>
  </si>
  <si>
    <t>EDU-WaterHeat_HET1</t>
  </si>
  <si>
    <t>HSS-WaterHeat_HET1</t>
  </si>
  <si>
    <t>ART-WaterHeat_HET1</t>
  </si>
  <si>
    <t>AFM-WaterHeat_HET1</t>
  </si>
  <si>
    <t>OTH-WaterHeat_HET1</t>
  </si>
  <si>
    <t>Input</t>
  </si>
  <si>
    <t>Share-I~UP~2050</t>
  </si>
  <si>
    <t>R_ES-SH-SD_GAS_hydrogen_HE1</t>
  </si>
  <si>
    <t>RSDSYNH2CT</t>
  </si>
  <si>
    <t>R_ES-SH-SA_GAS_hydrogen_HE1</t>
  </si>
  <si>
    <t>R_ES-SH-AP_GAS_hydrogen_HE1</t>
  </si>
  <si>
    <t>*SpHeat_GAS_hydrogen1</t>
  </si>
  <si>
    <t>*SpCool_GAS_hydrogen1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</si>
  <si>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</si>
  <si>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</si>
  <si>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</si>
  <si>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</si>
  <si>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</si>
  <si>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</si>
  <si>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</si>
  <si>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</si>
  <si>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</si>
  <si>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</si>
  <si>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</si>
  <si>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</si>
  <si>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</si>
  <si>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</si>
  <si>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</si>
  <si>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</si>
  <si>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</si>
  <si>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</si>
  <si>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</si>
  <si>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</si>
  <si>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</si>
  <si>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</si>
  <si>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</si>
  <si>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</si>
  <si>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</si>
  <si>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</si>
  <si>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</si>
  <si>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</si>
  <si>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</si>
  <si>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</si>
  <si>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</si>
  <si>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</si>
  <si>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</si>
  <si>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</si>
  <si>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</si>
  <si>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</si>
  <si>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</si>
  <si>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</si>
  <si>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</si>
  <si>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</si>
  <si>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</si>
  <si>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</si>
  <si>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</si>
  <si>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</si>
  <si>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</si>
  <si>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</si>
  <si>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</si>
  <si>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</si>
  <si>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</si>
  <si>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</si>
  <si>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</si>
  <si>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</si>
  <si>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</si>
  <si>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</si>
  <si>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</si>
  <si>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</si>
  <si>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</si>
  <si>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</si>
  <si>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</si>
  <si>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</si>
  <si>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</si>
  <si>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</si>
  <si>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</si>
  <si>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</si>
  <si>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</si>
  <si>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</si>
  <si>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</si>
  <si>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</si>
  <si>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</si>
  <si>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</si>
  <si>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</si>
  <si>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</si>
  <si>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</si>
  <si>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</si>
  <si>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</si>
  <si>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</si>
  <si>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</si>
  <si>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</si>
  <si>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*There is no AGR new investment given that CEF default consider its demand as unchanged (see CEF reports, it only model the other sectors' demand changes)</t>
  </si>
  <si>
    <t>*Also we consider there is no new investment for agriculture or industry facilities given who can live longer than 30 years, this assumption is made after referring to other TIMES models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</si>
</sst>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5" formatCode="&quot;$&quot;#,##0;\-&quot;$&quot;#,##0"/>
    <numFmt numFmtId="41" formatCode="_-* #,##0_-;\-* #,##0_-;_-* &quot;-&quot;_-;_-@_-"/>
    <numFmt numFmtId="44" formatCode="_-&quot;$&quot;* #,##0.00_-;\-&quot;$&quot;* #,##0.00_-;_-&quot;$&quot;* &quot;-&quot;??_-;_-@_-"/>
    <numFmt numFmtId="43" formatCode="_-* #,##0.00_-;\-* #,##0.00_-;_-* &quot;-&quot;??_-;_-@_-"/>
    <numFmt numFmtId="165" formatCode="_-* #,##0.00\ _€_-;\-* #,##0.00\ _€_-;_-* &quot;-&quot;??\ _€_-;_-@_-"/>
    <numFmt numFmtId="166" formatCode="0.0%"/>
    <numFmt numFmtId="167" formatCode="_ * #,##0.00_ ;_ * \-#,##0.00_ ;_ * &quot;-&quot;??_ ;_ @_ "/>
    <numFmt numFmtId="168" formatCode="_-&quot;£&quot;* #,##0.00_-;\-&quot;£&quot;* #,##0.00_-;_-&quot;£&quot;* &quot;-&quot;??_-;_-@_-"/>
    <numFmt numFmtId="169" formatCode="_-[$€-2]\ * #,##0.00_-;\-[$€-2]\ * #,##0.00_-;_-[$€-2]\ * &quot;-&quot;??_-"/>
    <numFmt numFmtId="170" formatCode="_([$€]* #,##0.00_);_([$€]* \(#,##0.00\);_([$€]* &quot;-&quot;??_);_(@_)"/>
    <numFmt numFmtId="171" formatCode="_([$€-2]* #,##0.00_);_([$€-2]* \(#,##0.00\);_([$€-2]* &quot;-&quot;??_)"/>
    <numFmt numFmtId="172" formatCode="_-* #,##0.00\ &quot;€&quot;_-;\-* #,##0.00\ &quot;€&quot;_-;_-* &quot;-&quot;??\ &quot;€&quot;_-;_-@_-"/>
    <numFmt numFmtId="173" formatCode="_-[$€-2]* #,##0.00_-;\-[$€-2]* #,##0.00_-;_-[$€-2]* &quot;-&quot;??_-"/>
    <numFmt numFmtId="174" formatCode="_-&quot;€&quot;\ * #,##0.00_-;\-&quot;€&quot;\ * #,##0.00_-;_-&quot;€&quot;\ * &quot;-&quot;??_-;_-@_-"/>
    <numFmt numFmtId="175" formatCode="_-[$€]* #,##0.00_-;\-[$€]* #,##0.00_-;_-[$€]* &quot;-&quot;??_-;_-@_-"/>
    <numFmt numFmtId="176" formatCode="General_)"/>
    <numFmt numFmtId="177" formatCode="\(##\);\(##\)"/>
    <numFmt numFmtId="178" formatCode="#,##0;\-\ #,##0;_-\ &quot;- &quot;"/>
    <numFmt numFmtId="179" formatCode="#,##0.0000"/>
    <numFmt numFmtId="180" formatCode="_ * #,##0_ ;_ * \-#,##0_ ;_ * &quot;-&quot;_ ;_ @_ "/>
    <numFmt numFmtId="181" formatCode="_ &quot;kr&quot;\ * #,##0_ ;_ &quot;kr&quot;\ * \-#,##0_ ;_ &quot;kr&quot;\ * &quot;-&quot;_ ;_ @_ "/>
    <numFmt numFmtId="182" formatCode="#,##0.0"/>
    <numFmt numFmtId="183" formatCode="_ &quot;kr&quot;\ * #,##0.00_ ;_ &quot;kr&quot;\ * \-#,##0.00_ ;_ &quot;kr&quot;\ * &quot;-&quot;??_ ;_ @_ "/>
    <numFmt numFmtId="184" formatCode="\Te\x\t"/>
    <numFmt numFmtId="185" formatCode="0.000"/>
  </numFmts>
  <fonts count="121">
    <font>
      <sz val="11"/>
      <color theme="1"/>
      <name val="Calibri"/>
      <charset val="134"/>
      <scheme val="minor"/>
    </font>
    <font>
      <sz val="10"/>
      <name val="Arial"/>
      <charset val="134"/>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b/>
      <sz val="10"/>
      <color theme="1"/>
      <name val="Arial"/>
      <charset val="134"/>
    </font>
    <font>
      <sz val="10.199999999999999"/>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u/>
      <sz val="10"/>
      <color theme="10"/>
      <name val="Arial"/>
      <charset val="134"/>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0"/>
      <color theme="1"/>
      <name val="Arial"/>
      <charset val="134"/>
    </font>
    <font>
      <sz val="12"/>
      <color rgb="FFFF0000"/>
      <name val="Calibri"/>
      <charset val="134"/>
      <scheme val="minor"/>
    </font>
    <font>
      <b/>
      <sz val="11"/>
      <color theme="1" tint="4.9989318521683403E-2"/>
      <name val="Calibri"/>
      <charset val="134"/>
      <scheme val="minor"/>
    </font>
    <font>
      <sz val="11"/>
      <color theme="1" tint="4.9989318521683403E-2"/>
      <name val="Calibri"/>
      <charset val="134"/>
      <scheme val="minor"/>
    </font>
    <font>
      <b/>
      <u/>
      <sz val="11"/>
      <color theme="1"/>
      <name val="Calibri"/>
      <charset val="134"/>
      <scheme val="minor"/>
    </font>
    <font>
      <b/>
      <sz val="11"/>
      <color theme="4" tint="-0.249977111117893"/>
      <name val="Calibri"/>
      <charset val="134"/>
      <scheme val="minor"/>
    </font>
    <font>
      <sz val="10"/>
      <color rgb="FFFF0000"/>
      <name val="Arial"/>
      <charset val="134"/>
    </font>
    <font>
      <sz val="10"/>
      <color rgb="FF000000"/>
      <name val="Arial"/>
      <charset val="134"/>
    </font>
    <font>
      <b/>
      <sz val="11"/>
      <color rgb="FF0070C0"/>
      <name val="Calibri"/>
      <charset val="134"/>
      <scheme val="minor"/>
    </font>
    <font>
      <u/>
      <sz val="11"/>
      <color theme="1"/>
      <name val="Calibri"/>
      <charset val="134"/>
      <scheme val="minor"/>
    </font>
    <font>
      <u/>
      <sz val="11"/>
      <color rgb="FF0000FF"/>
      <name val="Calibri"/>
      <charset val="134"/>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b/>
      <sz val="9"/>
      <name val="Tahoma"/>
      <charset val="134"/>
    </font>
    <font>
      <b/>
      <sz val="9"/>
      <name val="Tahoma"/>
      <charset val="1"/>
    </font>
    <font>
      <sz val="8"/>
      <name val="Tahoma"/>
      <charset val="134"/>
    </font>
    <font>
      <sz val="9"/>
      <name val="Tahoma"/>
      <charset val="134"/>
    </font>
    <font>
      <b/>
      <sz val="8"/>
      <name val="Tahoma"/>
      <charset val="134"/>
    </font>
    <font>
      <sz val="9"/>
      <name val="Tahoma"/>
      <charset val="1"/>
    </font>
    <font>
      <sz val="11"/>
      <color theme="1"/>
      <name val="Calibri"/>
      <charset val="134"/>
      <scheme val="minor"/>
    </font>
  </fonts>
  <fills count="78">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81536301767021"/>
        <bgColor indexed="64"/>
      </patternFill>
    </fill>
    <fill>
      <patternFill patternType="solid">
        <fgColor rgb="FFEBF1DE"/>
        <bgColor rgb="FF000000"/>
      </patternFill>
    </fill>
    <fill>
      <patternFill patternType="solid">
        <fgColor theme="8" tint="0.79970702230903046"/>
        <bgColor indexed="64"/>
      </patternFill>
    </fill>
    <fill>
      <patternFill patternType="solid">
        <fgColor theme="8" tint="0.39976195562608724"/>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0702230903046"/>
        <bgColor indexed="64"/>
      </patternFill>
    </fill>
    <fill>
      <patternFill patternType="solid">
        <fgColor theme="4" tint="0.79973754081850645"/>
        <bgColor indexed="64"/>
      </patternFill>
    </fill>
    <fill>
      <patternFill patternType="solid">
        <fgColor indexed="29"/>
        <bgColor indexed="64"/>
      </patternFill>
    </fill>
    <fill>
      <patternFill patternType="solid">
        <fgColor theme="5" tint="0.79970702230903046"/>
        <bgColor indexed="64"/>
      </patternFill>
    </fill>
    <fill>
      <patternFill patternType="solid">
        <fgColor theme="5" tint="0.79973754081850645"/>
        <bgColor indexed="64"/>
      </patternFill>
    </fill>
    <fill>
      <patternFill patternType="solid">
        <fgColor indexed="26"/>
        <bgColor indexed="64"/>
      </patternFill>
    </fill>
    <fill>
      <patternFill patternType="solid">
        <fgColor theme="6" tint="0.79970702230903046"/>
        <bgColor indexed="64"/>
      </patternFill>
    </fill>
    <fill>
      <patternFill patternType="solid">
        <fgColor theme="6" tint="0.79973754081850645"/>
        <bgColor indexed="64"/>
      </patternFill>
    </fill>
    <fill>
      <patternFill patternType="solid">
        <fgColor theme="7" tint="0.79970702230903046"/>
        <bgColor indexed="64"/>
      </patternFill>
    </fill>
    <fill>
      <patternFill patternType="solid">
        <fgColor theme="7" tint="0.79973754081850645"/>
        <bgColor indexed="64"/>
      </patternFill>
    </fill>
    <fill>
      <patternFill patternType="solid">
        <fgColor theme="8" tint="0.79973754081850645"/>
        <bgColor indexed="64"/>
      </patternFill>
    </fill>
    <fill>
      <patternFill patternType="solid">
        <fgColor theme="8" tint="0.79979857783745845"/>
        <bgColor indexed="64"/>
      </patternFill>
    </fill>
    <fill>
      <patternFill patternType="solid">
        <fgColor theme="9" tint="0.79970702230903046"/>
        <bgColor indexed="64"/>
      </patternFill>
    </fill>
    <fill>
      <patternFill patternType="solid">
        <fgColor theme="9" tint="0.79973754081850645"/>
        <bgColor indexed="64"/>
      </patternFill>
    </fill>
    <fill>
      <patternFill patternType="solid">
        <fgColor indexed="11"/>
        <bgColor indexed="64"/>
      </patternFill>
    </fill>
    <fill>
      <patternFill patternType="solid">
        <fgColor indexed="5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0091860713525"/>
        <bgColor indexed="64"/>
      </patternFill>
    </fill>
    <fill>
      <patternFill patternType="solid">
        <fgColor theme="4" tint="0.39973143711661124"/>
        <bgColor indexed="64"/>
      </patternFill>
    </fill>
    <fill>
      <patternFill patternType="solid">
        <fgColor indexed="53"/>
        <bgColor indexed="64"/>
      </patternFill>
    </fill>
    <fill>
      <patternFill patternType="solid">
        <fgColor theme="5" tint="0.39970091860713525"/>
        <bgColor indexed="64"/>
      </patternFill>
    </fill>
    <fill>
      <patternFill patternType="solid">
        <fgColor theme="5" tint="0.39973143711661124"/>
        <bgColor indexed="64"/>
      </patternFill>
    </fill>
    <fill>
      <patternFill patternType="solid">
        <fgColor theme="6" tint="0.39970091860713525"/>
        <bgColor indexed="64"/>
      </patternFill>
    </fill>
    <fill>
      <patternFill patternType="solid">
        <fgColor theme="6" tint="0.39973143711661124"/>
        <bgColor indexed="64"/>
      </patternFill>
    </fill>
    <fill>
      <patternFill patternType="solid">
        <fgColor theme="7" tint="0.39970091860713525"/>
        <bgColor indexed="64"/>
      </patternFill>
    </fill>
    <fill>
      <patternFill patternType="solid">
        <fgColor theme="7" tint="0.39973143711661124"/>
        <bgColor indexed="64"/>
      </patternFill>
    </fill>
    <fill>
      <patternFill patternType="solid">
        <fgColor theme="8" tint="0.39970091860713525"/>
        <bgColor indexed="64"/>
      </patternFill>
    </fill>
    <fill>
      <patternFill patternType="solid">
        <fgColor theme="8" tint="0.39973143711661124"/>
        <bgColor indexed="64"/>
      </patternFill>
    </fill>
    <fill>
      <patternFill patternType="solid">
        <fgColor theme="9" tint="0.39970091860713525"/>
        <bgColor indexed="64"/>
      </patternFill>
    </fill>
    <fill>
      <patternFill patternType="solid">
        <fgColor theme="9" tint="0.39973143711661124"/>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rgb="FFFFC7CE"/>
        <bgColor indexed="64"/>
      </patternFill>
    </fill>
    <fill>
      <patternFill patternType="solid">
        <fgColor indexed="9"/>
        <bgColor indexed="64"/>
      </patternFill>
    </fill>
    <fill>
      <patternFill patternType="solid">
        <fgColor indexed="5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34">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810">
    <xf numFmtId="0" fontId="0" fillId="0" borderId="0"/>
    <xf numFmtId="0" fontId="31" fillId="0" borderId="0" applyNumberFormat="0" applyFill="0" applyBorder="0" applyAlignment="0" applyProtection="0">
      <alignment vertical="center"/>
    </xf>
    <xf numFmtId="0" fontId="7" fillId="5" borderId="0" applyNumberFormat="0" applyBorder="0" applyAlignment="0" applyProtection="0"/>
    <xf numFmtId="0" fontId="120" fillId="9" borderId="0" applyNumberFormat="0" applyBorder="0" applyAlignment="0" applyProtection="0"/>
    <xf numFmtId="0" fontId="32" fillId="0" borderId="0" applyNumberFormat="0" applyFill="0" applyBorder="0" applyAlignment="0" applyProtection="0">
      <alignment vertical="center"/>
    </xf>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5" borderId="0" applyNumberFormat="0" applyBorder="0" applyAlignment="0" applyProtection="0"/>
    <xf numFmtId="0" fontId="33" fillId="16"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120" fillId="18" borderId="0" applyNumberFormat="0" applyBorder="0" applyAlignment="0" applyProtection="0"/>
    <xf numFmtId="0" fontId="120" fillId="19"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120" fillId="18"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120" fillId="19"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120" fillId="21" borderId="0" applyNumberFormat="0" applyBorder="0" applyAlignment="0" applyProtection="0"/>
    <xf numFmtId="0" fontId="120" fillId="22"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120" fillId="21"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120" fillId="22"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120" fillId="24" borderId="0" applyNumberFormat="0" applyBorder="0" applyAlignment="0" applyProtection="0"/>
    <xf numFmtId="0" fontId="120" fillId="25"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120" fillId="24"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120" fillId="25"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120" fillId="26" borderId="0" applyNumberFormat="0" applyBorder="0" applyAlignment="0" applyProtection="0"/>
    <xf numFmtId="0" fontId="120" fillId="27"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120" fillId="26"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120" fillId="27"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120" fillId="9" borderId="0" applyNumberFormat="0" applyBorder="0" applyAlignment="0" applyProtection="0"/>
    <xf numFmtId="0" fontId="120" fillId="28" borderId="0" applyNumberFormat="0" applyBorder="0" applyAlignment="0" applyProtection="0"/>
    <xf numFmtId="0" fontId="120" fillId="29" borderId="0" applyNumberFormat="0" applyBorder="0" applyAlignment="0" applyProtection="0">
      <alignment vertical="center"/>
    </xf>
    <xf numFmtId="0" fontId="34" fillId="15" borderId="0" applyNumberFormat="0" applyBorder="0" applyAlignment="0" applyProtection="0"/>
    <xf numFmtId="0" fontId="120" fillId="9" borderId="0" applyNumberFormat="0" applyBorder="0" applyAlignment="0" applyProtection="0"/>
    <xf numFmtId="0" fontId="34" fillId="15" borderId="0" applyNumberFormat="0" applyBorder="0" applyAlignment="0" applyProtection="0"/>
    <xf numFmtId="0" fontId="120" fillId="28"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120" fillId="9"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120" fillId="30" borderId="0" applyNumberFormat="0" applyBorder="0" applyAlignment="0" applyProtection="0"/>
    <xf numFmtId="0" fontId="120" fillId="30" borderId="0" applyNumberFormat="0" applyBorder="0" applyAlignment="0" applyProtection="0"/>
    <xf numFmtId="0" fontId="120" fillId="31" borderId="0" applyNumberFormat="0" applyBorder="0" applyAlignment="0" applyProtection="0"/>
    <xf numFmtId="0" fontId="120" fillId="31" borderId="0" applyNumberFormat="0" applyBorder="0" applyAlignment="0" applyProtection="0"/>
    <xf numFmtId="0" fontId="120" fillId="30" borderId="0" applyNumberFormat="0" applyBorder="0" applyAlignment="0" applyProtection="0"/>
    <xf numFmtId="0" fontId="120" fillId="31"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120" fillId="30"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120" fillId="31"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1" borderId="0" applyNumberFormat="0" applyBorder="0" applyAlignment="0" applyProtection="0"/>
    <xf numFmtId="0" fontId="34" fillId="12" borderId="0" applyNumberFormat="0" applyBorder="0" applyAlignment="0" applyProtection="0"/>
    <xf numFmtId="0" fontId="34" fillId="13" borderId="0" applyNumberFormat="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49" fontId="35" fillId="0" borderId="6" applyNumberFormat="0" applyFont="0" applyFill="0" applyBorder="0" applyProtection="0">
      <alignment horizontal="left" vertical="center" indent="2"/>
    </xf>
    <xf numFmtId="0" fontId="33" fillId="17" borderId="0" applyNumberFormat="0" applyBorder="0" applyAlignment="0" applyProtection="0"/>
    <xf numFmtId="0" fontId="33" fillId="20" borderId="0" applyNumberFormat="0" applyBorder="0" applyAlignment="0" applyProtection="0"/>
    <xf numFmtId="0" fontId="33" fillId="32" borderId="0" applyNumberFormat="0" applyBorder="0" applyAlignment="0" applyProtection="0"/>
    <xf numFmtId="0" fontId="33" fillId="14" borderId="0" applyNumberFormat="0" applyBorder="0" applyAlignment="0" applyProtection="0"/>
    <xf numFmtId="0" fontId="33" fillId="17" borderId="0" applyNumberFormat="0" applyBorder="0" applyAlignment="0" applyProtection="0"/>
    <xf numFmtId="0" fontId="33" fillId="33"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120" fillId="34"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120" fillId="34"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120" fillId="35" borderId="0" applyNumberFormat="0" applyBorder="0" applyAlignment="0" applyProtection="0"/>
    <xf numFmtId="0" fontId="34" fillId="20" borderId="0" applyNumberFormat="0" applyBorder="0" applyAlignment="0" applyProtection="0"/>
    <xf numFmtId="0" fontId="120" fillId="35"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120" fillId="35" borderId="0" applyNumberFormat="0" applyBorder="0" applyAlignment="0" applyProtection="0"/>
    <xf numFmtId="0" fontId="34" fillId="20" borderId="0" applyNumberFormat="0" applyBorder="0" applyAlignment="0" applyProtection="0"/>
    <xf numFmtId="0" fontId="120" fillId="35"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120" fillId="36"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120" fillId="36"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32" borderId="0" applyNumberFormat="0" applyBorder="0" applyAlignment="0" applyProtection="0"/>
    <xf numFmtId="0" fontId="34" fillId="32"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120" fillId="37"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120" fillId="37"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120" fillId="38"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120" fillId="38"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120" fillId="39"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120" fillId="39"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33" borderId="0" applyNumberFormat="0" applyBorder="0" applyAlignment="0" applyProtection="0"/>
    <xf numFmtId="0" fontId="34" fillId="33" borderId="0" applyNumberFormat="0" applyBorder="0" applyAlignment="0" applyProtection="0"/>
    <xf numFmtId="0" fontId="34" fillId="17" borderId="0" applyNumberFormat="0" applyBorder="0" applyAlignment="0" applyProtection="0"/>
    <xf numFmtId="0" fontId="34" fillId="20" borderId="0" applyNumberFormat="0" applyBorder="0" applyAlignment="0" applyProtection="0"/>
    <xf numFmtId="0" fontId="34" fillId="32" borderId="0" applyNumberFormat="0" applyBorder="0" applyAlignment="0" applyProtection="0"/>
    <xf numFmtId="0" fontId="34" fillId="14" borderId="0" applyNumberFormat="0" applyBorder="0" applyAlignment="0" applyProtection="0"/>
    <xf numFmtId="0" fontId="34" fillId="17" borderId="0" applyNumberFormat="0" applyBorder="0" applyAlignment="0" applyProtection="0"/>
    <xf numFmtId="0" fontId="34" fillId="33" borderId="0" applyNumberFormat="0" applyBorder="0" applyAlignment="0" applyProtection="0"/>
    <xf numFmtId="0" fontId="1" fillId="0" borderId="0" applyNumberFormat="0" applyFont="0" applyFill="0" applyBorder="0" applyProtection="0">
      <alignment horizontal="left" vertical="center" indent="5"/>
    </xf>
    <xf numFmtId="0" fontId="36" fillId="40" borderId="0" applyNumberFormat="0" applyBorder="0" applyAlignment="0" applyProtection="0"/>
    <xf numFmtId="0" fontId="36" fillId="20" borderId="0" applyNumberFormat="0" applyBorder="0" applyAlignment="0" applyProtection="0"/>
    <xf numFmtId="0" fontId="36" fillId="32"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15" borderId="0" applyNumberFormat="0" applyBorder="0" applyAlignment="0" applyProtection="0"/>
    <xf numFmtId="0" fontId="37" fillId="40" borderId="0" applyNumberFormat="0" applyBorder="0" applyAlignment="0" applyProtection="0"/>
    <xf numFmtId="0" fontId="7" fillId="44" borderId="0" applyNumberFormat="0" applyBorder="0" applyAlignment="0" applyProtection="0"/>
    <xf numFmtId="0" fontId="37" fillId="15" borderId="0" applyNumberFormat="0" applyBorder="0" applyAlignment="0" applyProtection="0"/>
    <xf numFmtId="0" fontId="7" fillId="44" borderId="0" applyNumberFormat="0" applyBorder="0" applyAlignment="0" applyProtection="0"/>
    <xf numFmtId="0" fontId="7" fillId="4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15" borderId="0" applyNumberFormat="0" applyBorder="0" applyAlignment="0" applyProtection="0"/>
    <xf numFmtId="0" fontId="37" fillId="40" borderId="0" applyNumberFormat="0" applyBorder="0" applyAlignment="0" applyProtection="0"/>
    <xf numFmtId="0" fontId="37" fillId="15"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7" fillId="44" borderId="0" applyNumberFormat="0" applyBorder="0" applyAlignment="0" applyProtection="0"/>
    <xf numFmtId="0" fontId="37" fillId="40" borderId="0" applyNumberFormat="0" applyBorder="0" applyAlignment="0" applyProtection="0"/>
    <xf numFmtId="0" fontId="7" fillId="45"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46" borderId="0" applyNumberFormat="0" applyBorder="0" applyAlignment="0" applyProtection="0"/>
    <xf numFmtId="0" fontId="37" fillId="20" borderId="0" applyNumberFormat="0" applyBorder="0" applyAlignment="0" applyProtection="0"/>
    <xf numFmtId="0" fontId="7" fillId="47" borderId="0" applyNumberFormat="0" applyBorder="0" applyAlignment="0" applyProtection="0"/>
    <xf numFmtId="0" fontId="37" fillId="46" borderId="0" applyNumberFormat="0" applyBorder="0" applyAlignment="0" applyProtection="0"/>
    <xf numFmtId="0" fontId="7" fillId="47" borderId="0" applyNumberFormat="0" applyBorder="0" applyAlignment="0" applyProtection="0"/>
    <xf numFmtId="0" fontId="7" fillId="48"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46" borderId="0" applyNumberFormat="0" applyBorder="0" applyAlignment="0" applyProtection="0"/>
    <xf numFmtId="0" fontId="37" fillId="20" borderId="0" applyNumberFormat="0" applyBorder="0" applyAlignment="0" applyProtection="0"/>
    <xf numFmtId="0" fontId="37" fillId="46"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7" fillId="47" borderId="0" applyNumberFormat="0" applyBorder="0" applyAlignment="0" applyProtection="0"/>
    <xf numFmtId="0" fontId="37" fillId="20" borderId="0" applyNumberFormat="0" applyBorder="0" applyAlignment="0" applyProtection="0"/>
    <xf numFmtId="0" fontId="7" fillId="48"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2" borderId="0" applyNumberFormat="0" applyBorder="0" applyAlignment="0" applyProtection="0"/>
    <xf numFmtId="0" fontId="7" fillId="49" borderId="0" applyNumberFormat="0" applyBorder="0" applyAlignment="0" applyProtection="0"/>
    <xf numFmtId="0" fontId="37" fillId="33" borderId="0" applyNumberFormat="0" applyBorder="0" applyAlignment="0" applyProtection="0"/>
    <xf numFmtId="0" fontId="7" fillId="49" borderId="0" applyNumberFormat="0" applyBorder="0" applyAlignment="0" applyProtection="0"/>
    <xf numFmtId="0" fontId="7" fillId="50"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7" fillId="49" borderId="0" applyNumberFormat="0" applyBorder="0" applyAlignment="0" applyProtection="0"/>
    <xf numFmtId="0" fontId="37" fillId="32" borderId="0" applyNumberFormat="0" applyBorder="0" applyAlignment="0" applyProtection="0"/>
    <xf numFmtId="0" fontId="7" fillId="50"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12" borderId="0" applyNumberFormat="0" applyBorder="0" applyAlignment="0" applyProtection="0"/>
    <xf numFmtId="0" fontId="37" fillId="41" borderId="0" applyNumberFormat="0" applyBorder="0" applyAlignment="0" applyProtection="0"/>
    <xf numFmtId="0" fontId="7" fillId="51" borderId="0" applyNumberFormat="0" applyBorder="0" applyAlignment="0" applyProtection="0"/>
    <xf numFmtId="0" fontId="37" fillId="12" borderId="0" applyNumberFormat="0" applyBorder="0" applyAlignment="0" applyProtection="0"/>
    <xf numFmtId="0" fontId="7" fillId="51" borderId="0" applyNumberFormat="0" applyBorder="0" applyAlignment="0" applyProtection="0"/>
    <xf numFmtId="0" fontId="7" fillId="5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12" borderId="0" applyNumberFormat="0" applyBorder="0" applyAlignment="0" applyProtection="0"/>
    <xf numFmtId="0" fontId="37" fillId="41" borderId="0" applyNumberFormat="0" applyBorder="0" applyAlignment="0" applyProtection="0"/>
    <xf numFmtId="0" fontId="37" fillId="12"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7" fillId="51" borderId="0" applyNumberFormat="0" applyBorder="0" applyAlignment="0" applyProtection="0"/>
    <xf numFmtId="0" fontId="37" fillId="41" borderId="0" applyNumberFormat="0" applyBorder="0" applyAlignment="0" applyProtection="0"/>
    <xf numFmtId="0" fontId="7" fillId="52"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15" borderId="0" applyNumberFormat="0" applyBorder="0" applyAlignment="0" applyProtection="0"/>
    <xf numFmtId="0" fontId="37" fillId="42" borderId="0" applyNumberFormat="0" applyBorder="0" applyAlignment="0" applyProtection="0"/>
    <xf numFmtId="0" fontId="7" fillId="53" borderId="0" applyNumberFormat="0" applyBorder="0" applyAlignment="0" applyProtection="0"/>
    <xf numFmtId="0" fontId="37" fillId="15" borderId="0" applyNumberFormat="0" applyBorder="0" applyAlignment="0" applyProtection="0"/>
    <xf numFmtId="0" fontId="7" fillId="53" borderId="0" applyNumberFormat="0" applyBorder="0" applyAlignment="0" applyProtection="0"/>
    <xf numFmtId="0" fontId="7" fillId="54"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15" borderId="0" applyNumberFormat="0" applyBorder="0" applyAlignment="0" applyProtection="0"/>
    <xf numFmtId="0" fontId="37" fillId="42" borderId="0" applyNumberFormat="0" applyBorder="0" applyAlignment="0" applyProtection="0"/>
    <xf numFmtId="0" fontId="37" fillId="15"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7" fillId="53" borderId="0" applyNumberFormat="0" applyBorder="0" applyAlignment="0" applyProtection="0"/>
    <xf numFmtId="0" fontId="37" fillId="42" borderId="0" applyNumberFormat="0" applyBorder="0" applyAlignment="0" applyProtection="0"/>
    <xf numFmtId="0" fontId="7" fillId="54"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20" borderId="0" applyNumberFormat="0" applyBorder="0" applyAlignment="0" applyProtection="0"/>
    <xf numFmtId="0" fontId="37" fillId="43" borderId="0" applyNumberFormat="0" applyBorder="0" applyAlignment="0" applyProtection="0"/>
    <xf numFmtId="0" fontId="7" fillId="55" borderId="0" applyNumberFormat="0" applyBorder="0" applyAlignment="0" applyProtection="0"/>
    <xf numFmtId="0" fontId="37" fillId="20" borderId="0" applyNumberFormat="0" applyBorder="0" applyAlignment="0" applyProtection="0"/>
    <xf numFmtId="0" fontId="7" fillId="55" borderId="0" applyNumberFormat="0" applyBorder="0" applyAlignment="0" applyProtection="0"/>
    <xf numFmtId="0" fontId="7" fillId="56"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20"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20" borderId="0" applyNumberFormat="0" applyBorder="0" applyAlignment="0" applyProtection="0"/>
    <xf numFmtId="0" fontId="37" fillId="43" borderId="0" applyNumberFormat="0" applyBorder="0" applyAlignment="0" applyProtection="0"/>
    <xf numFmtId="0" fontId="37" fillId="20"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7" fillId="55" borderId="0" applyNumberFormat="0" applyBorder="0" applyAlignment="0" applyProtection="0"/>
    <xf numFmtId="0" fontId="37" fillId="43" borderId="0" applyNumberFormat="0" applyBorder="0" applyAlignment="0" applyProtection="0"/>
    <xf numFmtId="0" fontId="7" fillId="56"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0" borderId="0" applyNumberFormat="0" applyBorder="0" applyAlignment="0" applyProtection="0"/>
    <xf numFmtId="0" fontId="37" fillId="20" borderId="0" applyNumberFormat="0" applyBorder="0" applyAlignment="0" applyProtection="0"/>
    <xf numFmtId="0" fontId="37" fillId="32" borderId="0" applyNumberFormat="0" applyBorder="0" applyAlignment="0" applyProtection="0"/>
    <xf numFmtId="0" fontId="37" fillId="41" borderId="0" applyNumberFormat="0" applyBorder="0" applyAlignment="0" applyProtection="0"/>
    <xf numFmtId="0" fontId="37" fillId="42" borderId="0" applyNumberFormat="0" applyBorder="0" applyAlignment="0" applyProtection="0"/>
    <xf numFmtId="0" fontId="37" fillId="43" borderId="0" applyNumberFormat="0" applyBorder="0" applyAlignment="0" applyProtection="0"/>
    <xf numFmtId="0" fontId="37" fillId="41"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8" borderId="0" applyNumberFormat="0" applyBorder="0" applyAlignment="0" applyProtection="0"/>
    <xf numFmtId="0" fontId="37" fillId="57" borderId="0" applyNumberFormat="0" applyBorder="0" applyAlignment="0" applyProtection="0"/>
    <xf numFmtId="0" fontId="37" fillId="58"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46" borderId="0" applyNumberFormat="0" applyBorder="0" applyAlignment="0" applyProtection="0"/>
    <xf numFmtId="0" fontId="37" fillId="59" borderId="0" applyNumberFormat="0" applyBorder="0" applyAlignment="0" applyProtection="0"/>
    <xf numFmtId="0" fontId="37" fillId="46"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33" borderId="0" applyNumberFormat="0" applyBorder="0" applyAlignment="0" applyProtection="0"/>
    <xf numFmtId="0" fontId="37" fillId="60" borderId="0" applyNumberFormat="0" applyBorder="0" applyAlignment="0" applyProtection="0"/>
    <xf numFmtId="0" fontId="37" fillId="33"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61" borderId="0" applyNumberFormat="0" applyBorder="0" applyAlignment="0" applyProtection="0"/>
    <xf numFmtId="0" fontId="37" fillId="41" borderId="0" applyNumberFormat="0" applyBorder="0" applyAlignment="0" applyProtection="0"/>
    <xf numFmtId="0" fontId="37" fillId="6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59" borderId="0" applyNumberFormat="0" applyBorder="0" applyAlignment="0" applyProtection="0"/>
    <xf numFmtId="0" fontId="37" fillId="46" borderId="0" applyNumberFormat="0" applyBorder="0" applyAlignment="0" applyProtection="0"/>
    <xf numFmtId="0" fontId="37" fillId="59"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8" fillId="15" borderId="0" applyBorder="0" applyAlignment="0"/>
    <xf numFmtId="0" fontId="35" fillId="15" borderId="0" applyBorder="0">
      <alignment horizontal="right" vertical="center"/>
    </xf>
    <xf numFmtId="0" fontId="35" fillId="13" borderId="0" applyBorder="0">
      <alignment horizontal="right" vertical="center"/>
    </xf>
    <xf numFmtId="0" fontId="35" fillId="13" borderId="0" applyBorder="0">
      <alignment horizontal="right" vertical="center"/>
    </xf>
    <xf numFmtId="0" fontId="39" fillId="13" borderId="6">
      <alignment horizontal="right" vertical="center"/>
    </xf>
    <xf numFmtId="0" fontId="40" fillId="13" borderId="6">
      <alignment horizontal="right" vertical="center"/>
    </xf>
    <xf numFmtId="0" fontId="39" fillId="16" borderId="6">
      <alignment horizontal="right" vertical="center"/>
    </xf>
    <xf numFmtId="0" fontId="39" fillId="16" borderId="6">
      <alignment horizontal="right" vertical="center"/>
    </xf>
    <xf numFmtId="0" fontId="39" fillId="16" borderId="10">
      <alignment horizontal="right" vertical="center"/>
    </xf>
    <xf numFmtId="0" fontId="39" fillId="16" borderId="11">
      <alignment horizontal="right" vertical="center"/>
    </xf>
    <xf numFmtId="0" fontId="39" fillId="16" borderId="12">
      <alignment horizontal="right" vertical="center"/>
    </xf>
    <xf numFmtId="0" fontId="37" fillId="57" borderId="0" applyNumberFormat="0" applyBorder="0" applyAlignment="0" applyProtection="0"/>
    <xf numFmtId="0" fontId="37" fillId="59" borderId="0" applyNumberFormat="0" applyBorder="0" applyAlignment="0" applyProtection="0"/>
    <xf numFmtId="0" fontId="37" fillId="60" borderId="0" applyNumberFormat="0" applyBorder="0" applyAlignment="0" applyProtection="0"/>
    <xf numFmtId="0" fontId="37" fillId="41" borderId="0" applyNumberFormat="0" applyBorder="0" applyAlignment="0" applyProtection="0"/>
    <xf numFmtId="0" fontId="37" fillId="42" borderId="0" applyNumberFormat="0" applyBorder="0" applyAlignment="0" applyProtection="0"/>
    <xf numFmtId="0" fontId="37" fillId="46" borderId="0" applyNumberFormat="0" applyBorder="0" applyAlignment="0" applyProtection="0"/>
    <xf numFmtId="0" fontId="41" fillId="62" borderId="13" applyNumberFormat="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4" borderId="0" applyNumberFormat="0" applyBorder="0" applyAlignment="0" applyProtection="0"/>
    <xf numFmtId="0" fontId="42" fillId="12" borderId="0" applyNumberFormat="0" applyBorder="0" applyAlignment="0" applyProtection="0"/>
    <xf numFmtId="0" fontId="42" fillId="14"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3" fillId="63"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4" fillId="62" borderId="14" applyNumberFormat="0" applyAlignment="0" applyProtection="0"/>
    <xf numFmtId="0" fontId="45" fillId="16" borderId="14" applyNumberFormat="0" applyAlignment="0" applyProtection="0"/>
    <xf numFmtId="4" fontId="38" fillId="0" borderId="7" applyFill="0" applyBorder="0" applyProtection="0">
      <alignment horizontal="right" vertical="center"/>
    </xf>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6" fillId="64" borderId="14" applyNumberFormat="0" applyAlignment="0" applyProtection="0"/>
    <xf numFmtId="0" fontId="46" fillId="64" borderId="14" applyNumberFormat="0" applyAlignment="0" applyProtection="0"/>
    <xf numFmtId="0" fontId="46" fillId="64" borderId="14" applyNumberFormat="0" applyAlignment="0" applyProtection="0"/>
    <xf numFmtId="0" fontId="46" fillId="64" borderId="14" applyNumberFormat="0" applyAlignment="0" applyProtection="0"/>
    <xf numFmtId="0" fontId="46" fillId="64" borderId="14" applyNumberFormat="0" applyAlignment="0" applyProtection="0"/>
    <xf numFmtId="0" fontId="46" fillId="64" borderId="14" applyNumberFormat="0" applyAlignment="0" applyProtection="0"/>
    <xf numFmtId="0" fontId="46" fillId="64" borderId="14" applyNumberFormat="0" applyAlignment="0" applyProtection="0"/>
    <xf numFmtId="0" fontId="46" fillId="64" borderId="14" applyNumberFormat="0" applyAlignment="0" applyProtection="0"/>
    <xf numFmtId="0" fontId="46" fillId="64"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6" fillId="64" borderId="14" applyNumberFormat="0" applyAlignment="0" applyProtection="0"/>
    <xf numFmtId="0" fontId="44" fillId="62" borderId="14" applyNumberFormat="0" applyAlignment="0" applyProtection="0"/>
    <xf numFmtId="0" fontId="46" fillId="64"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4" fillId="62" borderId="14"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7" fillId="65" borderId="15" applyNumberFormat="0" applyAlignment="0" applyProtection="0"/>
    <xf numFmtId="0" fontId="48" fillId="0" borderId="0" applyNumberFormat="0" applyFill="0" applyBorder="0" applyAlignment="0" applyProtection="0"/>
    <xf numFmtId="0" fontId="49" fillId="0" borderId="16" applyNumberFormat="0" applyFill="0" applyAlignment="0" applyProtection="0"/>
    <xf numFmtId="0" fontId="50" fillId="0" borderId="17" applyNumberFormat="0" applyFill="0" applyAlignment="0" applyProtection="0"/>
    <xf numFmtId="0" fontId="51" fillId="0" borderId="18" applyNumberFormat="0" applyFill="0" applyAlignment="0" applyProtection="0"/>
    <xf numFmtId="0" fontId="51" fillId="0" borderId="0" applyNumberFormat="0" applyFill="0" applyBorder="0" applyAlignment="0" applyProtection="0"/>
    <xf numFmtId="49" fontId="1" fillId="15" borderId="19">
      <alignment vertical="top" wrapText="1"/>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5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5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39" fillId="0" borderId="0" applyNumberFormat="0">
      <alignment horizontal="right"/>
    </xf>
    <xf numFmtId="168" fontId="34"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35" fillId="16" borderId="20">
      <alignment horizontal="left" vertical="center" wrapText="1" indent="2"/>
    </xf>
    <xf numFmtId="0" fontId="35" fillId="0" borderId="20">
      <alignment horizontal="left" vertical="center" wrapText="1" indent="2"/>
    </xf>
    <xf numFmtId="0" fontId="35" fillId="13" borderId="11">
      <alignment horizontal="left" vertical="center"/>
    </xf>
    <xf numFmtId="0" fontId="39" fillId="0" borderId="21">
      <alignment horizontal="left" vertical="top" wrapText="1"/>
    </xf>
    <xf numFmtId="3" fontId="54" fillId="0" borderId="19">
      <alignment horizontal="right" vertical="top"/>
    </xf>
    <xf numFmtId="0" fontId="55" fillId="16" borderId="14" applyNumberFormat="0" applyAlignment="0" applyProtection="0"/>
    <xf numFmtId="0" fontId="56" fillId="65" borderId="15" applyNumberFormat="0" applyAlignment="0" applyProtection="0"/>
    <xf numFmtId="0" fontId="57" fillId="0" borderId="22"/>
    <xf numFmtId="0" fontId="5" fillId="42" borderId="6">
      <alignment horizontal="centerContinuous" vertical="top" wrapText="1"/>
    </xf>
    <xf numFmtId="0" fontId="58" fillId="0" borderId="0">
      <alignment vertical="top" wrapText="1"/>
    </xf>
    <xf numFmtId="0" fontId="59" fillId="0" borderId="23" applyNumberFormat="0" applyFill="0" applyAlignment="0" applyProtection="0"/>
    <xf numFmtId="0" fontId="60" fillId="0" borderId="0" applyNumberFormat="0" applyFill="0" applyBorder="0" applyAlignment="0" applyProtection="0"/>
    <xf numFmtId="0" fontId="61" fillId="0" borderId="0">
      <alignment vertical="top"/>
    </xf>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70"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69"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69"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0"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70" fontId="1" fillId="0" borderId="0" applyFont="0" applyFill="0" applyBorder="0" applyAlignment="0" applyProtection="0"/>
    <xf numFmtId="173" fontId="52" fillId="0" borderId="0" applyFont="0" applyFill="0" applyBorder="0" applyAlignment="0" applyProtection="0"/>
    <xf numFmtId="170"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71" fontId="1" fillId="0" borderId="0" applyFont="0" applyFill="0" applyBorder="0" applyAlignment="0" applyProtection="0"/>
    <xf numFmtId="174" fontId="1" fillId="0" borderId="0" applyFont="0" applyFill="0" applyBorder="0" applyAlignment="0" applyProtection="0"/>
    <xf numFmtId="171" fontId="1" fillId="0" borderId="0" applyFont="0" applyFill="0" applyBorder="0" applyAlignment="0" applyProtection="0"/>
    <xf numFmtId="169"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170" fontId="1" fillId="0" borderId="0" applyFont="0" applyFill="0" applyBorder="0" applyAlignment="0" applyProtection="0"/>
    <xf numFmtId="175" fontId="1" fillId="0" borderId="0" applyFont="0" applyFill="0" applyBorder="0" applyAlignment="0" applyProtection="0"/>
    <xf numFmtId="170" fontId="1" fillId="0" borderId="0" applyFont="0" applyFill="0" applyBorder="0" applyAlignment="0" applyProtection="0"/>
    <xf numFmtId="174"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72" fontId="1" fillId="0" borderId="0" applyFont="0" applyFill="0" applyBorder="0" applyAlignment="0" applyProtection="0"/>
    <xf numFmtId="169" fontId="1" fillId="0" borderId="0" applyFont="0" applyFill="0" applyBorder="0" applyAlignment="0" applyProtection="0"/>
    <xf numFmtId="173" fontId="52"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70" fontId="1" fillId="0" borderId="0" applyFont="0" applyFill="0" applyBorder="0" applyAlignment="0" applyProtection="0"/>
    <xf numFmtId="175" fontId="1" fillId="0" borderId="0" applyFont="0" applyFill="0" applyBorder="0" applyAlignment="0" applyProtection="0"/>
    <xf numFmtId="170" fontId="1" fillId="0" borderId="0" applyFont="0" applyFill="0" applyBorder="0" applyAlignment="0" applyProtection="0"/>
    <xf numFmtId="173" fontId="52"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70"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75" fontId="1" fillId="0" borderId="0" applyFon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43" fontId="1" fillId="0" borderId="0" applyFont="0" applyFill="0" applyBorder="0" applyAlignment="0" applyProtection="0"/>
    <xf numFmtId="0" fontId="62" fillId="0" borderId="0" applyNumberForma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52" fillId="0" borderId="0" applyFont="0" applyFill="0" applyBorder="0" applyAlignment="0" applyProtection="0"/>
    <xf numFmtId="11" fontId="52" fillId="0" borderId="0" applyFont="0" applyFill="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3"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4" fillId="66"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5"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5" borderId="0" applyNumberFormat="0" applyBorder="0" applyAlignment="0" applyProtection="0"/>
    <xf numFmtId="0" fontId="63" fillId="13" borderId="0" applyNumberFormat="0" applyBorder="0" applyAlignment="0" applyProtection="0"/>
    <xf numFmtId="0" fontId="63" fillId="15"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5" fillId="66" borderId="0" applyNumberFormat="0" applyBorder="0" applyAlignment="0" applyProtection="0"/>
    <xf numFmtId="0" fontId="65" fillId="66"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3" fillId="13" borderId="0" applyNumberFormat="0" applyBorder="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7" fillId="0" borderId="24" applyNumberFormat="0" applyFill="0" applyAlignment="0" applyProtection="0"/>
    <xf numFmtId="0" fontId="66" fillId="0" borderId="16" applyNumberFormat="0" applyFill="0" applyAlignment="0" applyProtection="0"/>
    <xf numFmtId="0" fontId="67" fillId="0" borderId="24"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6" fillId="0" borderId="16"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9" fillId="0" borderId="25" applyNumberFormat="0" applyFill="0" applyAlignment="0" applyProtection="0"/>
    <xf numFmtId="0" fontId="68" fillId="0" borderId="17" applyNumberFormat="0" applyFill="0" applyAlignment="0" applyProtection="0"/>
    <xf numFmtId="0" fontId="69" fillId="0" borderId="25"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68" fillId="0" borderId="17"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1" fillId="0" borderId="26" applyNumberFormat="0" applyFill="0" applyAlignment="0" applyProtection="0"/>
    <xf numFmtId="0" fontId="70" fillId="0" borderId="18" applyNumberFormat="0" applyFill="0" applyAlignment="0" applyProtection="0"/>
    <xf numFmtId="0" fontId="71" fillId="0" borderId="26"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18" applyNumberFormat="0" applyFill="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3" fillId="0" borderId="27" applyNumberFormat="0" applyFill="0" applyAlignment="0" applyProtection="0"/>
    <xf numFmtId="0" fontId="74" fillId="0" borderId="0" applyNumberFormat="0" applyFill="0" applyBorder="0" applyAlignment="0" applyProtection="0">
      <alignment vertical="top"/>
      <protection locked="0"/>
    </xf>
    <xf numFmtId="0" fontId="74" fillId="0" borderId="0" applyNumberFormat="0" applyFill="0" applyBorder="0" applyAlignment="0" applyProtection="0">
      <alignment vertical="top"/>
      <protection locked="0"/>
    </xf>
    <xf numFmtId="0" fontId="16" fillId="0" borderId="0" applyNumberFormat="0" applyFill="0" applyBorder="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4" borderId="14" applyNumberFormat="0" applyAlignment="0" applyProtection="0"/>
    <xf numFmtId="0" fontId="55" fillId="4" borderId="14" applyNumberFormat="0" applyAlignment="0" applyProtection="0"/>
    <xf numFmtId="0" fontId="55" fillId="4" borderId="14" applyNumberFormat="0" applyAlignment="0" applyProtection="0"/>
    <xf numFmtId="0" fontId="55" fillId="16" borderId="14" applyNumberFormat="0" applyAlignment="0" applyProtection="0"/>
    <xf numFmtId="0" fontId="55" fillId="4" borderId="14" applyNumberFormat="0" applyAlignment="0" applyProtection="0"/>
    <xf numFmtId="0" fontId="55" fillId="4" borderId="14" applyNumberFormat="0" applyAlignment="0" applyProtection="0"/>
    <xf numFmtId="0" fontId="75" fillId="67" borderId="9" applyNumberFormat="0" applyAlignment="0" applyProtection="0"/>
    <xf numFmtId="0" fontId="55" fillId="4" borderId="14" applyNumberFormat="0" applyAlignment="0" applyProtection="0"/>
    <xf numFmtId="0" fontId="55" fillId="4" borderId="14" applyNumberFormat="0" applyAlignment="0" applyProtection="0"/>
    <xf numFmtId="0" fontId="55" fillId="4" borderId="14" applyNumberFormat="0" applyAlignment="0" applyProtection="0"/>
    <xf numFmtId="0" fontId="55" fillId="4" borderId="14" applyNumberFormat="0" applyAlignment="0" applyProtection="0"/>
    <xf numFmtId="0" fontId="55" fillId="4" borderId="14" applyNumberFormat="0" applyAlignment="0" applyProtection="0"/>
    <xf numFmtId="0" fontId="55" fillId="4"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76" fillId="67" borderId="9"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76" fillId="67" borderId="9" applyNumberFormat="0" applyAlignment="0" applyProtection="0"/>
    <xf numFmtId="0" fontId="55" fillId="4" borderId="14" applyNumberFormat="0" applyAlignment="0" applyProtection="0"/>
    <xf numFmtId="0" fontId="55" fillId="16" borderId="14" applyNumberFormat="0" applyAlignment="0" applyProtection="0"/>
    <xf numFmtId="0" fontId="55" fillId="4"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0" fontId="55" fillId="16" borderId="14" applyNumberFormat="0" applyAlignment="0" applyProtection="0"/>
    <xf numFmtId="4" fontId="35" fillId="0" borderId="0" applyBorder="0">
      <alignment horizontal="right" vertical="center"/>
    </xf>
    <xf numFmtId="0" fontId="35" fillId="0" borderId="6">
      <alignment horizontal="right" vertical="center"/>
    </xf>
    <xf numFmtId="1" fontId="77" fillId="13" borderId="0" applyBorder="0">
      <alignment horizontal="right" vertical="center"/>
    </xf>
    <xf numFmtId="0" fontId="33" fillId="23" borderId="28" applyNumberFormat="0" applyFont="0" applyAlignment="0" applyProtection="0"/>
    <xf numFmtId="0" fontId="36" fillId="57" borderId="0" applyNumberFormat="0" applyBorder="0" applyAlignment="0" applyProtection="0"/>
    <xf numFmtId="0" fontId="36" fillId="59" borderId="0" applyNumberFormat="0" applyBorder="0" applyAlignment="0" applyProtection="0"/>
    <xf numFmtId="0" fontId="36" fillId="60"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46" borderId="0" applyNumberFormat="0" applyBorder="0" applyAlignment="0" applyProtection="0"/>
    <xf numFmtId="0" fontId="78" fillId="13" borderId="0" applyNumberFormat="0" applyBorder="0" applyAlignment="0" applyProtection="0"/>
    <xf numFmtId="0" fontId="79" fillId="62" borderId="13" applyNumberFormat="0" applyAlignment="0" applyProtection="0"/>
    <xf numFmtId="0" fontId="72" fillId="0" borderId="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1" fillId="0" borderId="29"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1" fillId="0" borderId="29" applyNumberFormat="0" applyFill="0" applyAlignment="0" applyProtection="0"/>
    <xf numFmtId="0" fontId="80" fillId="0" borderId="27" applyNumberFormat="0" applyFill="0" applyAlignment="0" applyProtection="0"/>
    <xf numFmtId="0" fontId="81" fillId="0" borderId="29"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0" fillId="0" borderId="27" applyNumberFormat="0" applyFill="0" applyAlignment="0" applyProtection="0"/>
    <xf numFmtId="0" fontId="82" fillId="0" borderId="0" applyNumberFormat="0" applyFill="0" applyBorder="0" applyAlignment="0" applyProtection="0"/>
    <xf numFmtId="165" fontId="1" fillId="0" borderId="0" applyFont="0" applyFill="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4" fillId="4" borderId="0" applyNumberFormat="0" applyBorder="0" applyAlignment="0" applyProtection="0"/>
    <xf numFmtId="0" fontId="83" fillId="4" borderId="0" applyNumberFormat="0" applyBorder="0" applyAlignment="0" applyProtection="0"/>
    <xf numFmtId="0" fontId="85" fillId="68" borderId="0" applyNumberFormat="0" applyBorder="0" applyAlignment="0" applyProtection="0"/>
    <xf numFmtId="0" fontId="84" fillId="4" borderId="0" applyNumberFormat="0" applyBorder="0" applyAlignment="0" applyProtection="0"/>
    <xf numFmtId="0" fontId="85" fillId="68"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6"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6" fillId="4" borderId="0" applyNumberFormat="0" applyBorder="0" applyAlignment="0" applyProtection="0"/>
    <xf numFmtId="0" fontId="86"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4" fillId="4" borderId="0" applyNumberFormat="0" applyBorder="0" applyAlignment="0" applyProtection="0"/>
    <xf numFmtId="0" fontId="86" fillId="4" borderId="0" applyNumberFormat="0" applyBorder="0" applyAlignment="0" applyProtection="0"/>
    <xf numFmtId="0" fontId="84"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5" fillId="68"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5" fillId="68"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1" fillId="0" borderId="0"/>
    <xf numFmtId="0" fontId="120" fillId="0" borderId="0"/>
    <xf numFmtId="0" fontId="120" fillId="0" borderId="0"/>
    <xf numFmtId="0" fontId="34"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0" fontId="120" fillId="0" borderId="0"/>
    <xf numFmtId="0" fontId="34" fillId="0" borderId="0"/>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5" fontId="87" fillId="0" borderId="0">
      <alignment vertical="center"/>
    </xf>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166" fontId="87" fillId="0" borderId="0">
      <alignment vertical="center"/>
    </xf>
    <xf numFmtId="166" fontId="87" fillId="0" borderId="0">
      <alignment vertical="center"/>
    </xf>
    <xf numFmtId="0" fontId="1" fillId="0" borderId="0"/>
    <xf numFmtId="0" fontId="120" fillId="0" borderId="0"/>
    <xf numFmtId="166" fontId="87" fillId="0" borderId="0">
      <alignment vertical="center"/>
    </xf>
    <xf numFmtId="0" fontId="1"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34"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20" fillId="0" borderId="0">
      <alignment vertical="center"/>
    </xf>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166" fontId="87" fillId="0" borderId="0">
      <alignment vertical="center"/>
    </xf>
    <xf numFmtId="166" fontId="87" fillId="0" borderId="0">
      <alignment vertical="center"/>
    </xf>
    <xf numFmtId="0" fontId="120" fillId="0" borderId="0">
      <alignment vertical="center"/>
    </xf>
    <xf numFmtId="166" fontId="87" fillId="0" borderId="0">
      <alignment vertical="center"/>
    </xf>
    <xf numFmtId="0" fontId="120"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34" fillId="0" borderId="0"/>
    <xf numFmtId="0" fontId="34" fillId="0" borderId="0"/>
    <xf numFmtId="0" fontId="120" fillId="0" borderId="0"/>
    <xf numFmtId="0" fontId="120" fillId="0" borderId="0"/>
    <xf numFmtId="0" fontId="120" fillId="0" borderId="0"/>
    <xf numFmtId="0" fontId="1" fillId="0" borderId="0"/>
    <xf numFmtId="0" fontId="120" fillId="0" borderId="0"/>
    <xf numFmtId="0" fontId="1" fillId="0" borderId="0"/>
    <xf numFmtId="0" fontId="1" fillId="0" borderId="0"/>
    <xf numFmtId="0" fontId="88"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 fillId="0" borderId="0"/>
    <xf numFmtId="0" fontId="120" fillId="0" borderId="0"/>
    <xf numFmtId="0" fontId="89" fillId="0" borderId="0"/>
    <xf numFmtId="0" fontId="1" fillId="0" borderId="0"/>
    <xf numFmtId="0" fontId="34"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34" fillId="0" borderId="0"/>
    <xf numFmtId="0" fontId="120" fillId="0" borderId="0"/>
    <xf numFmtId="0" fontId="120" fillId="0" borderId="0"/>
    <xf numFmtId="0" fontId="120" fillId="0" borderId="0"/>
    <xf numFmtId="0" fontId="1" fillId="0" borderId="0"/>
    <xf numFmtId="0" fontId="34" fillId="0" borderId="0"/>
    <xf numFmtId="0" fontId="1" fillId="0" borderId="0"/>
    <xf numFmtId="0" fontId="34" fillId="0" borderId="0"/>
    <xf numFmtId="0" fontId="89" fillId="0" borderId="0"/>
    <xf numFmtId="0" fontId="89"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34" fillId="0" borderId="0"/>
    <xf numFmtId="0" fontId="120" fillId="0" borderId="0"/>
    <xf numFmtId="0" fontId="120" fillId="0" borderId="0"/>
    <xf numFmtId="0" fontId="120" fillId="0" borderId="0"/>
    <xf numFmtId="0" fontId="34" fillId="0" borderId="0"/>
    <xf numFmtId="0" fontId="34" fillId="0" borderId="0"/>
    <xf numFmtId="0" fontId="34" fillId="0" borderId="0"/>
    <xf numFmtId="0" fontId="120" fillId="0" borderId="0"/>
    <xf numFmtId="0" fontId="120" fillId="0" borderId="0"/>
    <xf numFmtId="0" fontId="120" fillId="0" borderId="0"/>
    <xf numFmtId="0" fontId="1" fillId="0" borderId="0">
      <alignment vertical="top"/>
    </xf>
    <xf numFmtId="0" fontId="1" fillId="0" borderId="0">
      <alignment vertical="top"/>
    </xf>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4" fillId="0" borderId="0"/>
    <xf numFmtId="0" fontId="120" fillId="0" borderId="0"/>
    <xf numFmtId="0" fontId="120" fillId="0" borderId="0"/>
    <xf numFmtId="0" fontId="120" fillId="0" borderId="0"/>
    <xf numFmtId="0" fontId="120" fillId="0" borderId="0"/>
    <xf numFmtId="0" fontId="120"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4" fillId="0" borderId="0"/>
    <xf numFmtId="0" fontId="34"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4" fillId="0" borderId="0"/>
    <xf numFmtId="0" fontId="120" fillId="0" borderId="0"/>
    <xf numFmtId="0" fontId="120" fillId="0" borderId="0"/>
    <xf numFmtId="0" fontId="120" fillId="0" borderId="0"/>
    <xf numFmtId="0" fontId="120" fillId="0" borderId="0"/>
    <xf numFmtId="0" fontId="34"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alignment vertical="top"/>
    </xf>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34" fillId="0" borderId="0"/>
    <xf numFmtId="0" fontId="1"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 fillId="0" borderId="0"/>
    <xf numFmtId="176" fontId="87" fillId="0" borderId="0">
      <alignment vertical="center"/>
    </xf>
    <xf numFmtId="0" fontId="90" fillId="0" borderId="0"/>
    <xf numFmtId="176" fontId="87" fillId="0" borderId="0">
      <alignment vertical="center"/>
    </xf>
    <xf numFmtId="0" fontId="1" fillId="0" borderId="0"/>
    <xf numFmtId="0" fontId="1" fillId="0" borderId="0"/>
    <xf numFmtId="0" fontId="90" fillId="0" borderId="0"/>
    <xf numFmtId="0" fontId="1" fillId="0" borderId="0"/>
    <xf numFmtId="0" fontId="34" fillId="0" borderId="0"/>
    <xf numFmtId="0" fontId="1" fillId="0" borderId="0"/>
    <xf numFmtId="0" fontId="89" fillId="0" borderId="0"/>
    <xf numFmtId="0" fontId="34" fillId="0" borderId="0"/>
    <xf numFmtId="0" fontId="120" fillId="0" borderId="0"/>
    <xf numFmtId="0" fontId="1" fillId="0" borderId="0"/>
    <xf numFmtId="0" fontId="1" fillId="0" borderId="0"/>
    <xf numFmtId="0" fontId="1" fillId="0" borderId="0"/>
    <xf numFmtId="0" fontId="1" fillId="0" borderId="0"/>
    <xf numFmtId="0" fontId="1" fillId="0" borderId="0"/>
    <xf numFmtId="0" fontId="120" fillId="0" borderId="0"/>
    <xf numFmtId="0" fontId="89"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89" fillId="0" borderId="0"/>
    <xf numFmtId="0" fontId="1" fillId="0" borderId="0"/>
    <xf numFmtId="0" fontId="1" fillId="0" borderId="0"/>
    <xf numFmtId="0" fontId="89" fillId="0" borderId="0"/>
    <xf numFmtId="0" fontId="1" fillId="0" borderId="0"/>
    <xf numFmtId="0" fontId="1" fillId="0" borderId="0"/>
    <xf numFmtId="0" fontId="1" fillId="0" borderId="0"/>
    <xf numFmtId="0" fontId="1" fillId="0" borderId="0"/>
    <xf numFmtId="0" fontId="120" fillId="0" borderId="0"/>
    <xf numFmtId="0" fontId="1"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20" fillId="0" borderId="0"/>
    <xf numFmtId="0" fontId="120" fillId="0" borderId="0"/>
    <xf numFmtId="0" fontId="34" fillId="0" borderId="0"/>
    <xf numFmtId="0" fontId="120" fillId="0" borderId="0"/>
    <xf numFmtId="0" fontId="1" fillId="0" borderId="0"/>
    <xf numFmtId="0" fontId="34" fillId="0" borderId="0"/>
    <xf numFmtId="0" fontId="1" fillId="0" borderId="0"/>
    <xf numFmtId="0" fontId="120" fillId="0" borderId="0"/>
    <xf numFmtId="0" fontId="120" fillId="0" borderId="0"/>
    <xf numFmtId="0" fontId="91" fillId="0" borderId="0" applyNumberFormat="0" applyFill="0" applyBorder="0" applyAlignment="0" applyProtection="0"/>
    <xf numFmtId="0" fontId="1" fillId="0" borderId="0"/>
    <xf numFmtId="0" fontId="120" fillId="0" borderId="0"/>
    <xf numFmtId="0" fontId="120"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 fillId="0" borderId="0"/>
    <xf numFmtId="0" fontId="34"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92" fillId="0" borderId="0"/>
    <xf numFmtId="0" fontId="92" fillId="0" borderId="0"/>
    <xf numFmtId="0" fontId="1" fillId="0" borderId="0"/>
    <xf numFmtId="0" fontId="1" fillId="0" borderId="0"/>
    <xf numFmtId="0" fontId="34" fillId="0" borderId="0" applyFill="0" applyProtection="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93" fillId="0" borderId="0"/>
    <xf numFmtId="0" fontId="1" fillId="0" borderId="0"/>
    <xf numFmtId="0" fontId="1" fillId="0" borderId="0"/>
    <xf numFmtId="0" fontId="1" fillId="0" borderId="0"/>
    <xf numFmtId="0" fontId="34" fillId="0" borderId="0"/>
    <xf numFmtId="0" fontId="1" fillId="0" borderId="0"/>
    <xf numFmtId="0" fontId="1" fillId="0" borderId="0"/>
    <xf numFmtId="0" fontId="34" fillId="0" borderId="0"/>
    <xf numFmtId="0" fontId="1" fillId="0" borderId="0"/>
    <xf numFmtId="0" fontId="120" fillId="0" borderId="0"/>
    <xf numFmtId="0" fontId="1" fillId="0" borderId="0"/>
    <xf numFmtId="0" fontId="120" fillId="0" borderId="0"/>
    <xf numFmtId="0" fontId="89" fillId="0" borderId="0"/>
    <xf numFmtId="0" fontId="34" fillId="0" borderId="0"/>
    <xf numFmtId="0" fontId="1" fillId="0" borderId="0"/>
    <xf numFmtId="0" fontId="1"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89"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89" fillId="0" borderId="0"/>
    <xf numFmtId="0" fontId="89" fillId="0" borderId="0"/>
    <xf numFmtId="0" fontId="1" fillId="0" borderId="0"/>
    <xf numFmtId="0" fontId="1" fillId="0" borderId="0"/>
    <xf numFmtId="0" fontId="1" fillId="0" borderId="0"/>
    <xf numFmtId="0" fontId="1" fillId="0" borderId="0"/>
    <xf numFmtId="0" fontId="89" fillId="0" borderId="0"/>
    <xf numFmtId="0" fontId="1" fillId="0" borderId="0"/>
    <xf numFmtId="0" fontId="1" fillId="0" borderId="0"/>
    <xf numFmtId="0" fontId="89" fillId="0" borderId="0"/>
    <xf numFmtId="0" fontId="1" fillId="0" borderId="0"/>
    <xf numFmtId="0" fontId="34" fillId="0" borderId="0"/>
    <xf numFmtId="0" fontId="34" fillId="0" borderId="0"/>
    <xf numFmtId="0" fontId="94" fillId="0" borderId="0"/>
    <xf numFmtId="0" fontId="120" fillId="0" borderId="0"/>
    <xf numFmtId="0" fontId="120" fillId="0" borderId="0"/>
    <xf numFmtId="0" fontId="120" fillId="0" borderId="0"/>
    <xf numFmtId="0" fontId="34" fillId="0" borderId="0"/>
    <xf numFmtId="0" fontId="120" fillId="0" borderId="0"/>
    <xf numFmtId="0" fontId="34"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4" fillId="0" borderId="0"/>
    <xf numFmtId="0" fontId="1" fillId="0" borderId="0"/>
    <xf numFmtId="0" fontId="120"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 fillId="0" borderId="0"/>
    <xf numFmtId="0" fontId="34"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20" fillId="0" borderId="0"/>
    <xf numFmtId="0" fontId="120" fillId="0" borderId="0"/>
    <xf numFmtId="0" fontId="120" fillId="0" borderId="0"/>
    <xf numFmtId="0" fontId="1" fillId="0" borderId="0"/>
    <xf numFmtId="0" fontId="120" fillId="0" borderId="0"/>
    <xf numFmtId="0" fontId="1" fillId="0" borderId="0"/>
    <xf numFmtId="0" fontId="34" fillId="0" borderId="0"/>
    <xf numFmtId="0" fontId="1" fillId="0" borderId="0"/>
    <xf numFmtId="0" fontId="1" fillId="0" borderId="0"/>
    <xf numFmtId="0" fontId="120" fillId="0" borderId="0"/>
    <xf numFmtId="0" fontId="120" fillId="0" borderId="0"/>
    <xf numFmtId="0" fontId="1" fillId="0" borderId="0"/>
    <xf numFmtId="0" fontId="120" fillId="0" borderId="0"/>
    <xf numFmtId="0" fontId="120" fillId="0" borderId="0"/>
    <xf numFmtId="0" fontId="1" fillId="0" borderId="0"/>
    <xf numFmtId="0" fontId="95" fillId="0" borderId="0"/>
    <xf numFmtId="0" fontId="1" fillId="0" borderId="0"/>
    <xf numFmtId="0" fontId="120" fillId="0" borderId="0"/>
    <xf numFmtId="0" fontId="120"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20" fillId="0" borderId="0"/>
    <xf numFmtId="0" fontId="120" fillId="0" borderId="0"/>
    <xf numFmtId="0" fontId="120" fillId="0" borderId="0"/>
    <xf numFmtId="0" fontId="34" fillId="0" borderId="0"/>
    <xf numFmtId="0" fontId="34"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34" fillId="0" borderId="0"/>
    <xf numFmtId="0" fontId="34" fillId="0" borderId="0"/>
    <xf numFmtId="0" fontId="120" fillId="0" borderId="0"/>
    <xf numFmtId="0" fontId="120" fillId="0" borderId="0"/>
    <xf numFmtId="0" fontId="1" fillId="0" borderId="0"/>
    <xf numFmtId="0" fontId="1" fillId="0" borderId="0"/>
    <xf numFmtId="0" fontId="1" fillId="0" borderId="0"/>
    <xf numFmtId="0" fontId="120" fillId="0" borderId="0"/>
    <xf numFmtId="0" fontId="120"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34" fillId="0" borderId="0"/>
    <xf numFmtId="0" fontId="1" fillId="0" borderId="0"/>
    <xf numFmtId="0" fontId="120" fillId="0" borderId="0"/>
    <xf numFmtId="0" fontId="1"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 fillId="0" borderId="0"/>
    <xf numFmtId="0" fontId="120" fillId="0" borderId="0"/>
    <xf numFmtId="0" fontId="120" fillId="0" borderId="0"/>
    <xf numFmtId="0" fontId="1" fillId="0" borderId="0"/>
    <xf numFmtId="0" fontId="34" fillId="0" borderId="0"/>
    <xf numFmtId="0" fontId="1" fillId="0" borderId="0"/>
    <xf numFmtId="0" fontId="120" fillId="0" borderId="0"/>
    <xf numFmtId="0" fontId="120" fillId="0" borderId="0"/>
    <xf numFmtId="0" fontId="1" fillId="0" borderId="0"/>
    <xf numFmtId="0" fontId="1" fillId="0" borderId="0"/>
    <xf numFmtId="0" fontId="89" fillId="0" borderId="0"/>
    <xf numFmtId="0" fontId="34" fillId="0" borderId="0"/>
    <xf numFmtId="0" fontId="1" fillId="0" borderId="0"/>
    <xf numFmtId="0" fontId="1" fillId="0" borderId="0"/>
    <xf numFmtId="0" fontId="120" fillId="0" borderId="0"/>
    <xf numFmtId="0" fontId="1" fillId="0" borderId="0"/>
    <xf numFmtId="0" fontId="1" fillId="0" borderId="0"/>
    <xf numFmtId="0" fontId="34" fillId="0" borderId="0"/>
    <xf numFmtId="0" fontId="1" fillId="0" borderId="0"/>
    <xf numFmtId="0" fontId="1" fillId="0" borderId="0"/>
    <xf numFmtId="0" fontId="34"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34" fillId="0" borderId="0"/>
    <xf numFmtId="0" fontId="34" fillId="0" borderId="0"/>
    <xf numFmtId="0" fontId="1" fillId="0" borderId="0"/>
    <xf numFmtId="0" fontId="120" fillId="0" borderId="0"/>
    <xf numFmtId="0" fontId="34"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34" fillId="0" borderId="0"/>
    <xf numFmtId="0" fontId="120"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34"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34" fillId="0" borderId="0"/>
    <xf numFmtId="0" fontId="34" fillId="0" borderId="0"/>
    <xf numFmtId="0" fontId="1" fillId="0" borderId="0"/>
    <xf numFmtId="0" fontId="1" fillId="0" borderId="0"/>
    <xf numFmtId="0" fontId="1" fillId="0" borderId="0"/>
    <xf numFmtId="0" fontId="34"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 fillId="0" borderId="0"/>
    <xf numFmtId="0" fontId="1" fillId="0" borderId="0"/>
    <xf numFmtId="0" fontId="1" fillId="0" borderId="0"/>
    <xf numFmtId="0" fontId="120" fillId="0" borderId="0"/>
    <xf numFmtId="0" fontId="120"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96" fillId="0" borderId="0"/>
    <xf numFmtId="0" fontId="1" fillId="0" borderId="0"/>
    <xf numFmtId="0" fontId="1"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34" fillId="0" borderId="0"/>
    <xf numFmtId="0" fontId="34" fillId="0" borderId="0"/>
    <xf numFmtId="0" fontId="1" fillId="0" borderId="0"/>
    <xf numFmtId="0" fontId="1" fillId="0" borderId="0"/>
    <xf numFmtId="0" fontId="1" fillId="0" borderId="0"/>
    <xf numFmtId="0" fontId="1" fillId="0" borderId="0"/>
    <xf numFmtId="0" fontId="1" fillId="0" borderId="0"/>
    <xf numFmtId="0" fontId="9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90" fillId="0" borderId="0"/>
    <xf numFmtId="0" fontId="1" fillId="0" borderId="0"/>
    <xf numFmtId="0" fontId="34" fillId="0" borderId="0"/>
    <xf numFmtId="0" fontId="120" fillId="0" borderId="0"/>
    <xf numFmtId="0" fontId="120"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 fillId="0" borderId="0"/>
    <xf numFmtId="0" fontId="1" fillId="0" borderId="0"/>
    <xf numFmtId="0" fontId="1" fillId="0" borderId="0"/>
    <xf numFmtId="0" fontId="1" fillId="0" borderId="0"/>
    <xf numFmtId="0" fontId="1" fillId="0" borderId="0"/>
    <xf numFmtId="0" fontId="120"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34" fillId="0" borderId="0"/>
    <xf numFmtId="0" fontId="120" fillId="0" borderId="0"/>
    <xf numFmtId="4" fontId="35" fillId="0" borderId="6" applyFill="0" applyBorder="0" applyProtection="0">
      <alignment horizontal="right" vertical="center"/>
    </xf>
    <xf numFmtId="0" fontId="38" fillId="0" borderId="0" applyNumberFormat="0" applyFill="0" applyBorder="0" applyProtection="0">
      <alignment horizontal="left" vertical="center"/>
    </xf>
    <xf numFmtId="0" fontId="35" fillId="0" borderId="6" applyNumberFormat="0" applyFill="0" applyAlignment="0" applyProtection="0"/>
    <xf numFmtId="0" fontId="1" fillId="65" borderId="0" applyNumberFormat="0" applyFont="0" applyBorder="0" applyAlignment="0" applyProtection="0"/>
    <xf numFmtId="0" fontId="1" fillId="0" borderId="0"/>
    <xf numFmtId="0" fontId="1" fillId="0" borderId="0"/>
    <xf numFmtId="0" fontId="97" fillId="0" borderId="0"/>
    <xf numFmtId="0" fontId="61" fillId="0" borderId="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20" fillId="3" borderId="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20" fillId="3" borderId="8" applyNumberFormat="0" applyFont="0" applyAlignment="0" applyProtection="0"/>
    <xf numFmtId="0" fontId="120" fillId="3" borderId="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20" fillId="3" borderId="8" applyNumberFormat="0" applyFont="0" applyAlignment="0" applyProtection="0"/>
    <xf numFmtId="0" fontId="120" fillId="3" borderId="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20" fillId="3" borderId="8" applyNumberFormat="0" applyFont="0" applyAlignment="0" applyProtection="0"/>
    <xf numFmtId="0" fontId="120" fillId="3" borderId="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20" fillId="3" borderId="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34" fillId="23" borderId="28" applyNumberFormat="0" applyFont="0" applyAlignment="0" applyProtection="0"/>
    <xf numFmtId="0" fontId="1" fillId="23" borderId="28" applyNumberFormat="0" applyFont="0" applyAlignment="0" applyProtection="0"/>
    <xf numFmtId="0" fontId="1" fillId="23" borderId="28" applyNumberFormat="0" applyFont="0" applyAlignment="0" applyProtection="0"/>
    <xf numFmtId="0" fontId="52" fillId="23" borderId="28" applyNumberFormat="0" applyFont="0" applyAlignment="0" applyProtection="0"/>
    <xf numFmtId="0" fontId="1" fillId="23" borderId="28" applyNumberFormat="0" applyFont="0" applyAlignment="0" applyProtection="0"/>
    <xf numFmtId="0" fontId="52" fillId="23" borderId="28" applyNumberFormat="0" applyFont="0" applyAlignment="0" applyProtection="0"/>
    <xf numFmtId="177" fontId="98" fillId="0" borderId="0">
      <alignment horizontal="right"/>
    </xf>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0" fontId="99" fillId="0" borderId="23" applyNumberFormat="0" applyFill="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4" borderId="13" applyNumberFormat="0" applyAlignment="0" applyProtection="0"/>
    <xf numFmtId="0" fontId="41" fillId="64" borderId="13" applyNumberFormat="0" applyAlignment="0" applyProtection="0"/>
    <xf numFmtId="0" fontId="41" fillId="64" borderId="13" applyNumberFormat="0" applyAlignment="0" applyProtection="0"/>
    <xf numFmtId="0" fontId="41" fillId="64" borderId="13" applyNumberFormat="0" applyAlignment="0" applyProtection="0"/>
    <xf numFmtId="0" fontId="41" fillId="64" borderId="13" applyNumberFormat="0" applyAlignment="0" applyProtection="0"/>
    <xf numFmtId="0" fontId="41" fillId="64" borderId="13" applyNumberFormat="0" applyAlignment="0" applyProtection="0"/>
    <xf numFmtId="0" fontId="41" fillId="64" borderId="13" applyNumberFormat="0" applyAlignment="0" applyProtection="0"/>
    <xf numFmtId="0" fontId="41" fillId="64" borderId="13" applyNumberFormat="0" applyAlignment="0" applyProtection="0"/>
    <xf numFmtId="0" fontId="41" fillId="64"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4" borderId="13" applyNumberFormat="0" applyAlignment="0" applyProtection="0"/>
    <xf numFmtId="0" fontId="41" fillId="62" borderId="13" applyNumberFormat="0" applyAlignment="0" applyProtection="0"/>
    <xf numFmtId="0" fontId="41" fillId="64"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0" fontId="41" fillId="62" borderId="13" applyNumberFormat="0" applyAlignment="0" applyProtection="0"/>
    <xf numFmtId="179" fontId="35" fillId="69" borderId="6" applyNumberFormat="0" applyFont="0" applyBorder="0" applyAlignment="0" applyProtection="0">
      <alignment horizontal="right" vertical="center"/>
    </xf>
    <xf numFmtId="9" fontId="1" fillId="0" borderId="0" applyFont="0" applyFill="0" applyBorder="0" applyAlignment="0" applyProtection="0"/>
    <xf numFmtId="9"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53"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0" fontId="1" fillId="0" borderId="0"/>
    <xf numFmtId="0" fontId="1" fillId="0" borderId="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0" fontId="1" fillId="0" borderId="0"/>
    <xf numFmtId="0" fontId="1" fillId="0" borderId="0"/>
    <xf numFmtId="9" fontId="120" fillId="0" borderId="0" applyFont="0" applyFill="0" applyBorder="0" applyAlignment="0" applyProtection="0"/>
    <xf numFmtId="0" fontId="1" fillId="0" borderId="0"/>
    <xf numFmtId="0" fontId="1" fillId="0" borderId="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9" fontId="12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2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2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94" fillId="0" borderId="0" applyFont="0" applyFill="0" applyBorder="0" applyAlignment="0" applyProtection="0"/>
    <xf numFmtId="9" fontId="12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2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4"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4"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34"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20"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2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20"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20" fillId="0" borderId="0" applyFont="0" applyFill="0" applyBorder="0" applyAlignment="0" applyProtection="0"/>
    <xf numFmtId="0" fontId="1" fillId="0" borderId="0"/>
    <xf numFmtId="9" fontId="1" fillId="0" borderId="0" applyFont="0" applyFill="0" applyBorder="0" applyAlignment="0" applyProtection="0"/>
    <xf numFmtId="9" fontId="12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20" fillId="0" borderId="0" applyFont="0" applyFill="0" applyBorder="0" applyAlignment="0" applyProtection="0"/>
    <xf numFmtId="9" fontId="12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7" fontId="100" fillId="0" borderId="0" applyFont="0" applyFill="0" applyBorder="0" applyAlignment="0" applyProtection="0"/>
    <xf numFmtId="180" fontId="100" fillId="0" borderId="0" applyFont="0" applyFill="0" applyBorder="0" applyAlignment="0" applyProtection="0"/>
    <xf numFmtId="181" fontId="100" fillId="0" borderId="0" applyFont="0" applyFill="0" applyBorder="0" applyAlignment="0" applyProtection="0"/>
    <xf numFmtId="0" fontId="101" fillId="12" borderId="0" applyNumberFormat="0" applyBorder="0" applyAlignment="0" applyProtection="0"/>
    <xf numFmtId="0" fontId="1" fillId="0" borderId="0"/>
    <xf numFmtId="0" fontId="1" fillId="0" borderId="0"/>
    <xf numFmtId="0" fontId="102" fillId="4" borderId="0" applyNumberFormat="0" applyBorder="0" applyAlignment="0" applyProtection="0"/>
    <xf numFmtId="0" fontId="1" fillId="0" borderId="0"/>
    <xf numFmtId="0" fontId="1" fillId="0" borderId="0"/>
    <xf numFmtId="0" fontId="58" fillId="0" borderId="0">
      <alignment vertical="top" wrapText="1"/>
    </xf>
    <xf numFmtId="0" fontId="58" fillId="0" borderId="0">
      <alignment vertical="top" wrapText="1"/>
    </xf>
    <xf numFmtId="0" fontId="1" fillId="0" borderId="0"/>
    <xf numFmtId="0" fontId="1" fillId="0" borderId="0"/>
    <xf numFmtId="0" fontId="58" fillId="0" borderId="0">
      <alignment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70" borderId="6" applyNumberFormat="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03" fillId="70"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5" fillId="70" borderId="6" applyNumberFormat="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4" fillId="57"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5" fillId="62" borderId="14" applyNumberFormat="0" applyAlignment="0" applyProtection="0"/>
    <xf numFmtId="182" fontId="106" fillId="71" borderId="30">
      <alignment vertical="center"/>
    </xf>
    <xf numFmtId="0" fontId="1" fillId="0" borderId="0"/>
    <xf numFmtId="0" fontId="1" fillId="0" borderId="0"/>
    <xf numFmtId="166" fontId="107" fillId="71" borderId="30">
      <alignment vertical="center"/>
    </xf>
    <xf numFmtId="0" fontId="1" fillId="0" borderId="0"/>
    <xf numFmtId="0" fontId="1" fillId="0" borderId="0"/>
    <xf numFmtId="182" fontId="108" fillId="72" borderId="30">
      <alignment vertical="center"/>
    </xf>
    <xf numFmtId="0" fontId="1" fillId="0" borderId="0"/>
    <xf numFmtId="0" fontId="1" fillId="0" borderId="0"/>
    <xf numFmtId="0" fontId="1" fillId="73" borderId="31" applyBorder="0">
      <alignment horizontal="left" vertical="center"/>
    </xf>
    <xf numFmtId="0" fontId="1" fillId="0" borderId="0"/>
    <xf numFmtId="0" fontId="1" fillId="0" borderId="0"/>
    <xf numFmtId="49" fontId="1" fillId="74" borderId="6">
      <alignment vertical="center" wrapText="1"/>
    </xf>
    <xf numFmtId="0" fontId="1" fillId="0" borderId="0"/>
    <xf numFmtId="0" fontId="1" fillId="0" borderId="0"/>
    <xf numFmtId="0" fontId="1" fillId="75" borderId="32">
      <alignment horizontal="left" vertical="center" wrapText="1"/>
    </xf>
    <xf numFmtId="0" fontId="1" fillId="0" borderId="0"/>
    <xf numFmtId="0" fontId="1" fillId="0" borderId="0"/>
    <xf numFmtId="0" fontId="109" fillId="76" borderId="6">
      <alignment horizontal="left" vertical="center" wrapText="1"/>
    </xf>
    <xf numFmtId="0" fontId="1" fillId="0" borderId="0"/>
    <xf numFmtId="0" fontId="1" fillId="0" borderId="0"/>
    <xf numFmtId="0" fontId="1" fillId="43" borderId="6">
      <alignment horizontal="left" vertical="center" wrapText="1"/>
    </xf>
    <xf numFmtId="0" fontId="1" fillId="0" borderId="0"/>
    <xf numFmtId="0" fontId="1" fillId="0" borderId="0"/>
    <xf numFmtId="0" fontId="1" fillId="77" borderId="6">
      <alignment horizontal="left" vertical="center"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0"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12" fillId="0" borderId="0" applyNumberFormat="0" applyFill="0" applyBorder="0" applyAlignment="0" applyProtection="0"/>
    <xf numFmtId="0" fontId="1" fillId="0" borderId="0"/>
    <xf numFmtId="0" fontId="112" fillId="0" borderId="0" applyNumberFormat="0" applyFill="0" applyBorder="0" applyAlignment="0" applyProtection="0"/>
    <xf numFmtId="0" fontId="1" fillId="0" borderId="0"/>
    <xf numFmtId="0" fontId="111"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2" fillId="0" borderId="0" applyNumberFormat="0" applyFill="0" applyBorder="0" applyAlignment="0" applyProtection="0"/>
    <xf numFmtId="0" fontId="1" fillId="0" borderId="0"/>
    <xf numFmtId="0" fontId="1" fillId="0" borderId="0"/>
    <xf numFmtId="0" fontId="112"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1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2"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2" fillId="0" borderId="0" applyNumberFormat="0" applyFill="0" applyBorder="0" applyAlignment="0" applyProtection="0"/>
    <xf numFmtId="0" fontId="1" fillId="0" borderId="0"/>
    <xf numFmtId="0" fontId="1" fillId="0" borderId="0"/>
    <xf numFmtId="0" fontId="11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23" applyNumberFormat="0" applyFill="0" applyAlignment="0" applyProtection="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23" applyNumberFormat="0" applyFill="0" applyAlignment="0" applyProtection="0"/>
    <xf numFmtId="0" fontId="1" fillId="0" borderId="0"/>
    <xf numFmtId="0" fontId="1" fillId="0" borderId="0"/>
    <xf numFmtId="0" fontId="59" fillId="0" borderId="2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59" fillId="0" borderId="3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2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2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3" fontId="10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8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3" fillId="0" borderId="0" applyNumberFormat="0" applyFill="0" applyBorder="0" applyAlignment="0" applyProtection="0">
      <alignment vertical="center"/>
    </xf>
    <xf numFmtId="0" fontId="1" fillId="0" borderId="0"/>
    <xf numFmtId="0" fontId="1" fillId="0" borderId="0"/>
  </cellStyleXfs>
  <cellXfs count="214">
    <xf numFmtId="0" fontId="0" fillId="0" borderId="0" xfId="0"/>
    <xf numFmtId="0" fontId="1" fillId="0" borderId="0" xfId="0" applyFont="1" applyFill="1" applyAlignment="1"/>
    <xf numFmtId="0" fontId="0" fillId="2" borderId="0" xfId="0" applyFill="1"/>
    <xf numFmtId="0" fontId="2" fillId="0" borderId="0" xfId="0" applyFont="1"/>
    <xf numFmtId="0" fontId="3" fillId="2" borderId="0" xfId="4883" applyFont="1" applyFill="1" applyAlignment="1">
      <alignment horizontal="left"/>
    </xf>
    <xf numFmtId="0" fontId="4" fillId="2" borderId="1" xfId="4069" applyFont="1" applyFill="1" applyBorder="1" applyAlignment="1">
      <alignment vertical="center"/>
    </xf>
    <xf numFmtId="0" fontId="5" fillId="2" borderId="2" xfId="4883" applyFont="1" applyFill="1" applyBorder="1" applyAlignment="1">
      <alignment horizontal="left" vertical="center"/>
    </xf>
    <xf numFmtId="0" fontId="5" fillId="2" borderId="2" xfId="4883" applyFont="1" applyFill="1" applyBorder="1" applyAlignment="1">
      <alignment horizontal="right" vertical="center"/>
    </xf>
    <xf numFmtId="0" fontId="120" fillId="2" borderId="0" xfId="4069" applyFill="1"/>
    <xf numFmtId="2" fontId="2" fillId="2" borderId="0" xfId="4069" applyNumberFormat="1" applyFont="1" applyFill="1"/>
    <xf numFmtId="0" fontId="120" fillId="0" borderId="0" xfId="4069"/>
    <xf numFmtId="1" fontId="120" fillId="0" borderId="0" xfId="4069" applyNumberFormat="1"/>
    <xf numFmtId="0" fontId="3" fillId="0" borderId="0" xfId="4883" applyFont="1" applyAlignment="1">
      <alignment horizontal="left"/>
    </xf>
    <xf numFmtId="0" fontId="4" fillId="3" borderId="1" xfId="4069" applyFont="1" applyFill="1" applyBorder="1" applyAlignment="1">
      <alignment vertical="center"/>
    </xf>
    <xf numFmtId="0" fontId="5" fillId="4" borderId="2" xfId="4883" applyFont="1" applyFill="1" applyBorder="1" applyAlignment="1">
      <alignment horizontal="left" vertical="center"/>
    </xf>
    <xf numFmtId="0" fontId="5" fillId="4" borderId="2" xfId="4883" applyFont="1" applyFill="1" applyBorder="1" applyAlignment="1">
      <alignment horizontal="right" vertical="center"/>
    </xf>
    <xf numFmtId="2" fontId="2" fillId="0" borderId="0" xfId="4069" applyNumberFormat="1" applyFont="1" applyFill="1"/>
    <xf numFmtId="0" fontId="6" fillId="0" borderId="0" xfId="0" applyFont="1"/>
    <xf numFmtId="2" fontId="2" fillId="0" borderId="0" xfId="4069" applyNumberFormat="1" applyFont="1"/>
    <xf numFmtId="0" fontId="7" fillId="5" borderId="0" xfId="2" applyFont="1"/>
    <xf numFmtId="184" fontId="7" fillId="5" borderId="0" xfId="2" applyNumberFormat="1"/>
    <xf numFmtId="184" fontId="120" fillId="0" borderId="0" xfId="4068" applyNumberFormat="1"/>
    <xf numFmtId="0" fontId="4" fillId="3" borderId="1" xfId="4068" applyFont="1" applyFill="1" applyBorder="1" applyAlignment="1">
      <alignment vertical="center"/>
    </xf>
    <xf numFmtId="0" fontId="120" fillId="0" borderId="0" xfId="4068"/>
    <xf numFmtId="0" fontId="2" fillId="6" borderId="0" xfId="0" applyFont="1" applyFill="1"/>
    <xf numFmtId="0" fontId="5" fillId="2" borderId="2" xfId="4883" applyFont="1" applyFill="1" applyBorder="1" applyAlignment="1">
      <alignment horizontal="right" vertical="center" wrapText="1"/>
    </xf>
    <xf numFmtId="0" fontId="6" fillId="2" borderId="0" xfId="0" applyFont="1" applyFill="1"/>
    <xf numFmtId="0" fontId="5" fillId="4" borderId="2" xfId="4883" applyFont="1" applyFill="1" applyBorder="1" applyAlignment="1">
      <alignment horizontal="right" vertical="center" wrapText="1"/>
    </xf>
    <xf numFmtId="0" fontId="4" fillId="3" borderId="0" xfId="4068" applyFont="1" applyFill="1" applyAlignment="1">
      <alignment vertical="center"/>
    </xf>
    <xf numFmtId="184" fontId="3" fillId="2" borderId="0" xfId="0" applyNumberFormat="1" applyFont="1" applyFill="1"/>
    <xf numFmtId="184" fontId="0" fillId="2" borderId="0" xfId="0" applyNumberFormat="1" applyFill="1"/>
    <xf numFmtId="184" fontId="5" fillId="2" borderId="2" xfId="0" applyNumberFormat="1" applyFont="1" applyFill="1" applyBorder="1" applyAlignment="1">
      <alignment horizontal="left"/>
    </xf>
    <xf numFmtId="184" fontId="5" fillId="2" borderId="3" xfId="0" applyNumberFormat="1" applyFont="1" applyFill="1" applyBorder="1" applyAlignment="1">
      <alignment horizontal="left"/>
    </xf>
    <xf numFmtId="184" fontId="8" fillId="2" borderId="1" xfId="3" applyNumberFormat="1" applyFont="1" applyFill="1" applyBorder="1" applyAlignment="1">
      <alignment horizontal="left" wrapText="1"/>
    </xf>
    <xf numFmtId="184" fontId="8" fillId="2" borderId="4" xfId="3" applyNumberFormat="1" applyFont="1" applyFill="1" applyBorder="1" applyAlignment="1">
      <alignment horizontal="left" wrapText="1"/>
    </xf>
    <xf numFmtId="184" fontId="8" fillId="2" borderId="4" xfId="3" applyNumberFormat="1" applyFont="1" applyFill="1" applyBorder="1" applyAlignment="1">
      <alignment horizontal="right" wrapText="1"/>
    </xf>
    <xf numFmtId="184" fontId="1" fillId="2" borderId="0" xfId="0" applyNumberFormat="1" applyFont="1" applyFill="1"/>
    <xf numFmtId="184" fontId="0" fillId="2" borderId="5" xfId="0" applyNumberFormat="1" applyFill="1" applyBorder="1"/>
    <xf numFmtId="184" fontId="1" fillId="2" borderId="5" xfId="0" applyNumberFormat="1" applyFont="1" applyFill="1" applyBorder="1"/>
    <xf numFmtId="184" fontId="1" fillId="0" borderId="0" xfId="0" applyNumberFormat="1" applyFont="1"/>
    <xf numFmtId="184" fontId="0" fillId="0" borderId="0" xfId="0" applyNumberFormat="1"/>
    <xf numFmtId="0" fontId="0" fillId="0" borderId="0" xfId="0" applyFill="1"/>
    <xf numFmtId="0" fontId="0" fillId="0" borderId="0" xfId="0" applyFont="1" applyFill="1"/>
    <xf numFmtId="0" fontId="4" fillId="3" borderId="3" xfId="0" applyFont="1" applyFill="1" applyBorder="1" applyAlignment="1">
      <alignment vertical="center"/>
    </xf>
    <xf numFmtId="0" fontId="5" fillId="0" borderId="2" xfId="4883" applyFont="1" applyFill="1" applyBorder="1" applyAlignment="1">
      <alignment horizontal="left" vertical="center"/>
    </xf>
    <xf numFmtId="0" fontId="9" fillId="0" borderId="2" xfId="4883" applyFont="1" applyFill="1" applyBorder="1" applyAlignment="1">
      <alignment horizontal="right" vertical="center"/>
    </xf>
    <xf numFmtId="0" fontId="10" fillId="0" borderId="0" xfId="0" applyFont="1"/>
    <xf numFmtId="0" fontId="1" fillId="0" borderId="6" xfId="0" applyFont="1" applyBorder="1"/>
    <xf numFmtId="184" fontId="120" fillId="0" borderId="0" xfId="4048" applyNumberFormat="1"/>
    <xf numFmtId="0" fontId="5" fillId="0" borderId="2" xfId="4883" applyFont="1" applyFill="1" applyBorder="1" applyAlignment="1">
      <alignment horizontal="right" vertical="center" wrapText="1"/>
    </xf>
    <xf numFmtId="0" fontId="5" fillId="4" borderId="0" xfId="4883" applyFont="1" applyFill="1" applyBorder="1" applyAlignment="1">
      <alignment horizontal="right" vertical="center"/>
    </xf>
    <xf numFmtId="0" fontId="0" fillId="0" borderId="0" xfId="0" applyAlignment="1">
      <alignment vertical="center"/>
    </xf>
    <xf numFmtId="0" fontId="4" fillId="3" borderId="1" xfId="4048" applyFont="1" applyFill="1" applyBorder="1" applyAlignment="1">
      <alignment vertical="center"/>
    </xf>
    <xf numFmtId="0" fontId="120" fillId="0" borderId="0" xfId="4048"/>
    <xf numFmtId="9" fontId="0" fillId="0" borderId="0" xfId="0" applyNumberFormat="1"/>
    <xf numFmtId="0" fontId="9" fillId="0" borderId="2" xfId="4883" applyFont="1" applyFill="1" applyBorder="1" applyAlignment="1">
      <alignment horizontal="center" vertical="center"/>
    </xf>
    <xf numFmtId="0" fontId="1" fillId="0" borderId="6" xfId="0" applyFont="1" applyFill="1" applyBorder="1" applyAlignment="1">
      <alignment horizontal="center"/>
    </xf>
    <xf numFmtId="0" fontId="1" fillId="0" borderId="0" xfId="0" applyFont="1" applyFill="1" applyAlignment="1">
      <alignment vertical="center" wrapText="1"/>
    </xf>
    <xf numFmtId="0" fontId="0" fillId="0" borderId="6" xfId="0" applyBorder="1"/>
    <xf numFmtId="0" fontId="2" fillId="6" borderId="6" xfId="0" applyFont="1" applyFill="1" applyBorder="1"/>
    <xf numFmtId="0" fontId="2" fillId="0" borderId="6" xfId="0" applyFont="1" applyFill="1" applyBorder="1"/>
    <xf numFmtId="0" fontId="2" fillId="2" borderId="0" xfId="0" applyFont="1" applyFill="1"/>
    <xf numFmtId="0" fontId="0" fillId="0" borderId="6" xfId="0" applyFont="1" applyBorder="1"/>
    <xf numFmtId="0" fontId="3" fillId="0" borderId="6" xfId="4883" applyFont="1" applyBorder="1" applyAlignment="1">
      <alignment horizontal="left"/>
    </xf>
    <xf numFmtId="0" fontId="4" fillId="3" borderId="6" xfId="4069" applyFont="1" applyFill="1" applyBorder="1" applyAlignment="1">
      <alignment vertical="center"/>
    </xf>
    <xf numFmtId="0" fontId="4" fillId="3" borderId="6" xfId="0" applyFont="1" applyFill="1" applyBorder="1" applyAlignment="1">
      <alignment vertical="center"/>
    </xf>
    <xf numFmtId="0" fontId="5" fillId="4" borderId="6" xfId="4883" applyFont="1" applyFill="1" applyBorder="1" applyAlignment="1">
      <alignment horizontal="left" vertical="center"/>
    </xf>
    <xf numFmtId="0" fontId="9" fillId="0" borderId="6" xfId="4883" applyFont="1" applyFill="1" applyBorder="1" applyAlignment="1">
      <alignment horizontal="right" vertical="center"/>
    </xf>
    <xf numFmtId="0" fontId="120" fillId="0" borderId="6" xfId="5345" applyBorder="1"/>
    <xf numFmtId="2" fontId="11" fillId="0" borderId="6" xfId="0" applyNumberFormat="1" applyFont="1" applyFill="1" applyBorder="1"/>
    <xf numFmtId="0" fontId="11" fillId="0" borderId="6" xfId="0" applyFont="1" applyFill="1" applyBorder="1"/>
    <xf numFmtId="0" fontId="12" fillId="0" borderId="6" xfId="0" applyFont="1" applyFill="1" applyBorder="1"/>
    <xf numFmtId="0" fontId="13" fillId="0" borderId="6" xfId="4883" applyFont="1" applyFill="1" applyBorder="1" applyAlignment="1">
      <alignment horizontal="right" vertical="center"/>
    </xf>
    <xf numFmtId="0" fontId="5" fillId="4" borderId="6" xfId="4883" applyFont="1" applyFill="1" applyBorder="1" applyAlignment="1">
      <alignment horizontal="right" vertical="center" wrapText="1"/>
    </xf>
    <xf numFmtId="2" fontId="14" fillId="0" borderId="6" xfId="0" applyNumberFormat="1" applyFont="1" applyBorder="1"/>
    <xf numFmtId="2" fontId="120" fillId="0" borderId="6" xfId="5345" applyNumberFormat="1" applyBorder="1"/>
    <xf numFmtId="184" fontId="120" fillId="0" borderId="0" xfId="5345" applyNumberFormat="1"/>
    <xf numFmtId="0" fontId="13" fillId="2" borderId="2" xfId="4883" applyFont="1" applyFill="1" applyBorder="1" applyAlignment="1">
      <alignment horizontal="right" vertical="center" wrapText="1"/>
    </xf>
    <xf numFmtId="0" fontId="13" fillId="4" borderId="2" xfId="4883" applyFont="1" applyFill="1" applyBorder="1" applyAlignment="1">
      <alignment horizontal="right" vertical="center" wrapText="1"/>
    </xf>
    <xf numFmtId="0" fontId="4" fillId="3" borderId="1" xfId="5345" applyFont="1" applyFill="1" applyBorder="1" applyAlignment="1">
      <alignment vertical="center"/>
    </xf>
    <xf numFmtId="0" fontId="120" fillId="0" borderId="0" xfId="5345"/>
    <xf numFmtId="0" fontId="2" fillId="0" borderId="0" xfId="0" applyFont="1" applyFill="1"/>
    <xf numFmtId="0" fontId="1" fillId="0" borderId="6" xfId="0" applyFont="1" applyFill="1" applyBorder="1" applyAlignment="1"/>
    <xf numFmtId="0" fontId="6" fillId="0" borderId="6" xfId="0" applyFont="1" applyFill="1" applyBorder="1"/>
    <xf numFmtId="9" fontId="12" fillId="0" borderId="6" xfId="0" applyNumberFormat="1" applyFont="1" applyFill="1" applyBorder="1"/>
    <xf numFmtId="0" fontId="12" fillId="0" borderId="6" xfId="0" applyFont="1" applyBorder="1"/>
    <xf numFmtId="1" fontId="12" fillId="0" borderId="6" xfId="0" applyNumberFormat="1" applyFont="1" applyFill="1" applyBorder="1"/>
    <xf numFmtId="0" fontId="0" fillId="0" borderId="0" xfId="5345" applyFont="1" applyFill="1"/>
    <xf numFmtId="0" fontId="120" fillId="0" borderId="0" xfId="5345" applyFill="1"/>
    <xf numFmtId="0" fontId="0" fillId="0" borderId="0" xfId="0" applyFont="1" applyFill="1" applyAlignment="1"/>
    <xf numFmtId="0" fontId="15" fillId="0" borderId="0" xfId="0" applyFont="1" applyFill="1" applyAlignment="1"/>
    <xf numFmtId="2" fontId="12" fillId="0" borderId="6" xfId="0" applyNumberFormat="1" applyFont="1" applyFill="1" applyBorder="1"/>
    <xf numFmtId="0" fontId="0" fillId="0" borderId="6" xfId="0" applyFont="1" applyFill="1" applyBorder="1"/>
    <xf numFmtId="0" fontId="0" fillId="0" borderId="6" xfId="5345" applyFont="1" applyFill="1" applyBorder="1"/>
    <xf numFmtId="0" fontId="0" fillId="0" borderId="6" xfId="0" applyFont="1" applyFill="1" applyBorder="1" applyAlignment="1"/>
    <xf numFmtId="0" fontId="0" fillId="0" borderId="6" xfId="0" applyFill="1" applyBorder="1"/>
    <xf numFmtId="0" fontId="120" fillId="0" borderId="6" xfId="5345" applyFill="1" applyBorder="1"/>
    <xf numFmtId="0" fontId="15" fillId="0" borderId="6" xfId="0" applyFont="1" applyFill="1" applyBorder="1" applyAlignment="1"/>
    <xf numFmtId="9" fontId="0" fillId="0" borderId="6" xfId="0" applyNumberFormat="1" applyBorder="1"/>
    <xf numFmtId="2" fontId="120" fillId="0" borderId="6" xfId="5345" applyNumberFormat="1" applyFill="1" applyBorder="1"/>
    <xf numFmtId="2" fontId="0" fillId="0" borderId="6" xfId="5345" applyNumberFormat="1" applyFont="1" applyFill="1" applyBorder="1"/>
    <xf numFmtId="0" fontId="0" fillId="7" borderId="0" xfId="0" applyFill="1"/>
    <xf numFmtId="0" fontId="0" fillId="0" borderId="0" xfId="0" applyFont="1"/>
    <xf numFmtId="0" fontId="11" fillId="0" borderId="0" xfId="0" applyFont="1"/>
    <xf numFmtId="0" fontId="16" fillId="0" borderId="0" xfId="1" applyFont="1" applyAlignment="1"/>
    <xf numFmtId="0" fontId="1" fillId="0" borderId="0" xfId="0" applyFont="1"/>
    <xf numFmtId="0" fontId="9" fillId="4" borderId="2" xfId="4883" applyFont="1" applyFill="1" applyBorder="1" applyAlignment="1">
      <alignment horizontal="left" vertical="center"/>
    </xf>
    <xf numFmtId="0" fontId="6" fillId="0" borderId="0" xfId="4069" applyFont="1"/>
    <xf numFmtId="2" fontId="11" fillId="0" borderId="0" xfId="0" applyNumberFormat="1" applyFont="1" applyFill="1"/>
    <xf numFmtId="1" fontId="11" fillId="0" borderId="0" xfId="0" applyNumberFormat="1" applyFont="1" applyFill="1"/>
    <xf numFmtId="1" fontId="11" fillId="0" borderId="0" xfId="4069" applyNumberFormat="1" applyFont="1" applyFill="1"/>
    <xf numFmtId="0" fontId="120" fillId="0" borderId="6" xfId="4069" applyBorder="1"/>
    <xf numFmtId="1" fontId="11" fillId="0" borderId="6" xfId="0" applyNumberFormat="1" applyFont="1" applyFill="1" applyBorder="1"/>
    <xf numFmtId="0" fontId="0" fillId="0" borderId="6" xfId="4069" applyFont="1" applyBorder="1"/>
    <xf numFmtId="0" fontId="17" fillId="0" borderId="6" xfId="4230" applyFont="1" applyFill="1" applyBorder="1"/>
    <xf numFmtId="0" fontId="18" fillId="0" borderId="6" xfId="0" applyFont="1" applyFill="1" applyBorder="1"/>
    <xf numFmtId="0" fontId="1" fillId="0" borderId="6" xfId="4230" applyFill="1" applyBorder="1"/>
    <xf numFmtId="0" fontId="0" fillId="0" borderId="0" xfId="4069" applyFont="1"/>
    <xf numFmtId="0" fontId="1" fillId="0" borderId="0" xfId="4230" applyFill="1"/>
    <xf numFmtId="0" fontId="18" fillId="0" borderId="0" xfId="0" applyFont="1" applyFill="1"/>
    <xf numFmtId="0" fontId="19" fillId="0" borderId="0" xfId="4230" applyFont="1" applyFill="1"/>
    <xf numFmtId="0" fontId="12" fillId="0" borderId="0" xfId="0" applyFont="1" applyFill="1"/>
    <xf numFmtId="1" fontId="20" fillId="0" borderId="0" xfId="0" applyNumberFormat="1" applyFont="1" applyFill="1"/>
    <xf numFmtId="2" fontId="12" fillId="0" borderId="0" xfId="0" applyNumberFormat="1" applyFont="1" applyFill="1"/>
    <xf numFmtId="0" fontId="21" fillId="8" borderId="0" xfId="0" applyFont="1" applyFill="1" applyAlignment="1">
      <alignment vertical="center"/>
    </xf>
    <xf numFmtId="1" fontId="0" fillId="0" borderId="0" xfId="0" applyNumberFormat="1" applyFont="1"/>
    <xf numFmtId="0" fontId="6" fillId="0" borderId="0" xfId="4069" applyFont="1" applyBorder="1"/>
    <xf numFmtId="0" fontId="1" fillId="0" borderId="0" xfId="4047" applyBorder="1"/>
    <xf numFmtId="0" fontId="120" fillId="0" borderId="0" xfId="4069" applyBorder="1"/>
    <xf numFmtId="0" fontId="120" fillId="0" borderId="0" xfId="4069" applyBorder="1"/>
    <xf numFmtId="0" fontId="0" fillId="6" borderId="0" xfId="0" applyFill="1"/>
    <xf numFmtId="0" fontId="22" fillId="6" borderId="0" xfId="0" applyFont="1" applyFill="1"/>
    <xf numFmtId="0" fontId="23" fillId="0" borderId="6" xfId="0" applyFont="1" applyFill="1" applyBorder="1"/>
    <xf numFmtId="2" fontId="23" fillId="0" borderId="6" xfId="0" applyNumberFormat="1" applyFont="1" applyFill="1" applyBorder="1"/>
    <xf numFmtId="0" fontId="23" fillId="0" borderId="6" xfId="0" applyFont="1" applyBorder="1"/>
    <xf numFmtId="2" fontId="23" fillId="0" borderId="6" xfId="0" applyNumberFormat="1" applyFont="1" applyBorder="1"/>
    <xf numFmtId="0" fontId="12" fillId="0" borderId="0" xfId="0" applyFont="1"/>
    <xf numFmtId="0" fontId="23" fillId="0" borderId="7" xfId="0" applyFont="1" applyBorder="1"/>
    <xf numFmtId="0" fontId="6" fillId="0" borderId="6" xfId="0" applyFont="1" applyBorder="1"/>
    <xf numFmtId="0" fontId="11" fillId="0" borderId="0" xfId="0" applyFont="1" applyFill="1"/>
    <xf numFmtId="2" fontId="12" fillId="0" borderId="0" xfId="0" applyNumberFormat="1" applyFont="1"/>
    <xf numFmtId="2" fontId="0" fillId="0" borderId="0" xfId="0" applyNumberFormat="1" applyFont="1"/>
    <xf numFmtId="2" fontId="12" fillId="0" borderId="6" xfId="0" applyNumberFormat="1" applyFont="1" applyBorder="1"/>
    <xf numFmtId="0" fontId="22" fillId="0" borderId="0" xfId="0" applyFont="1" applyFill="1"/>
    <xf numFmtId="0" fontId="24" fillId="0" borderId="6" xfId="0" applyFont="1" applyBorder="1"/>
    <xf numFmtId="9" fontId="12" fillId="0" borderId="0" xfId="0" applyNumberFormat="1" applyFont="1"/>
    <xf numFmtId="9" fontId="0" fillId="0" borderId="0" xfId="0" applyNumberFormat="1" applyFont="1"/>
    <xf numFmtId="184" fontId="3" fillId="0" borderId="0" xfId="0" applyNumberFormat="1" applyFont="1"/>
    <xf numFmtId="184" fontId="5" fillId="4" borderId="2" xfId="0" applyNumberFormat="1" applyFont="1" applyFill="1" applyBorder="1" applyAlignment="1">
      <alignment horizontal="left"/>
    </xf>
    <xf numFmtId="184" fontId="5" fillId="4" borderId="3" xfId="0" applyNumberFormat="1" applyFont="1" applyFill="1" applyBorder="1" applyAlignment="1">
      <alignment horizontal="left"/>
    </xf>
    <xf numFmtId="184" fontId="8" fillId="9" borderId="1" xfId="3" applyNumberFormat="1" applyFont="1" applyBorder="1" applyAlignment="1">
      <alignment horizontal="left" wrapText="1"/>
    </xf>
    <xf numFmtId="184" fontId="8" fillId="9" borderId="4" xfId="3" applyNumberFormat="1" applyFont="1" applyBorder="1" applyAlignment="1">
      <alignment horizontal="left" wrapText="1"/>
    </xf>
    <xf numFmtId="184" fontId="8" fillId="9" borderId="4" xfId="3" applyNumberFormat="1" applyFont="1" applyBorder="1" applyAlignment="1">
      <alignment horizontal="right" wrapText="1"/>
    </xf>
    <xf numFmtId="184" fontId="0" fillId="0" borderId="0" xfId="4069" applyNumberFormat="1" applyFont="1"/>
    <xf numFmtId="184" fontId="120" fillId="0" borderId="0" xfId="4069" applyNumberFormat="1"/>
    <xf numFmtId="184" fontId="0" fillId="0" borderId="5" xfId="0" applyNumberFormat="1" applyBorder="1"/>
    <xf numFmtId="184" fontId="1" fillId="0" borderId="5" xfId="0" applyNumberFormat="1" applyFont="1" applyBorder="1"/>
    <xf numFmtId="0" fontId="1" fillId="0" borderId="0" xfId="4882"/>
    <xf numFmtId="184" fontId="0" fillId="0" borderId="0" xfId="0" applyNumberFormat="1" applyFont="1"/>
    <xf numFmtId="1" fontId="120" fillId="0" borderId="0" xfId="4068" applyNumberFormat="1" applyFill="1"/>
    <xf numFmtId="0" fontId="1" fillId="0" borderId="0" xfId="4047" applyFill="1"/>
    <xf numFmtId="0" fontId="1" fillId="0" borderId="0" xfId="4047"/>
    <xf numFmtId="0" fontId="0" fillId="0" borderId="0" xfId="4068" applyFont="1" applyFill="1" applyBorder="1"/>
    <xf numFmtId="0" fontId="120" fillId="0" borderId="0" xfId="4068" applyFill="1" applyBorder="1"/>
    <xf numFmtId="0" fontId="7" fillId="0" borderId="0" xfId="2" applyFill="1" applyBorder="1"/>
    <xf numFmtId="0" fontId="4" fillId="0" borderId="0" xfId="4068" applyFont="1" applyFill="1" applyBorder="1" applyAlignment="1">
      <alignment vertical="center"/>
    </xf>
    <xf numFmtId="1" fontId="4" fillId="0" borderId="0" xfId="4068" applyNumberFormat="1" applyFont="1" applyFill="1" applyBorder="1" applyAlignment="1">
      <alignment vertical="center"/>
    </xf>
    <xf numFmtId="10" fontId="1" fillId="0" borderId="0" xfId="4047" applyNumberFormat="1" applyFill="1" applyBorder="1"/>
    <xf numFmtId="0" fontId="1" fillId="0" borderId="0" xfId="4047" applyFill="1" applyBorder="1"/>
    <xf numFmtId="0" fontId="1" fillId="0" borderId="0" xfId="4047" applyFill="1" applyBorder="1"/>
    <xf numFmtId="9" fontId="1" fillId="0" borderId="0" xfId="4047" applyNumberFormat="1" applyFill="1" applyBorder="1"/>
    <xf numFmtId="0" fontId="0" fillId="0" borderId="0" xfId="0" applyFill="1" applyBorder="1"/>
    <xf numFmtId="0" fontId="0" fillId="0" borderId="0" xfId="0" applyFont="1" applyAlignment="1">
      <alignment wrapText="1"/>
    </xf>
    <xf numFmtId="0" fontId="21" fillId="0" borderId="0" xfId="5230" applyFont="1" applyFill="1"/>
    <xf numFmtId="0" fontId="15" fillId="10" borderId="0" xfId="0" applyFont="1" applyFill="1" applyAlignment="1"/>
    <xf numFmtId="0" fontId="21" fillId="0" borderId="6" xfId="0" applyFont="1" applyFill="1" applyBorder="1"/>
    <xf numFmtId="0" fontId="1" fillId="6" borderId="0" xfId="0" applyFont="1" applyFill="1" applyAlignment="1"/>
    <xf numFmtId="0" fontId="6" fillId="0" borderId="0" xfId="0" applyFont="1" applyFill="1"/>
    <xf numFmtId="0" fontId="25" fillId="0" borderId="6" xfId="0" applyFont="1" applyBorder="1"/>
    <xf numFmtId="0" fontId="25" fillId="0" borderId="0" xfId="0" applyFont="1"/>
    <xf numFmtId="0" fontId="21" fillId="0" borderId="0" xfId="0" applyFont="1" applyFill="1" applyBorder="1"/>
    <xf numFmtId="0" fontId="2" fillId="6" borderId="0" xfId="0" applyFont="1" applyFill="1" applyAlignment="1">
      <alignment wrapText="1"/>
    </xf>
    <xf numFmtId="1" fontId="25" fillId="0" borderId="0" xfId="0" applyNumberFormat="1" applyFont="1" applyFill="1"/>
    <xf numFmtId="185" fontId="120" fillId="0" borderId="0" xfId="4048" applyNumberFormat="1"/>
    <xf numFmtId="1" fontId="12" fillId="0" borderId="0" xfId="0" applyNumberFormat="1" applyFont="1" applyFill="1"/>
    <xf numFmtId="185" fontId="120" fillId="6" borderId="0" xfId="4048" applyNumberFormat="1" applyFill="1"/>
    <xf numFmtId="0" fontId="0" fillId="6" borderId="6" xfId="0" applyFill="1" applyBorder="1"/>
    <xf numFmtId="0" fontId="25" fillId="0" borderId="6" xfId="0" applyFont="1" applyFill="1" applyBorder="1"/>
    <xf numFmtId="0" fontId="12" fillId="6" borderId="6" xfId="0" applyFont="1" applyFill="1" applyBorder="1"/>
    <xf numFmtId="0" fontId="26" fillId="0" borderId="6" xfId="0" applyFont="1" applyBorder="1"/>
    <xf numFmtId="10" fontId="0" fillId="0" borderId="6" xfId="0" applyNumberFormat="1" applyBorder="1"/>
    <xf numFmtId="0" fontId="26" fillId="0" borderId="0" xfId="0" applyFont="1"/>
    <xf numFmtId="0" fontId="12" fillId="0" borderId="0" xfId="0" applyFont="1" applyAlignment="1">
      <alignment horizontal="center" wrapText="1"/>
    </xf>
    <xf numFmtId="0" fontId="27" fillId="0" borderId="0" xfId="5230" applyFont="1"/>
    <xf numFmtId="0" fontId="12" fillId="6" borderId="0" xfId="0" applyFont="1" applyFill="1" applyAlignment="1">
      <alignment wrapText="1"/>
    </xf>
    <xf numFmtId="0" fontId="12" fillId="0" borderId="0" xfId="0" applyFont="1" applyAlignment="1">
      <alignment wrapText="1"/>
    </xf>
    <xf numFmtId="0" fontId="27" fillId="0" borderId="6" xfId="0" applyFont="1" applyBorder="1"/>
    <xf numFmtId="0" fontId="27" fillId="0" borderId="0" xfId="0" applyFont="1"/>
    <xf numFmtId="3" fontId="0" fillId="0" borderId="0" xfId="0" applyNumberFormat="1" applyAlignment="1">
      <alignment wrapText="1"/>
    </xf>
    <xf numFmtId="0" fontId="0" fillId="0" borderId="0" xfId="0" applyAlignment="1">
      <alignment wrapText="1"/>
    </xf>
    <xf numFmtId="0" fontId="9" fillId="0" borderId="0" xfId="5230" applyFont="1" applyFill="1"/>
    <xf numFmtId="2" fontId="0" fillId="0" borderId="6" xfId="0" applyNumberFormat="1" applyFont="1" applyFill="1" applyBorder="1"/>
    <xf numFmtId="0" fontId="28" fillId="0" borderId="0" xfId="0" applyFont="1"/>
    <xf numFmtId="0" fontId="29" fillId="0" borderId="0" xfId="0" applyFont="1" applyFill="1"/>
    <xf numFmtId="0" fontId="1" fillId="0" borderId="0" xfId="0" applyFont="1" applyFill="1"/>
    <xf numFmtId="0" fontId="25" fillId="0" borderId="0" xfId="0" applyFont="1" applyFill="1"/>
    <xf numFmtId="0" fontId="120" fillId="6" borderId="0" xfId="4048" applyFill="1"/>
    <xf numFmtId="2" fontId="25" fillId="0" borderId="0" xfId="0" applyNumberFormat="1" applyFont="1" applyFill="1"/>
    <xf numFmtId="0" fontId="120" fillId="0" borderId="5" xfId="4048" applyBorder="1"/>
    <xf numFmtId="0" fontId="21" fillId="0" borderId="5" xfId="5230" applyFont="1" applyBorder="1"/>
    <xf numFmtId="185" fontId="120" fillId="0" borderId="0" xfId="4048" applyNumberFormat="1" applyFill="1"/>
    <xf numFmtId="9" fontId="0" fillId="0" borderId="0" xfId="0" applyNumberFormat="1" applyFill="1"/>
    <xf numFmtId="0" fontId="120" fillId="0" borderId="5" xfId="4048" applyFill="1" applyBorder="1"/>
    <xf numFmtId="0" fontId="30" fillId="0" borderId="0" xfId="0" applyFont="1" applyFill="1"/>
  </cellXfs>
  <cellStyles count="8810">
    <cellStyle name="???????" xfId="4" xr:uid="{00000000-0005-0000-0000-000031000000}"/>
    <cellStyle name="20% - 1. jelölőszín" xfId="5" xr:uid="{00000000-0005-0000-0000-000032000000}"/>
    <cellStyle name="20% - 2. jelölőszín" xfId="6" xr:uid="{00000000-0005-0000-0000-000033000000}"/>
    <cellStyle name="20% - 3. jelölőszín" xfId="7" xr:uid="{00000000-0005-0000-0000-000034000000}"/>
    <cellStyle name="20% - 4. jelölőszín" xfId="8" xr:uid="{00000000-0005-0000-0000-000035000000}"/>
    <cellStyle name="20% - 5. jelölőszín" xfId="9" xr:uid="{00000000-0005-0000-0000-000036000000}"/>
    <cellStyle name="20% - 6. jelölőszín" xfId="10" xr:uid="{00000000-0005-0000-0000-000037000000}"/>
    <cellStyle name="20% - Accent1 10" xfId="11" xr:uid="{00000000-0005-0000-0000-000038000000}"/>
    <cellStyle name="20% - Accent1 11" xfId="12" xr:uid="{00000000-0005-0000-0000-000039000000}"/>
    <cellStyle name="20% - Accent1 12" xfId="13" xr:uid="{00000000-0005-0000-0000-00003A000000}"/>
    <cellStyle name="20% - Accent1 13" xfId="14" xr:uid="{00000000-0005-0000-0000-00003B000000}"/>
    <cellStyle name="20% - Accent1 14" xfId="15" xr:uid="{00000000-0005-0000-0000-00003C000000}"/>
    <cellStyle name="20% - Accent1 15" xfId="16" xr:uid="{00000000-0005-0000-0000-00003D000000}"/>
    <cellStyle name="20% - Accent1 16" xfId="17" xr:uid="{00000000-0005-0000-0000-00003E000000}"/>
    <cellStyle name="20% - Accent1 17" xfId="18" xr:uid="{00000000-0005-0000-0000-00003F000000}"/>
    <cellStyle name="20% - Accent1 18" xfId="19" xr:uid="{00000000-0005-0000-0000-000040000000}"/>
    <cellStyle name="20% - Accent1 19" xfId="20" xr:uid="{00000000-0005-0000-0000-000041000000}"/>
    <cellStyle name="20% - Accent1 2" xfId="21" xr:uid="{00000000-0005-0000-0000-000042000000}"/>
    <cellStyle name="20% - Accent1 2 10" xfId="22" xr:uid="{00000000-0005-0000-0000-000043000000}"/>
    <cellStyle name="20% - Accent1 2 11" xfId="23" xr:uid="{00000000-0005-0000-0000-000044000000}"/>
    <cellStyle name="20% - Accent1 2 12" xfId="24" xr:uid="{00000000-0005-0000-0000-000045000000}"/>
    <cellStyle name="20% - Accent1 2 13" xfId="25" xr:uid="{00000000-0005-0000-0000-000046000000}"/>
    <cellStyle name="20% - Accent1 2 14" xfId="26" xr:uid="{00000000-0005-0000-0000-000047000000}"/>
    <cellStyle name="20% - Accent1 2 15" xfId="27" xr:uid="{00000000-0005-0000-0000-000048000000}"/>
    <cellStyle name="20% - Accent1 2 2" xfId="28" xr:uid="{00000000-0005-0000-0000-000049000000}"/>
    <cellStyle name="20% - Accent1 2 3" xfId="29" xr:uid="{00000000-0005-0000-0000-00004A000000}"/>
    <cellStyle name="20% - Accent1 2 4" xfId="30" xr:uid="{00000000-0005-0000-0000-00004B000000}"/>
    <cellStyle name="20% - Accent1 2 5" xfId="31" xr:uid="{00000000-0005-0000-0000-00004C000000}"/>
    <cellStyle name="20% - Accent1 2 6" xfId="32" xr:uid="{00000000-0005-0000-0000-00004D000000}"/>
    <cellStyle name="20% - Accent1 2 7" xfId="33" xr:uid="{00000000-0005-0000-0000-00004E000000}"/>
    <cellStyle name="20% - Accent1 2 8" xfId="34" xr:uid="{00000000-0005-0000-0000-00004F000000}"/>
    <cellStyle name="20% - Accent1 2 9" xfId="35" xr:uid="{00000000-0005-0000-0000-000050000000}"/>
    <cellStyle name="20% - Accent1 20" xfId="36" xr:uid="{00000000-0005-0000-0000-000051000000}"/>
    <cellStyle name="20% - Accent1 21" xfId="37" xr:uid="{00000000-0005-0000-0000-000052000000}"/>
    <cellStyle name="20% - Accent1 22" xfId="38" xr:uid="{00000000-0005-0000-0000-000053000000}"/>
    <cellStyle name="20% - Accent1 23" xfId="39" xr:uid="{00000000-0005-0000-0000-000054000000}"/>
    <cellStyle name="20% - Accent1 24" xfId="40" xr:uid="{00000000-0005-0000-0000-000055000000}"/>
    <cellStyle name="20% - Accent1 25" xfId="41" xr:uid="{00000000-0005-0000-0000-000056000000}"/>
    <cellStyle name="20% - Accent1 26" xfId="42" xr:uid="{00000000-0005-0000-0000-000057000000}"/>
    <cellStyle name="20% - Accent1 27" xfId="43" xr:uid="{00000000-0005-0000-0000-000058000000}"/>
    <cellStyle name="20% - Accent1 28" xfId="44" xr:uid="{00000000-0005-0000-0000-000059000000}"/>
    <cellStyle name="20% - Accent1 29" xfId="45" xr:uid="{00000000-0005-0000-0000-00005A000000}"/>
    <cellStyle name="20% - Accent1 3" xfId="46" xr:uid="{00000000-0005-0000-0000-00005B000000}"/>
    <cellStyle name="20% - Accent1 3 2" xfId="47" xr:uid="{00000000-0005-0000-0000-00005C000000}"/>
    <cellStyle name="20% - Accent1 3 3" xfId="48" xr:uid="{00000000-0005-0000-0000-00005D000000}"/>
    <cellStyle name="20% - Accent1 3 4" xfId="49" xr:uid="{00000000-0005-0000-0000-00005E000000}"/>
    <cellStyle name="20% - Accent1 3 5" xfId="50" xr:uid="{00000000-0005-0000-0000-00005F000000}"/>
    <cellStyle name="20% - Accent1 30" xfId="51" xr:uid="{00000000-0005-0000-0000-000060000000}"/>
    <cellStyle name="20% - Accent1 31" xfId="52" xr:uid="{00000000-0005-0000-0000-000061000000}"/>
    <cellStyle name="20% - Accent1 32" xfId="53" xr:uid="{00000000-0005-0000-0000-000062000000}"/>
    <cellStyle name="20% - Accent1 33" xfId="54" xr:uid="{00000000-0005-0000-0000-000063000000}"/>
    <cellStyle name="20% - Accent1 34" xfId="55" xr:uid="{00000000-0005-0000-0000-000064000000}"/>
    <cellStyle name="20% - Accent1 35" xfId="56" xr:uid="{00000000-0005-0000-0000-000065000000}"/>
    <cellStyle name="20% - Accent1 36" xfId="57" xr:uid="{00000000-0005-0000-0000-000066000000}"/>
    <cellStyle name="20% - Accent1 37" xfId="58" xr:uid="{00000000-0005-0000-0000-000067000000}"/>
    <cellStyle name="20% - Accent1 38" xfId="59" xr:uid="{00000000-0005-0000-0000-000068000000}"/>
    <cellStyle name="20% - Accent1 39" xfId="60" xr:uid="{00000000-0005-0000-0000-000069000000}"/>
    <cellStyle name="20% - Accent1 4" xfId="61" xr:uid="{00000000-0005-0000-0000-00006A000000}"/>
    <cellStyle name="20% - Accent1 4 2" xfId="62" xr:uid="{00000000-0005-0000-0000-00006B000000}"/>
    <cellStyle name="20% - Accent1 4 2 2" xfId="63" xr:uid="{00000000-0005-0000-0000-00006C000000}"/>
    <cellStyle name="20% - Accent1 4 2 3" xfId="64" xr:uid="{00000000-0005-0000-0000-00006D000000}"/>
    <cellStyle name="20% - Accent1 4 3" xfId="65" xr:uid="{00000000-0005-0000-0000-00006E000000}"/>
    <cellStyle name="20% - Accent1 4 4" xfId="66" xr:uid="{00000000-0005-0000-0000-00006F000000}"/>
    <cellStyle name="20% - Accent1 40" xfId="67" xr:uid="{00000000-0005-0000-0000-000070000000}"/>
    <cellStyle name="20% - Accent1 41" xfId="68" xr:uid="{00000000-0005-0000-0000-000071000000}"/>
    <cellStyle name="20% - Accent1 42" xfId="69" xr:uid="{00000000-0005-0000-0000-000072000000}"/>
    <cellStyle name="20% - Accent1 43" xfId="70" xr:uid="{00000000-0005-0000-0000-000073000000}"/>
    <cellStyle name="20% - Accent1 44" xfId="71" xr:uid="{00000000-0005-0000-0000-000074000000}"/>
    <cellStyle name="20% - Accent1 44 2" xfId="72" xr:uid="{00000000-0005-0000-0000-000075000000}"/>
    <cellStyle name="20% - Accent1 5" xfId="73" xr:uid="{00000000-0005-0000-0000-000076000000}"/>
    <cellStyle name="20% - Accent1 5 2" xfId="74" xr:uid="{00000000-0005-0000-0000-000077000000}"/>
    <cellStyle name="20% - Accent1 5 2 2" xfId="75" xr:uid="{00000000-0005-0000-0000-000078000000}"/>
    <cellStyle name="20% - Accent1 5 2 3" xfId="76" xr:uid="{00000000-0005-0000-0000-000079000000}"/>
    <cellStyle name="20% - Accent1 5 3" xfId="77" xr:uid="{00000000-0005-0000-0000-00007A000000}"/>
    <cellStyle name="20% - Accent1 5 4" xfId="78" xr:uid="{00000000-0005-0000-0000-00007B000000}"/>
    <cellStyle name="20% - Accent1 6" xfId="79" xr:uid="{00000000-0005-0000-0000-00007C000000}"/>
    <cellStyle name="20% - Accent1 6 2" xfId="80" xr:uid="{00000000-0005-0000-0000-00007D000000}"/>
    <cellStyle name="20% - Accent1 6 3" xfId="81" xr:uid="{00000000-0005-0000-0000-00007E000000}"/>
    <cellStyle name="20% - Accent1 6 4" xfId="82" xr:uid="{00000000-0005-0000-0000-00007F000000}"/>
    <cellStyle name="20% - Accent1 6 5" xfId="83" xr:uid="{00000000-0005-0000-0000-000080000000}"/>
    <cellStyle name="20% - Accent1 7" xfId="84" xr:uid="{00000000-0005-0000-0000-000081000000}"/>
    <cellStyle name="20% - Accent1 7 2" xfId="85" xr:uid="{00000000-0005-0000-0000-000082000000}"/>
    <cellStyle name="20% - Accent1 7 3" xfId="86" xr:uid="{00000000-0005-0000-0000-000083000000}"/>
    <cellStyle name="20% - Accent1 8" xfId="87" xr:uid="{00000000-0005-0000-0000-000084000000}"/>
    <cellStyle name="20% - Accent1 8 2" xfId="88" xr:uid="{00000000-0005-0000-0000-000085000000}"/>
    <cellStyle name="20% - Accent1 8 3" xfId="89" xr:uid="{00000000-0005-0000-0000-000086000000}"/>
    <cellStyle name="20% - Accent1 9" xfId="90" xr:uid="{00000000-0005-0000-0000-000087000000}"/>
    <cellStyle name="20% - Accent2 10" xfId="91" xr:uid="{00000000-0005-0000-0000-000088000000}"/>
    <cellStyle name="20% - Accent2 11" xfId="92" xr:uid="{00000000-0005-0000-0000-000089000000}"/>
    <cellStyle name="20% - Accent2 12" xfId="93" xr:uid="{00000000-0005-0000-0000-00008A000000}"/>
    <cellStyle name="20% - Accent2 13" xfId="94" xr:uid="{00000000-0005-0000-0000-00008B000000}"/>
    <cellStyle name="20% - Accent2 14" xfId="95" xr:uid="{00000000-0005-0000-0000-00008C000000}"/>
    <cellStyle name="20% - Accent2 15" xfId="96" xr:uid="{00000000-0005-0000-0000-00008D000000}"/>
    <cellStyle name="20% - Accent2 16" xfId="97" xr:uid="{00000000-0005-0000-0000-00008E000000}"/>
    <cellStyle name="20% - Accent2 17" xfId="98" xr:uid="{00000000-0005-0000-0000-00008F000000}"/>
    <cellStyle name="20% - Accent2 18" xfId="99" xr:uid="{00000000-0005-0000-0000-000090000000}"/>
    <cellStyle name="20% - Accent2 19" xfId="100" xr:uid="{00000000-0005-0000-0000-000091000000}"/>
    <cellStyle name="20% - Accent2 2" xfId="101" xr:uid="{00000000-0005-0000-0000-000092000000}"/>
    <cellStyle name="20% - Accent2 2 10" xfId="102" xr:uid="{00000000-0005-0000-0000-000093000000}"/>
    <cellStyle name="20% - Accent2 2 11" xfId="103" xr:uid="{00000000-0005-0000-0000-000094000000}"/>
    <cellStyle name="20% - Accent2 2 12" xfId="104" xr:uid="{00000000-0005-0000-0000-000095000000}"/>
    <cellStyle name="20% - Accent2 2 13" xfId="105" xr:uid="{00000000-0005-0000-0000-000096000000}"/>
    <cellStyle name="20% - Accent2 2 14" xfId="106" xr:uid="{00000000-0005-0000-0000-000097000000}"/>
    <cellStyle name="20% - Accent2 2 15" xfId="107" xr:uid="{00000000-0005-0000-0000-000098000000}"/>
    <cellStyle name="20% - Accent2 2 2" xfId="108" xr:uid="{00000000-0005-0000-0000-000099000000}"/>
    <cellStyle name="20% - Accent2 2 3" xfId="109" xr:uid="{00000000-0005-0000-0000-00009A000000}"/>
    <cellStyle name="20% - Accent2 2 4" xfId="110" xr:uid="{00000000-0005-0000-0000-00009B000000}"/>
    <cellStyle name="20% - Accent2 2 5" xfId="111" xr:uid="{00000000-0005-0000-0000-00009C000000}"/>
    <cellStyle name="20% - Accent2 2 6" xfId="112" xr:uid="{00000000-0005-0000-0000-00009D000000}"/>
    <cellStyle name="20% - Accent2 2 7" xfId="113" xr:uid="{00000000-0005-0000-0000-00009E000000}"/>
    <cellStyle name="20% - Accent2 2 8" xfId="114" xr:uid="{00000000-0005-0000-0000-00009F000000}"/>
    <cellStyle name="20% - Accent2 2 9" xfId="115" xr:uid="{00000000-0005-0000-0000-0000A0000000}"/>
    <cellStyle name="20% - Accent2 20" xfId="116" xr:uid="{00000000-0005-0000-0000-0000A1000000}"/>
    <cellStyle name="20% - Accent2 21" xfId="117" xr:uid="{00000000-0005-0000-0000-0000A2000000}"/>
    <cellStyle name="20% - Accent2 22" xfId="118" xr:uid="{00000000-0005-0000-0000-0000A3000000}"/>
    <cellStyle name="20% - Accent2 23" xfId="119" xr:uid="{00000000-0005-0000-0000-0000A4000000}"/>
    <cellStyle name="20% - Accent2 24" xfId="120" xr:uid="{00000000-0005-0000-0000-0000A5000000}"/>
    <cellStyle name="20% - Accent2 25" xfId="121" xr:uid="{00000000-0005-0000-0000-0000A6000000}"/>
    <cellStyle name="20% - Accent2 26" xfId="122" xr:uid="{00000000-0005-0000-0000-0000A7000000}"/>
    <cellStyle name="20% - Accent2 27" xfId="123" xr:uid="{00000000-0005-0000-0000-0000A8000000}"/>
    <cellStyle name="20% - Accent2 28" xfId="124" xr:uid="{00000000-0005-0000-0000-0000A9000000}"/>
    <cellStyle name="20% - Accent2 29" xfId="125" xr:uid="{00000000-0005-0000-0000-0000AA000000}"/>
    <cellStyle name="20% - Accent2 3" xfId="126" xr:uid="{00000000-0005-0000-0000-0000AB000000}"/>
    <cellStyle name="20% - Accent2 3 2" xfId="127" xr:uid="{00000000-0005-0000-0000-0000AC000000}"/>
    <cellStyle name="20% - Accent2 3 3" xfId="128" xr:uid="{00000000-0005-0000-0000-0000AD000000}"/>
    <cellStyle name="20% - Accent2 3 4" xfId="129" xr:uid="{00000000-0005-0000-0000-0000AE000000}"/>
    <cellStyle name="20% - Accent2 3 5" xfId="130" xr:uid="{00000000-0005-0000-0000-0000AF000000}"/>
    <cellStyle name="20% - Accent2 30" xfId="131" xr:uid="{00000000-0005-0000-0000-0000B0000000}"/>
    <cellStyle name="20% - Accent2 31" xfId="132" xr:uid="{00000000-0005-0000-0000-0000B1000000}"/>
    <cellStyle name="20% - Accent2 32" xfId="133" xr:uid="{00000000-0005-0000-0000-0000B2000000}"/>
    <cellStyle name="20% - Accent2 33" xfId="134" xr:uid="{00000000-0005-0000-0000-0000B3000000}"/>
    <cellStyle name="20% - Accent2 34" xfId="135" xr:uid="{00000000-0005-0000-0000-0000B4000000}"/>
    <cellStyle name="20% - Accent2 35" xfId="136" xr:uid="{00000000-0005-0000-0000-0000B5000000}"/>
    <cellStyle name="20% - Accent2 36" xfId="137" xr:uid="{00000000-0005-0000-0000-0000B6000000}"/>
    <cellStyle name="20% - Accent2 37" xfId="138" xr:uid="{00000000-0005-0000-0000-0000B7000000}"/>
    <cellStyle name="20% - Accent2 38" xfId="139" xr:uid="{00000000-0005-0000-0000-0000B8000000}"/>
    <cellStyle name="20% - Accent2 39" xfId="140" xr:uid="{00000000-0005-0000-0000-0000B9000000}"/>
    <cellStyle name="20% - Accent2 4" xfId="141" xr:uid="{00000000-0005-0000-0000-0000BA000000}"/>
    <cellStyle name="20% - Accent2 4 2" xfId="142" xr:uid="{00000000-0005-0000-0000-0000BB000000}"/>
    <cellStyle name="20% - Accent2 4 2 2" xfId="143" xr:uid="{00000000-0005-0000-0000-0000BC000000}"/>
    <cellStyle name="20% - Accent2 4 2 3" xfId="144" xr:uid="{00000000-0005-0000-0000-0000BD000000}"/>
    <cellStyle name="20% - Accent2 4 3" xfId="145" xr:uid="{00000000-0005-0000-0000-0000BE000000}"/>
    <cellStyle name="20% - Accent2 4 4" xfId="146" xr:uid="{00000000-0005-0000-0000-0000BF000000}"/>
    <cellStyle name="20% - Accent2 40" xfId="147" xr:uid="{00000000-0005-0000-0000-0000C0000000}"/>
    <cellStyle name="20% - Accent2 41" xfId="148" xr:uid="{00000000-0005-0000-0000-0000C1000000}"/>
    <cellStyle name="20% - Accent2 42" xfId="149" xr:uid="{00000000-0005-0000-0000-0000C2000000}"/>
    <cellStyle name="20% - Accent2 43" xfId="150" xr:uid="{00000000-0005-0000-0000-0000C3000000}"/>
    <cellStyle name="20% - Accent2 44" xfId="151" xr:uid="{00000000-0005-0000-0000-0000C4000000}"/>
    <cellStyle name="20% - Accent2 44 2" xfId="152" xr:uid="{00000000-0005-0000-0000-0000C5000000}"/>
    <cellStyle name="20% - Accent2 5" xfId="153" xr:uid="{00000000-0005-0000-0000-0000C6000000}"/>
    <cellStyle name="20% - Accent2 5 2" xfId="154" xr:uid="{00000000-0005-0000-0000-0000C7000000}"/>
    <cellStyle name="20% - Accent2 5 2 2" xfId="155" xr:uid="{00000000-0005-0000-0000-0000C8000000}"/>
    <cellStyle name="20% - Accent2 5 2 3" xfId="156" xr:uid="{00000000-0005-0000-0000-0000C9000000}"/>
    <cellStyle name="20% - Accent2 5 3" xfId="157" xr:uid="{00000000-0005-0000-0000-0000CA000000}"/>
    <cellStyle name="20% - Accent2 5 4" xfId="158" xr:uid="{00000000-0005-0000-0000-0000CB000000}"/>
    <cellStyle name="20% - Accent2 6" xfId="159" xr:uid="{00000000-0005-0000-0000-0000CC000000}"/>
    <cellStyle name="20% - Accent2 6 2" xfId="160" xr:uid="{00000000-0005-0000-0000-0000CD000000}"/>
    <cellStyle name="20% - Accent2 6 3" xfId="161" xr:uid="{00000000-0005-0000-0000-0000CE000000}"/>
    <cellStyle name="20% - Accent2 6 4" xfId="162" xr:uid="{00000000-0005-0000-0000-0000CF000000}"/>
    <cellStyle name="20% - Accent2 6 5" xfId="163" xr:uid="{00000000-0005-0000-0000-0000D0000000}"/>
    <cellStyle name="20% - Accent2 7" xfId="164" xr:uid="{00000000-0005-0000-0000-0000D1000000}"/>
    <cellStyle name="20% - Accent2 7 2" xfId="165" xr:uid="{00000000-0005-0000-0000-0000D2000000}"/>
    <cellStyle name="20% - Accent2 7 3" xfId="166" xr:uid="{00000000-0005-0000-0000-0000D3000000}"/>
    <cellStyle name="20% - Accent2 8" xfId="167" xr:uid="{00000000-0005-0000-0000-0000D4000000}"/>
    <cellStyle name="20% - Accent2 8 2" xfId="168" xr:uid="{00000000-0005-0000-0000-0000D5000000}"/>
    <cellStyle name="20% - Accent2 8 3" xfId="169" xr:uid="{00000000-0005-0000-0000-0000D6000000}"/>
    <cellStyle name="20% - Accent2 9" xfId="170" xr:uid="{00000000-0005-0000-0000-0000D7000000}"/>
    <cellStyle name="20% - Accent3 10" xfId="171" xr:uid="{00000000-0005-0000-0000-0000D8000000}"/>
    <cellStyle name="20% - Accent3 11" xfId="172" xr:uid="{00000000-0005-0000-0000-0000D9000000}"/>
    <cellStyle name="20% - Accent3 12" xfId="173" xr:uid="{00000000-0005-0000-0000-0000DA000000}"/>
    <cellStyle name="20% - Accent3 13" xfId="174" xr:uid="{00000000-0005-0000-0000-0000DB000000}"/>
    <cellStyle name="20% - Accent3 14" xfId="175" xr:uid="{00000000-0005-0000-0000-0000DC000000}"/>
    <cellStyle name="20% - Accent3 15" xfId="176" xr:uid="{00000000-0005-0000-0000-0000DD000000}"/>
    <cellStyle name="20% - Accent3 16" xfId="177" xr:uid="{00000000-0005-0000-0000-0000DE000000}"/>
    <cellStyle name="20% - Accent3 17" xfId="178" xr:uid="{00000000-0005-0000-0000-0000DF000000}"/>
    <cellStyle name="20% - Accent3 18" xfId="179" xr:uid="{00000000-0005-0000-0000-0000E0000000}"/>
    <cellStyle name="20% - Accent3 19" xfId="180" xr:uid="{00000000-0005-0000-0000-0000E1000000}"/>
    <cellStyle name="20% - Accent3 2" xfId="181" xr:uid="{00000000-0005-0000-0000-0000E2000000}"/>
    <cellStyle name="20% - Accent3 2 10" xfId="182" xr:uid="{00000000-0005-0000-0000-0000E3000000}"/>
    <cellStyle name="20% - Accent3 2 11" xfId="183" xr:uid="{00000000-0005-0000-0000-0000E4000000}"/>
    <cellStyle name="20% - Accent3 2 12" xfId="184" xr:uid="{00000000-0005-0000-0000-0000E5000000}"/>
    <cellStyle name="20% - Accent3 2 13" xfId="185" xr:uid="{00000000-0005-0000-0000-0000E6000000}"/>
    <cellStyle name="20% - Accent3 2 14" xfId="186" xr:uid="{00000000-0005-0000-0000-0000E7000000}"/>
    <cellStyle name="20% - Accent3 2 15" xfId="187" xr:uid="{00000000-0005-0000-0000-0000E8000000}"/>
    <cellStyle name="20% - Accent3 2 2" xfId="188" xr:uid="{00000000-0005-0000-0000-0000E9000000}"/>
    <cellStyle name="20% - Accent3 2 3" xfId="189" xr:uid="{00000000-0005-0000-0000-0000EA000000}"/>
    <cellStyle name="20% - Accent3 2 4" xfId="190" xr:uid="{00000000-0005-0000-0000-0000EB000000}"/>
    <cellStyle name="20% - Accent3 2 5" xfId="191" xr:uid="{00000000-0005-0000-0000-0000EC000000}"/>
    <cellStyle name="20% - Accent3 2 6" xfId="192" xr:uid="{00000000-0005-0000-0000-0000ED000000}"/>
    <cellStyle name="20% - Accent3 2 7" xfId="193" xr:uid="{00000000-0005-0000-0000-0000EE000000}"/>
    <cellStyle name="20% - Accent3 2 8" xfId="194" xr:uid="{00000000-0005-0000-0000-0000EF000000}"/>
    <cellStyle name="20% - Accent3 2 9" xfId="195" xr:uid="{00000000-0005-0000-0000-0000F0000000}"/>
    <cellStyle name="20% - Accent3 20" xfId="196" xr:uid="{00000000-0005-0000-0000-0000F1000000}"/>
    <cellStyle name="20% - Accent3 21" xfId="197" xr:uid="{00000000-0005-0000-0000-0000F2000000}"/>
    <cellStyle name="20% - Accent3 22" xfId="198" xr:uid="{00000000-0005-0000-0000-0000F3000000}"/>
    <cellStyle name="20% - Accent3 23" xfId="199" xr:uid="{00000000-0005-0000-0000-0000F4000000}"/>
    <cellStyle name="20% - Accent3 24" xfId="200" xr:uid="{00000000-0005-0000-0000-0000F5000000}"/>
    <cellStyle name="20% - Accent3 25" xfId="201" xr:uid="{00000000-0005-0000-0000-0000F6000000}"/>
    <cellStyle name="20% - Accent3 26" xfId="202" xr:uid="{00000000-0005-0000-0000-0000F7000000}"/>
    <cellStyle name="20% - Accent3 27" xfId="203" xr:uid="{00000000-0005-0000-0000-0000F8000000}"/>
    <cellStyle name="20% - Accent3 28" xfId="204" xr:uid="{00000000-0005-0000-0000-0000F9000000}"/>
    <cellStyle name="20% - Accent3 29" xfId="205" xr:uid="{00000000-0005-0000-0000-0000FA000000}"/>
    <cellStyle name="20% - Accent3 3" xfId="206" xr:uid="{00000000-0005-0000-0000-0000FB000000}"/>
    <cellStyle name="20% - Accent3 3 2" xfId="207" xr:uid="{00000000-0005-0000-0000-0000FC000000}"/>
    <cellStyle name="20% - Accent3 3 3" xfId="208" xr:uid="{00000000-0005-0000-0000-0000FD000000}"/>
    <cellStyle name="20% - Accent3 3 4" xfId="209" xr:uid="{00000000-0005-0000-0000-0000FE000000}"/>
    <cellStyle name="20% - Accent3 3 5" xfId="210" xr:uid="{00000000-0005-0000-0000-0000FF000000}"/>
    <cellStyle name="20% - Accent3 30" xfId="211" xr:uid="{00000000-0005-0000-0000-000000010000}"/>
    <cellStyle name="20% - Accent3 31" xfId="212" xr:uid="{00000000-0005-0000-0000-000001010000}"/>
    <cellStyle name="20% - Accent3 32" xfId="213" xr:uid="{00000000-0005-0000-0000-000002010000}"/>
    <cellStyle name="20% - Accent3 33" xfId="214" xr:uid="{00000000-0005-0000-0000-000003010000}"/>
    <cellStyle name="20% - Accent3 34" xfId="215" xr:uid="{00000000-0005-0000-0000-000004010000}"/>
    <cellStyle name="20% - Accent3 35" xfId="216" xr:uid="{00000000-0005-0000-0000-000005010000}"/>
    <cellStyle name="20% - Accent3 36" xfId="217" xr:uid="{00000000-0005-0000-0000-000006010000}"/>
    <cellStyle name="20% - Accent3 37" xfId="218" xr:uid="{00000000-0005-0000-0000-000007010000}"/>
    <cellStyle name="20% - Accent3 38" xfId="219" xr:uid="{00000000-0005-0000-0000-000008010000}"/>
    <cellStyle name="20% - Accent3 39" xfId="220" xr:uid="{00000000-0005-0000-0000-000009010000}"/>
    <cellStyle name="20% - Accent3 4" xfId="221" xr:uid="{00000000-0005-0000-0000-00000A010000}"/>
    <cellStyle name="20% - Accent3 4 2" xfId="222" xr:uid="{00000000-0005-0000-0000-00000B010000}"/>
    <cellStyle name="20% - Accent3 4 2 2" xfId="223" xr:uid="{00000000-0005-0000-0000-00000C010000}"/>
    <cellStyle name="20% - Accent3 4 2 3" xfId="224" xr:uid="{00000000-0005-0000-0000-00000D010000}"/>
    <cellStyle name="20% - Accent3 4 3" xfId="225" xr:uid="{00000000-0005-0000-0000-00000E010000}"/>
    <cellStyle name="20% - Accent3 4 4" xfId="226" xr:uid="{00000000-0005-0000-0000-00000F010000}"/>
    <cellStyle name="20% - Accent3 40" xfId="227" xr:uid="{00000000-0005-0000-0000-000010010000}"/>
    <cellStyle name="20% - Accent3 41" xfId="228" xr:uid="{00000000-0005-0000-0000-000011010000}"/>
    <cellStyle name="20% - Accent3 42" xfId="229" xr:uid="{00000000-0005-0000-0000-000012010000}"/>
    <cellStyle name="20% - Accent3 43" xfId="230" xr:uid="{00000000-0005-0000-0000-000013010000}"/>
    <cellStyle name="20% - Accent3 44" xfId="231" xr:uid="{00000000-0005-0000-0000-000014010000}"/>
    <cellStyle name="20% - Accent3 44 2" xfId="232" xr:uid="{00000000-0005-0000-0000-000015010000}"/>
    <cellStyle name="20% - Accent3 5" xfId="233" xr:uid="{00000000-0005-0000-0000-000016010000}"/>
    <cellStyle name="20% - Accent3 5 2" xfId="234" xr:uid="{00000000-0005-0000-0000-000017010000}"/>
    <cellStyle name="20% - Accent3 5 2 2" xfId="235" xr:uid="{00000000-0005-0000-0000-000018010000}"/>
    <cellStyle name="20% - Accent3 5 2 3" xfId="236" xr:uid="{00000000-0005-0000-0000-000019010000}"/>
    <cellStyle name="20% - Accent3 5 3" xfId="237" xr:uid="{00000000-0005-0000-0000-00001A010000}"/>
    <cellStyle name="20% - Accent3 5 4" xfId="238" xr:uid="{00000000-0005-0000-0000-00001B010000}"/>
    <cellStyle name="20% - Accent3 6" xfId="239" xr:uid="{00000000-0005-0000-0000-00001C010000}"/>
    <cellStyle name="20% - Accent3 6 2" xfId="240" xr:uid="{00000000-0005-0000-0000-00001D010000}"/>
    <cellStyle name="20% - Accent3 6 3" xfId="241" xr:uid="{00000000-0005-0000-0000-00001E010000}"/>
    <cellStyle name="20% - Accent3 6 4" xfId="242" xr:uid="{00000000-0005-0000-0000-00001F010000}"/>
    <cellStyle name="20% - Accent3 6 5" xfId="243" xr:uid="{00000000-0005-0000-0000-000020010000}"/>
    <cellStyle name="20% - Accent3 7" xfId="244" xr:uid="{00000000-0005-0000-0000-000021010000}"/>
    <cellStyle name="20% - Accent3 7 2" xfId="245" xr:uid="{00000000-0005-0000-0000-000022010000}"/>
    <cellStyle name="20% - Accent3 7 3" xfId="246" xr:uid="{00000000-0005-0000-0000-000023010000}"/>
    <cellStyle name="20% - Accent3 8" xfId="247" xr:uid="{00000000-0005-0000-0000-000024010000}"/>
    <cellStyle name="20% - Accent3 8 2" xfId="248" xr:uid="{00000000-0005-0000-0000-000025010000}"/>
    <cellStyle name="20% - Accent3 8 3" xfId="249" xr:uid="{00000000-0005-0000-0000-000026010000}"/>
    <cellStyle name="20% - Accent3 9" xfId="250" xr:uid="{00000000-0005-0000-0000-000027010000}"/>
    <cellStyle name="20% - Accent4 10" xfId="251" xr:uid="{00000000-0005-0000-0000-000028010000}"/>
    <cellStyle name="20% - Accent4 11" xfId="252" xr:uid="{00000000-0005-0000-0000-000029010000}"/>
    <cellStyle name="20% - Accent4 12" xfId="253" xr:uid="{00000000-0005-0000-0000-00002A010000}"/>
    <cellStyle name="20% - Accent4 13" xfId="254" xr:uid="{00000000-0005-0000-0000-00002B010000}"/>
    <cellStyle name="20% - Accent4 14" xfId="255" xr:uid="{00000000-0005-0000-0000-00002C010000}"/>
    <cellStyle name="20% - Accent4 15" xfId="256" xr:uid="{00000000-0005-0000-0000-00002D010000}"/>
    <cellStyle name="20% - Accent4 16" xfId="257" xr:uid="{00000000-0005-0000-0000-00002E010000}"/>
    <cellStyle name="20% - Accent4 17" xfId="258" xr:uid="{00000000-0005-0000-0000-00002F010000}"/>
    <cellStyle name="20% - Accent4 18" xfId="259" xr:uid="{00000000-0005-0000-0000-000030010000}"/>
    <cellStyle name="20% - Accent4 19" xfId="260" xr:uid="{00000000-0005-0000-0000-000031010000}"/>
    <cellStyle name="20% - Accent4 2" xfId="261" xr:uid="{00000000-0005-0000-0000-000032010000}"/>
    <cellStyle name="20% - Accent4 2 10" xfId="262" xr:uid="{00000000-0005-0000-0000-000033010000}"/>
    <cellStyle name="20% - Accent4 2 11" xfId="263" xr:uid="{00000000-0005-0000-0000-000034010000}"/>
    <cellStyle name="20% - Accent4 2 12" xfId="264" xr:uid="{00000000-0005-0000-0000-000035010000}"/>
    <cellStyle name="20% - Accent4 2 13" xfId="265" xr:uid="{00000000-0005-0000-0000-000036010000}"/>
    <cellStyle name="20% - Accent4 2 14" xfId="266" xr:uid="{00000000-0005-0000-0000-000037010000}"/>
    <cellStyle name="20% - Accent4 2 15" xfId="267" xr:uid="{00000000-0005-0000-0000-000038010000}"/>
    <cellStyle name="20% - Accent4 2 2" xfId="268" xr:uid="{00000000-0005-0000-0000-000039010000}"/>
    <cellStyle name="20% - Accent4 2 3" xfId="269" xr:uid="{00000000-0005-0000-0000-00003A010000}"/>
    <cellStyle name="20% - Accent4 2 4" xfId="270" xr:uid="{00000000-0005-0000-0000-00003B010000}"/>
    <cellStyle name="20% - Accent4 2 5" xfId="271" xr:uid="{00000000-0005-0000-0000-00003C010000}"/>
    <cellStyle name="20% - Accent4 2 6" xfId="272" xr:uid="{00000000-0005-0000-0000-00003D010000}"/>
    <cellStyle name="20% - Accent4 2 7" xfId="273" xr:uid="{00000000-0005-0000-0000-00003E010000}"/>
    <cellStyle name="20% - Accent4 2 8" xfId="274" xr:uid="{00000000-0005-0000-0000-00003F010000}"/>
    <cellStyle name="20% - Accent4 2 9" xfId="275" xr:uid="{00000000-0005-0000-0000-000040010000}"/>
    <cellStyle name="20% - Accent4 20" xfId="276" xr:uid="{00000000-0005-0000-0000-000041010000}"/>
    <cellStyle name="20% - Accent4 21" xfId="277" xr:uid="{00000000-0005-0000-0000-000042010000}"/>
    <cellStyle name="20% - Accent4 22" xfId="278" xr:uid="{00000000-0005-0000-0000-000043010000}"/>
    <cellStyle name="20% - Accent4 23" xfId="279" xr:uid="{00000000-0005-0000-0000-000044010000}"/>
    <cellStyle name="20% - Accent4 24" xfId="280" xr:uid="{00000000-0005-0000-0000-000045010000}"/>
    <cellStyle name="20% - Accent4 25" xfId="281" xr:uid="{00000000-0005-0000-0000-000046010000}"/>
    <cellStyle name="20% - Accent4 26" xfId="282" xr:uid="{00000000-0005-0000-0000-000047010000}"/>
    <cellStyle name="20% - Accent4 27" xfId="283" xr:uid="{00000000-0005-0000-0000-000048010000}"/>
    <cellStyle name="20% - Accent4 28" xfId="284" xr:uid="{00000000-0005-0000-0000-000049010000}"/>
    <cellStyle name="20% - Accent4 29" xfId="285" xr:uid="{00000000-0005-0000-0000-00004A010000}"/>
    <cellStyle name="20% - Accent4 3" xfId="286" xr:uid="{00000000-0005-0000-0000-00004B010000}"/>
    <cellStyle name="20% - Accent4 3 2" xfId="287" xr:uid="{00000000-0005-0000-0000-00004C010000}"/>
    <cellStyle name="20% - Accent4 3 3" xfId="288" xr:uid="{00000000-0005-0000-0000-00004D010000}"/>
    <cellStyle name="20% - Accent4 3 4" xfId="289" xr:uid="{00000000-0005-0000-0000-00004E010000}"/>
    <cellStyle name="20% - Accent4 3 5" xfId="290" xr:uid="{00000000-0005-0000-0000-00004F010000}"/>
    <cellStyle name="20% - Accent4 30" xfId="291" xr:uid="{00000000-0005-0000-0000-000050010000}"/>
    <cellStyle name="20% - Accent4 31" xfId="292" xr:uid="{00000000-0005-0000-0000-000051010000}"/>
    <cellStyle name="20% - Accent4 32" xfId="293" xr:uid="{00000000-0005-0000-0000-000052010000}"/>
    <cellStyle name="20% - Accent4 33" xfId="294" xr:uid="{00000000-0005-0000-0000-000053010000}"/>
    <cellStyle name="20% - Accent4 34" xfId="295" xr:uid="{00000000-0005-0000-0000-000054010000}"/>
    <cellStyle name="20% - Accent4 35" xfId="296" xr:uid="{00000000-0005-0000-0000-000055010000}"/>
    <cellStyle name="20% - Accent4 36" xfId="297" xr:uid="{00000000-0005-0000-0000-000056010000}"/>
    <cellStyle name="20% - Accent4 37" xfId="298" xr:uid="{00000000-0005-0000-0000-000057010000}"/>
    <cellStyle name="20% - Accent4 38" xfId="299" xr:uid="{00000000-0005-0000-0000-000058010000}"/>
    <cellStyle name="20% - Accent4 39" xfId="300" xr:uid="{00000000-0005-0000-0000-000059010000}"/>
    <cellStyle name="20% - Accent4 4" xfId="301" xr:uid="{00000000-0005-0000-0000-00005A010000}"/>
    <cellStyle name="20% - Accent4 4 2" xfId="302" xr:uid="{00000000-0005-0000-0000-00005B010000}"/>
    <cellStyle name="20% - Accent4 4 2 2" xfId="303" xr:uid="{00000000-0005-0000-0000-00005C010000}"/>
    <cellStyle name="20% - Accent4 4 2 3" xfId="304" xr:uid="{00000000-0005-0000-0000-00005D010000}"/>
    <cellStyle name="20% - Accent4 4 3" xfId="305" xr:uid="{00000000-0005-0000-0000-00005E010000}"/>
    <cellStyle name="20% - Accent4 4 4" xfId="306" xr:uid="{00000000-0005-0000-0000-00005F010000}"/>
    <cellStyle name="20% - Accent4 40" xfId="307" xr:uid="{00000000-0005-0000-0000-000060010000}"/>
    <cellStyle name="20% - Accent4 41" xfId="308" xr:uid="{00000000-0005-0000-0000-000061010000}"/>
    <cellStyle name="20% - Accent4 42" xfId="309" xr:uid="{00000000-0005-0000-0000-000062010000}"/>
    <cellStyle name="20% - Accent4 43" xfId="310" xr:uid="{00000000-0005-0000-0000-000063010000}"/>
    <cellStyle name="20% - Accent4 44" xfId="311" xr:uid="{00000000-0005-0000-0000-000064010000}"/>
    <cellStyle name="20% - Accent4 44 2" xfId="312" xr:uid="{00000000-0005-0000-0000-000065010000}"/>
    <cellStyle name="20% - Accent4 5" xfId="313" xr:uid="{00000000-0005-0000-0000-000066010000}"/>
    <cellStyle name="20% - Accent4 5 2" xfId="314" xr:uid="{00000000-0005-0000-0000-000067010000}"/>
    <cellStyle name="20% - Accent4 5 2 2" xfId="315" xr:uid="{00000000-0005-0000-0000-000068010000}"/>
    <cellStyle name="20% - Accent4 5 2 3" xfId="316" xr:uid="{00000000-0005-0000-0000-000069010000}"/>
    <cellStyle name="20% - Accent4 5 3" xfId="317" xr:uid="{00000000-0005-0000-0000-00006A010000}"/>
    <cellStyle name="20% - Accent4 5 4" xfId="318" xr:uid="{00000000-0005-0000-0000-00006B010000}"/>
    <cellStyle name="20% - Accent4 6" xfId="319" xr:uid="{00000000-0005-0000-0000-00006C010000}"/>
    <cellStyle name="20% - Accent4 6 2" xfId="320" xr:uid="{00000000-0005-0000-0000-00006D010000}"/>
    <cellStyle name="20% - Accent4 6 3" xfId="321" xr:uid="{00000000-0005-0000-0000-00006E010000}"/>
    <cellStyle name="20% - Accent4 6 4" xfId="322" xr:uid="{00000000-0005-0000-0000-00006F010000}"/>
    <cellStyle name="20% - Accent4 6 5" xfId="323" xr:uid="{00000000-0005-0000-0000-000070010000}"/>
    <cellStyle name="20% - Accent4 7" xfId="324" xr:uid="{00000000-0005-0000-0000-000071010000}"/>
    <cellStyle name="20% - Accent4 7 2" xfId="325" xr:uid="{00000000-0005-0000-0000-000072010000}"/>
    <cellStyle name="20% - Accent4 7 3" xfId="326" xr:uid="{00000000-0005-0000-0000-000073010000}"/>
    <cellStyle name="20% - Accent4 8" xfId="327" xr:uid="{00000000-0005-0000-0000-000074010000}"/>
    <cellStyle name="20% - Accent4 8 2" xfId="328" xr:uid="{00000000-0005-0000-0000-000075010000}"/>
    <cellStyle name="20% - Accent4 8 3" xfId="329" xr:uid="{00000000-0005-0000-0000-000076010000}"/>
    <cellStyle name="20% - Accent4 9" xfId="330" xr:uid="{00000000-0005-0000-0000-000077010000}"/>
    <cellStyle name="20% - Accent5" xfId="3" builtinId="46"/>
    <cellStyle name="20% - Accent5 10" xfId="331" xr:uid="{00000000-0005-0000-0000-000078010000}"/>
    <cellStyle name="20% - Accent5 11" xfId="332" xr:uid="{00000000-0005-0000-0000-000079010000}"/>
    <cellStyle name="20% - Accent5 12" xfId="333" xr:uid="{00000000-0005-0000-0000-00007A010000}"/>
    <cellStyle name="20% - Accent5 13" xfId="334" xr:uid="{00000000-0005-0000-0000-00007B010000}"/>
    <cellStyle name="20% - Accent5 14" xfId="335" xr:uid="{00000000-0005-0000-0000-00007C010000}"/>
    <cellStyle name="20% - Accent5 15" xfId="336" xr:uid="{00000000-0005-0000-0000-00007D010000}"/>
    <cellStyle name="20% - Accent5 16" xfId="337" xr:uid="{00000000-0005-0000-0000-00007E010000}"/>
    <cellStyle name="20% - Accent5 17" xfId="338" xr:uid="{00000000-0005-0000-0000-00007F010000}"/>
    <cellStyle name="20% - Accent5 18" xfId="339" xr:uid="{00000000-0005-0000-0000-000080010000}"/>
    <cellStyle name="20% - Accent5 19" xfId="340" xr:uid="{00000000-0005-0000-0000-000081010000}"/>
    <cellStyle name="20% - Accent5 2" xfId="341" xr:uid="{00000000-0005-0000-0000-000082010000}"/>
    <cellStyle name="20% - Accent5 2 10" xfId="342" xr:uid="{00000000-0005-0000-0000-000083010000}"/>
    <cellStyle name="20% - Accent5 2 11" xfId="343" xr:uid="{00000000-0005-0000-0000-000084010000}"/>
    <cellStyle name="20% - Accent5 2 12" xfId="344" xr:uid="{00000000-0005-0000-0000-000085010000}"/>
    <cellStyle name="20% - Accent5 2 13" xfId="345" xr:uid="{00000000-0005-0000-0000-000086010000}"/>
    <cellStyle name="20% - Accent5 2 14" xfId="346" xr:uid="{00000000-0005-0000-0000-000087010000}"/>
    <cellStyle name="20% - Accent5 2 15" xfId="347" xr:uid="{00000000-0005-0000-0000-000088010000}"/>
    <cellStyle name="20% - Accent5 2 2" xfId="348" xr:uid="{00000000-0005-0000-0000-000089010000}"/>
    <cellStyle name="20% - Accent5 2 3" xfId="349" xr:uid="{00000000-0005-0000-0000-00008A010000}"/>
    <cellStyle name="20% - Accent5 2 4" xfId="350" xr:uid="{00000000-0005-0000-0000-00008B010000}"/>
    <cellStyle name="20% - Accent5 2 5" xfId="351" xr:uid="{00000000-0005-0000-0000-00008C010000}"/>
    <cellStyle name="20% - Accent5 2 6" xfId="352" xr:uid="{00000000-0005-0000-0000-00008D010000}"/>
    <cellStyle name="20% - Accent5 2 7" xfId="353" xr:uid="{00000000-0005-0000-0000-00008E010000}"/>
    <cellStyle name="20% - Accent5 2 8" xfId="354" xr:uid="{00000000-0005-0000-0000-00008F010000}"/>
    <cellStyle name="20% - Accent5 2 9" xfId="355" xr:uid="{00000000-0005-0000-0000-000090010000}"/>
    <cellStyle name="20% - Accent5 20" xfId="356" xr:uid="{00000000-0005-0000-0000-000091010000}"/>
    <cellStyle name="20% - Accent5 21" xfId="357" xr:uid="{00000000-0005-0000-0000-000092010000}"/>
    <cellStyle name="20% - Accent5 22" xfId="358" xr:uid="{00000000-0005-0000-0000-000093010000}"/>
    <cellStyle name="20% - Accent5 23" xfId="359" xr:uid="{00000000-0005-0000-0000-000094010000}"/>
    <cellStyle name="20% - Accent5 24" xfId="360" xr:uid="{00000000-0005-0000-0000-000095010000}"/>
    <cellStyle name="20% - Accent5 25" xfId="361" xr:uid="{00000000-0005-0000-0000-000096010000}"/>
    <cellStyle name="20% - Accent5 26" xfId="362" xr:uid="{00000000-0005-0000-0000-000097010000}"/>
    <cellStyle name="20% - Accent5 27" xfId="363" xr:uid="{00000000-0005-0000-0000-000098010000}"/>
    <cellStyle name="20% - Accent5 28" xfId="364" xr:uid="{00000000-0005-0000-0000-000099010000}"/>
    <cellStyle name="20% - Accent5 29" xfId="365" xr:uid="{00000000-0005-0000-0000-00009A010000}"/>
    <cellStyle name="20% - Accent5 3" xfId="366" xr:uid="{00000000-0005-0000-0000-00009B010000}"/>
    <cellStyle name="20% - Accent5 3 2" xfId="367" xr:uid="{00000000-0005-0000-0000-00009C010000}"/>
    <cellStyle name="20% - Accent5 30" xfId="368" xr:uid="{00000000-0005-0000-0000-00009D010000}"/>
    <cellStyle name="20% - Accent5 31" xfId="369" xr:uid="{00000000-0005-0000-0000-00009E010000}"/>
    <cellStyle name="20% - Accent5 32" xfId="370" xr:uid="{00000000-0005-0000-0000-00009F010000}"/>
    <cellStyle name="20% - Accent5 33" xfId="371" xr:uid="{00000000-0005-0000-0000-0000A0010000}"/>
    <cellStyle name="20% - Accent5 34" xfId="372" xr:uid="{00000000-0005-0000-0000-0000A1010000}"/>
    <cellStyle name="20% - Accent5 35" xfId="373" xr:uid="{00000000-0005-0000-0000-0000A2010000}"/>
    <cellStyle name="20% - Accent5 36" xfId="374" xr:uid="{00000000-0005-0000-0000-0000A3010000}"/>
    <cellStyle name="20% - Accent5 37" xfId="375" xr:uid="{00000000-0005-0000-0000-0000A4010000}"/>
    <cellStyle name="20% - Accent5 38" xfId="376" xr:uid="{00000000-0005-0000-0000-0000A5010000}"/>
    <cellStyle name="20% - Accent5 39" xfId="377" xr:uid="{00000000-0005-0000-0000-0000A6010000}"/>
    <cellStyle name="20% - Accent5 4" xfId="378" xr:uid="{00000000-0005-0000-0000-0000A7010000}"/>
    <cellStyle name="20% - Accent5 40" xfId="379" xr:uid="{00000000-0005-0000-0000-0000A8010000}"/>
    <cellStyle name="20% - Accent5 41" xfId="380" xr:uid="{00000000-0005-0000-0000-0000A9010000}"/>
    <cellStyle name="20% - Accent5 42" xfId="381" xr:uid="{00000000-0005-0000-0000-0000AA010000}"/>
    <cellStyle name="20% - Accent5 43" xfId="382" xr:uid="{00000000-0005-0000-0000-0000AB010000}"/>
    <cellStyle name="20% - Accent5 44" xfId="383" xr:uid="{00000000-0005-0000-0000-0000AC010000}"/>
    <cellStyle name="20% - Accent5 44 2" xfId="384" xr:uid="{00000000-0005-0000-0000-0000AD010000}"/>
    <cellStyle name="20% - Accent5 45" xfId="385" xr:uid="{00000000-0005-0000-0000-0000AE010000}"/>
    <cellStyle name="20% - Accent5 5" xfId="386" xr:uid="{00000000-0005-0000-0000-0000AF010000}"/>
    <cellStyle name="20% - Accent5 6" xfId="387" xr:uid="{00000000-0005-0000-0000-0000B0010000}"/>
    <cellStyle name="20% - Accent5 6 2" xfId="388" xr:uid="{00000000-0005-0000-0000-0000B1010000}"/>
    <cellStyle name="20% - Accent5 6 3" xfId="389" xr:uid="{00000000-0005-0000-0000-0000B2010000}"/>
    <cellStyle name="20% - Accent5 7" xfId="390" xr:uid="{00000000-0005-0000-0000-0000B3010000}"/>
    <cellStyle name="20% - Accent5 8" xfId="391" xr:uid="{00000000-0005-0000-0000-0000B4010000}"/>
    <cellStyle name="20% - Accent5 9" xfId="392" xr:uid="{00000000-0005-0000-0000-0000B5010000}"/>
    <cellStyle name="20% - Accent5 9 2" xfId="393" xr:uid="{00000000-0005-0000-0000-0000B6010000}"/>
    <cellStyle name="20% - Accent5 9 3" xfId="394" xr:uid="{00000000-0005-0000-0000-0000B7010000}"/>
    <cellStyle name="20% - Accent6 10" xfId="395" xr:uid="{00000000-0005-0000-0000-0000B8010000}"/>
    <cellStyle name="20% - Accent6 11" xfId="396" xr:uid="{00000000-0005-0000-0000-0000B9010000}"/>
    <cellStyle name="20% - Accent6 12" xfId="397" xr:uid="{00000000-0005-0000-0000-0000BA010000}"/>
    <cellStyle name="20% - Accent6 13" xfId="398" xr:uid="{00000000-0005-0000-0000-0000BB010000}"/>
    <cellStyle name="20% - Accent6 14" xfId="399" xr:uid="{00000000-0005-0000-0000-0000BC010000}"/>
    <cellStyle name="20% - Accent6 15" xfId="400" xr:uid="{00000000-0005-0000-0000-0000BD010000}"/>
    <cellStyle name="20% - Accent6 16" xfId="401" xr:uid="{00000000-0005-0000-0000-0000BE010000}"/>
    <cellStyle name="20% - Accent6 17" xfId="402" xr:uid="{00000000-0005-0000-0000-0000BF010000}"/>
    <cellStyle name="20% - Accent6 18" xfId="403" xr:uid="{00000000-0005-0000-0000-0000C0010000}"/>
    <cellStyle name="20% - Accent6 19" xfId="404" xr:uid="{00000000-0005-0000-0000-0000C1010000}"/>
    <cellStyle name="20% - Accent6 2" xfId="405" xr:uid="{00000000-0005-0000-0000-0000C2010000}"/>
    <cellStyle name="20% - Accent6 2 10" xfId="406" xr:uid="{00000000-0005-0000-0000-0000C3010000}"/>
    <cellStyle name="20% - Accent6 2 11" xfId="407" xr:uid="{00000000-0005-0000-0000-0000C4010000}"/>
    <cellStyle name="20% - Accent6 2 12" xfId="408" xr:uid="{00000000-0005-0000-0000-0000C5010000}"/>
    <cellStyle name="20% - Accent6 2 13" xfId="409" xr:uid="{00000000-0005-0000-0000-0000C6010000}"/>
    <cellStyle name="20% - Accent6 2 14" xfId="410" xr:uid="{00000000-0005-0000-0000-0000C7010000}"/>
    <cellStyle name="20% - Accent6 2 15" xfId="411" xr:uid="{00000000-0005-0000-0000-0000C8010000}"/>
    <cellStyle name="20% - Accent6 2 2" xfId="412" xr:uid="{00000000-0005-0000-0000-0000C9010000}"/>
    <cellStyle name="20% - Accent6 2 3" xfId="413" xr:uid="{00000000-0005-0000-0000-0000CA010000}"/>
    <cellStyle name="20% - Accent6 2 4" xfId="414" xr:uid="{00000000-0005-0000-0000-0000CB010000}"/>
    <cellStyle name="20% - Accent6 2 5" xfId="415" xr:uid="{00000000-0005-0000-0000-0000CC010000}"/>
    <cellStyle name="20% - Accent6 2 6" xfId="416" xr:uid="{00000000-0005-0000-0000-0000CD010000}"/>
    <cellStyle name="20% - Accent6 2 7" xfId="417" xr:uid="{00000000-0005-0000-0000-0000CE010000}"/>
    <cellStyle name="20% - Accent6 2 8" xfId="418" xr:uid="{00000000-0005-0000-0000-0000CF010000}"/>
    <cellStyle name="20% - Accent6 2 9" xfId="419" xr:uid="{00000000-0005-0000-0000-0000D0010000}"/>
    <cellStyle name="20% - Accent6 20" xfId="420" xr:uid="{00000000-0005-0000-0000-0000D1010000}"/>
    <cellStyle name="20% - Accent6 21" xfId="421" xr:uid="{00000000-0005-0000-0000-0000D2010000}"/>
    <cellStyle name="20% - Accent6 22" xfId="422" xr:uid="{00000000-0005-0000-0000-0000D3010000}"/>
    <cellStyle name="20% - Accent6 23" xfId="423" xr:uid="{00000000-0005-0000-0000-0000D4010000}"/>
    <cellStyle name="20% - Accent6 24" xfId="424" xr:uid="{00000000-0005-0000-0000-0000D5010000}"/>
    <cellStyle name="20% - Accent6 25" xfId="425" xr:uid="{00000000-0005-0000-0000-0000D6010000}"/>
    <cellStyle name="20% - Accent6 26" xfId="426" xr:uid="{00000000-0005-0000-0000-0000D7010000}"/>
    <cellStyle name="20% - Accent6 27" xfId="427" xr:uid="{00000000-0005-0000-0000-0000D8010000}"/>
    <cellStyle name="20% - Accent6 28" xfId="428" xr:uid="{00000000-0005-0000-0000-0000D9010000}"/>
    <cellStyle name="20% - Accent6 29" xfId="429" xr:uid="{00000000-0005-0000-0000-0000DA010000}"/>
    <cellStyle name="20% - Accent6 3" xfId="430" xr:uid="{00000000-0005-0000-0000-0000DB010000}"/>
    <cellStyle name="20% - Accent6 3 2" xfId="431" xr:uid="{00000000-0005-0000-0000-0000DC010000}"/>
    <cellStyle name="20% - Accent6 3 3" xfId="432" xr:uid="{00000000-0005-0000-0000-0000DD010000}"/>
    <cellStyle name="20% - Accent6 3 4" xfId="433" xr:uid="{00000000-0005-0000-0000-0000DE010000}"/>
    <cellStyle name="20% - Accent6 3 5" xfId="434" xr:uid="{00000000-0005-0000-0000-0000DF010000}"/>
    <cellStyle name="20% - Accent6 30" xfId="435" xr:uid="{00000000-0005-0000-0000-0000E0010000}"/>
    <cellStyle name="20% - Accent6 31" xfId="436" xr:uid="{00000000-0005-0000-0000-0000E1010000}"/>
    <cellStyle name="20% - Accent6 32" xfId="437" xr:uid="{00000000-0005-0000-0000-0000E2010000}"/>
    <cellStyle name="20% - Accent6 33" xfId="438" xr:uid="{00000000-0005-0000-0000-0000E3010000}"/>
    <cellStyle name="20% - Accent6 34" xfId="439" xr:uid="{00000000-0005-0000-0000-0000E4010000}"/>
    <cellStyle name="20% - Accent6 35" xfId="440" xr:uid="{00000000-0005-0000-0000-0000E5010000}"/>
    <cellStyle name="20% - Accent6 36" xfId="441" xr:uid="{00000000-0005-0000-0000-0000E6010000}"/>
    <cellStyle name="20% - Accent6 37" xfId="442" xr:uid="{00000000-0005-0000-0000-0000E7010000}"/>
    <cellStyle name="20% - Accent6 38" xfId="443" xr:uid="{00000000-0005-0000-0000-0000E8010000}"/>
    <cellStyle name="20% - Accent6 39" xfId="444" xr:uid="{00000000-0005-0000-0000-0000E9010000}"/>
    <cellStyle name="20% - Accent6 4" xfId="445" xr:uid="{00000000-0005-0000-0000-0000EA010000}"/>
    <cellStyle name="20% - Accent6 4 2" xfId="446" xr:uid="{00000000-0005-0000-0000-0000EB010000}"/>
    <cellStyle name="20% - Accent6 4 2 2" xfId="447" xr:uid="{00000000-0005-0000-0000-0000EC010000}"/>
    <cellStyle name="20% - Accent6 4 2 3" xfId="448" xr:uid="{00000000-0005-0000-0000-0000ED010000}"/>
    <cellStyle name="20% - Accent6 4 3" xfId="449" xr:uid="{00000000-0005-0000-0000-0000EE010000}"/>
    <cellStyle name="20% - Accent6 4 4" xfId="450" xr:uid="{00000000-0005-0000-0000-0000EF010000}"/>
    <cellStyle name="20% - Accent6 40" xfId="451" xr:uid="{00000000-0005-0000-0000-0000F0010000}"/>
    <cellStyle name="20% - Accent6 41" xfId="452" xr:uid="{00000000-0005-0000-0000-0000F1010000}"/>
    <cellStyle name="20% - Accent6 42" xfId="453" xr:uid="{00000000-0005-0000-0000-0000F2010000}"/>
    <cellStyle name="20% - Accent6 43" xfId="454" xr:uid="{00000000-0005-0000-0000-0000F3010000}"/>
    <cellStyle name="20% - Accent6 44" xfId="455" xr:uid="{00000000-0005-0000-0000-0000F4010000}"/>
    <cellStyle name="20% - Accent6 44 2" xfId="456" xr:uid="{00000000-0005-0000-0000-0000F5010000}"/>
    <cellStyle name="20% - Accent6 44 2 2" xfId="457" xr:uid="{00000000-0005-0000-0000-0000F6010000}"/>
    <cellStyle name="20% - Accent6 44 3" xfId="458" xr:uid="{00000000-0005-0000-0000-0000F7010000}"/>
    <cellStyle name="20% - Accent6 45" xfId="459" xr:uid="{00000000-0005-0000-0000-0000F8010000}"/>
    <cellStyle name="20% - Accent6 45 2" xfId="460" xr:uid="{00000000-0005-0000-0000-0000F9010000}"/>
    <cellStyle name="20% - Accent6 5" xfId="461" xr:uid="{00000000-0005-0000-0000-0000FA010000}"/>
    <cellStyle name="20% - Accent6 5 2" xfId="462" xr:uid="{00000000-0005-0000-0000-0000FB010000}"/>
    <cellStyle name="20% - Accent6 5 2 2" xfId="463" xr:uid="{00000000-0005-0000-0000-0000FC010000}"/>
    <cellStyle name="20% - Accent6 5 2 3" xfId="464" xr:uid="{00000000-0005-0000-0000-0000FD010000}"/>
    <cellStyle name="20% - Accent6 5 3" xfId="465" xr:uid="{00000000-0005-0000-0000-0000FE010000}"/>
    <cellStyle name="20% - Accent6 5 4" xfId="466" xr:uid="{00000000-0005-0000-0000-0000FF010000}"/>
    <cellStyle name="20% - Accent6 6" xfId="467" xr:uid="{00000000-0005-0000-0000-000000020000}"/>
    <cellStyle name="20% - Accent6 6 2" xfId="468" xr:uid="{00000000-0005-0000-0000-000001020000}"/>
    <cellStyle name="20% - Accent6 6 3" xfId="469" xr:uid="{00000000-0005-0000-0000-000002020000}"/>
    <cellStyle name="20% - Accent6 6 4" xfId="470" xr:uid="{00000000-0005-0000-0000-000003020000}"/>
    <cellStyle name="20% - Accent6 6 5" xfId="471" xr:uid="{00000000-0005-0000-0000-000004020000}"/>
    <cellStyle name="20% - Accent6 7" xfId="472" xr:uid="{00000000-0005-0000-0000-000005020000}"/>
    <cellStyle name="20% - Accent6 7 2" xfId="473" xr:uid="{00000000-0005-0000-0000-000006020000}"/>
    <cellStyle name="20% - Accent6 7 3" xfId="474" xr:uid="{00000000-0005-0000-0000-000007020000}"/>
    <cellStyle name="20% - Accent6 8" xfId="475" xr:uid="{00000000-0005-0000-0000-000008020000}"/>
    <cellStyle name="20% - Accent6 8 2" xfId="476" xr:uid="{00000000-0005-0000-0000-000009020000}"/>
    <cellStyle name="20% - Accent6 8 3" xfId="477" xr:uid="{00000000-0005-0000-0000-00000A020000}"/>
    <cellStyle name="20% - Accent6 9" xfId="478" xr:uid="{00000000-0005-0000-0000-00000B020000}"/>
    <cellStyle name="20% - Akzent1" xfId="479" xr:uid="{00000000-0005-0000-0000-00000C020000}"/>
    <cellStyle name="20% - Akzent2" xfId="480" xr:uid="{00000000-0005-0000-0000-00000D020000}"/>
    <cellStyle name="20% - Akzent3" xfId="481" xr:uid="{00000000-0005-0000-0000-00000E020000}"/>
    <cellStyle name="20% - Akzent4" xfId="482" xr:uid="{00000000-0005-0000-0000-00000F020000}"/>
    <cellStyle name="20% - Akzent5" xfId="483" xr:uid="{00000000-0005-0000-0000-000010020000}"/>
    <cellStyle name="20% - Akzent6" xfId="484" xr:uid="{00000000-0005-0000-0000-000011020000}"/>
    <cellStyle name="2x indented GHG Textfiels" xfId="485" xr:uid="{00000000-0005-0000-0000-000012020000}"/>
    <cellStyle name="40% - 1. jelölőszín" xfId="486" xr:uid="{00000000-0005-0000-0000-000013020000}"/>
    <cellStyle name="40% - 2. jelölőszín" xfId="487" xr:uid="{00000000-0005-0000-0000-000014020000}"/>
    <cellStyle name="40% - 3. jelölőszín" xfId="488" xr:uid="{00000000-0005-0000-0000-000015020000}"/>
    <cellStyle name="40% - 4. jelölőszín" xfId="489" xr:uid="{00000000-0005-0000-0000-000016020000}"/>
    <cellStyle name="40% - 5. jelölőszín" xfId="490" xr:uid="{00000000-0005-0000-0000-000017020000}"/>
    <cellStyle name="40% - 6. jelölőszín" xfId="491" xr:uid="{00000000-0005-0000-0000-000018020000}"/>
    <cellStyle name="40% - Accent1 10" xfId="492" xr:uid="{00000000-0005-0000-0000-000019020000}"/>
    <cellStyle name="40% - Accent1 11" xfId="493" xr:uid="{00000000-0005-0000-0000-00001A020000}"/>
    <cellStyle name="40% - Accent1 12" xfId="494" xr:uid="{00000000-0005-0000-0000-00001B020000}"/>
    <cellStyle name="40% - Accent1 13" xfId="495" xr:uid="{00000000-0005-0000-0000-00001C020000}"/>
    <cellStyle name="40% - Accent1 14" xfId="496" xr:uid="{00000000-0005-0000-0000-00001D020000}"/>
    <cellStyle name="40% - Accent1 15" xfId="497" xr:uid="{00000000-0005-0000-0000-00001E020000}"/>
    <cellStyle name="40% - Accent1 16" xfId="498" xr:uid="{00000000-0005-0000-0000-00001F020000}"/>
    <cellStyle name="40% - Accent1 17" xfId="499" xr:uid="{00000000-0005-0000-0000-000020020000}"/>
    <cellStyle name="40% - Accent1 18" xfId="500" xr:uid="{00000000-0005-0000-0000-000021020000}"/>
    <cellStyle name="40% - Accent1 19" xfId="501" xr:uid="{00000000-0005-0000-0000-000022020000}"/>
    <cellStyle name="40% - Accent1 2" xfId="502" xr:uid="{00000000-0005-0000-0000-000023020000}"/>
    <cellStyle name="40% - Accent1 2 10" xfId="503" xr:uid="{00000000-0005-0000-0000-000024020000}"/>
    <cellStyle name="40% - Accent1 2 11" xfId="504" xr:uid="{00000000-0005-0000-0000-000025020000}"/>
    <cellStyle name="40% - Accent1 2 12" xfId="505" xr:uid="{00000000-0005-0000-0000-000026020000}"/>
    <cellStyle name="40% - Accent1 2 13" xfId="506" xr:uid="{00000000-0005-0000-0000-000027020000}"/>
    <cellStyle name="40% - Accent1 2 14" xfId="507" xr:uid="{00000000-0005-0000-0000-000028020000}"/>
    <cellStyle name="40% - Accent1 2 15" xfId="508" xr:uid="{00000000-0005-0000-0000-000029020000}"/>
    <cellStyle name="40% - Accent1 2 2" xfId="509" xr:uid="{00000000-0005-0000-0000-00002A020000}"/>
    <cellStyle name="40% - Accent1 2 3" xfId="510" xr:uid="{00000000-0005-0000-0000-00002B020000}"/>
    <cellStyle name="40% - Accent1 2 4" xfId="511" xr:uid="{00000000-0005-0000-0000-00002C020000}"/>
    <cellStyle name="40% - Accent1 2 5" xfId="512" xr:uid="{00000000-0005-0000-0000-00002D020000}"/>
    <cellStyle name="40% - Accent1 2 6" xfId="513" xr:uid="{00000000-0005-0000-0000-00002E020000}"/>
    <cellStyle name="40% - Accent1 2 7" xfId="514" xr:uid="{00000000-0005-0000-0000-00002F020000}"/>
    <cellStyle name="40% - Accent1 2 8" xfId="515" xr:uid="{00000000-0005-0000-0000-000030020000}"/>
    <cellStyle name="40% - Accent1 2 9" xfId="516" xr:uid="{00000000-0005-0000-0000-000031020000}"/>
    <cellStyle name="40% - Accent1 20" xfId="517" xr:uid="{00000000-0005-0000-0000-000032020000}"/>
    <cellStyle name="40% - Accent1 21" xfId="518" xr:uid="{00000000-0005-0000-0000-000033020000}"/>
    <cellStyle name="40% - Accent1 22" xfId="519" xr:uid="{00000000-0005-0000-0000-000034020000}"/>
    <cellStyle name="40% - Accent1 23" xfId="520" xr:uid="{00000000-0005-0000-0000-000035020000}"/>
    <cellStyle name="40% - Accent1 24" xfId="521" xr:uid="{00000000-0005-0000-0000-000036020000}"/>
    <cellStyle name="40% - Accent1 25" xfId="522" xr:uid="{00000000-0005-0000-0000-000037020000}"/>
    <cellStyle name="40% - Accent1 26" xfId="523" xr:uid="{00000000-0005-0000-0000-000038020000}"/>
    <cellStyle name="40% - Accent1 27" xfId="524" xr:uid="{00000000-0005-0000-0000-000039020000}"/>
    <cellStyle name="40% - Accent1 28" xfId="525" xr:uid="{00000000-0005-0000-0000-00003A020000}"/>
    <cellStyle name="40% - Accent1 29" xfId="526" xr:uid="{00000000-0005-0000-0000-00003B020000}"/>
    <cellStyle name="40% - Accent1 3" xfId="527" xr:uid="{00000000-0005-0000-0000-00003C020000}"/>
    <cellStyle name="40% - Accent1 3 2" xfId="528" xr:uid="{00000000-0005-0000-0000-00003D020000}"/>
    <cellStyle name="40% - Accent1 3 3" xfId="529" xr:uid="{00000000-0005-0000-0000-00003E020000}"/>
    <cellStyle name="40% - Accent1 3 4" xfId="530" xr:uid="{00000000-0005-0000-0000-00003F020000}"/>
    <cellStyle name="40% - Accent1 3 5" xfId="531" xr:uid="{00000000-0005-0000-0000-000040020000}"/>
    <cellStyle name="40% - Accent1 30" xfId="532" xr:uid="{00000000-0005-0000-0000-000041020000}"/>
    <cellStyle name="40% - Accent1 31" xfId="533" xr:uid="{00000000-0005-0000-0000-000042020000}"/>
    <cellStyle name="40% - Accent1 32" xfId="534" xr:uid="{00000000-0005-0000-0000-000043020000}"/>
    <cellStyle name="40% - Accent1 33" xfId="535" xr:uid="{00000000-0005-0000-0000-000044020000}"/>
    <cellStyle name="40% - Accent1 34" xfId="536" xr:uid="{00000000-0005-0000-0000-000045020000}"/>
    <cellStyle name="40% - Accent1 35" xfId="537" xr:uid="{00000000-0005-0000-0000-000046020000}"/>
    <cellStyle name="40% - Accent1 36" xfId="538" xr:uid="{00000000-0005-0000-0000-000047020000}"/>
    <cellStyle name="40% - Accent1 37" xfId="539" xr:uid="{00000000-0005-0000-0000-000048020000}"/>
    <cellStyle name="40% - Accent1 38" xfId="540" xr:uid="{00000000-0005-0000-0000-000049020000}"/>
    <cellStyle name="40% - Accent1 39" xfId="541" xr:uid="{00000000-0005-0000-0000-00004A020000}"/>
    <cellStyle name="40% - Accent1 4" xfId="542" xr:uid="{00000000-0005-0000-0000-00004B020000}"/>
    <cellStyle name="40% - Accent1 4 2" xfId="543" xr:uid="{00000000-0005-0000-0000-00004C020000}"/>
    <cellStyle name="40% - Accent1 4 2 2" xfId="544" xr:uid="{00000000-0005-0000-0000-00004D020000}"/>
    <cellStyle name="40% - Accent1 4 2 3" xfId="545" xr:uid="{00000000-0005-0000-0000-00004E020000}"/>
    <cellStyle name="40% - Accent1 4 3" xfId="546" xr:uid="{00000000-0005-0000-0000-00004F020000}"/>
    <cellStyle name="40% - Accent1 4 4" xfId="547" xr:uid="{00000000-0005-0000-0000-000050020000}"/>
    <cellStyle name="40% - Accent1 40" xfId="548" xr:uid="{00000000-0005-0000-0000-000051020000}"/>
    <cellStyle name="40% - Accent1 41" xfId="549" xr:uid="{00000000-0005-0000-0000-000052020000}"/>
    <cellStyle name="40% - Accent1 42" xfId="550" xr:uid="{00000000-0005-0000-0000-000053020000}"/>
    <cellStyle name="40% - Accent1 43" xfId="551" xr:uid="{00000000-0005-0000-0000-000054020000}"/>
    <cellStyle name="40% - Accent1 44" xfId="552" xr:uid="{00000000-0005-0000-0000-000055020000}"/>
    <cellStyle name="40% - Accent1 5" xfId="553" xr:uid="{00000000-0005-0000-0000-000056020000}"/>
    <cellStyle name="40% - Accent1 5 2" xfId="554" xr:uid="{00000000-0005-0000-0000-000057020000}"/>
    <cellStyle name="40% - Accent1 5 2 2" xfId="555" xr:uid="{00000000-0005-0000-0000-000058020000}"/>
    <cellStyle name="40% - Accent1 5 2 3" xfId="556" xr:uid="{00000000-0005-0000-0000-000059020000}"/>
    <cellStyle name="40% - Accent1 5 3" xfId="557" xr:uid="{00000000-0005-0000-0000-00005A020000}"/>
    <cellStyle name="40% - Accent1 5 4" xfId="558" xr:uid="{00000000-0005-0000-0000-00005B020000}"/>
    <cellStyle name="40% - Accent1 6" xfId="559" xr:uid="{00000000-0005-0000-0000-00005C020000}"/>
    <cellStyle name="40% - Accent1 6 2" xfId="560" xr:uid="{00000000-0005-0000-0000-00005D020000}"/>
    <cellStyle name="40% - Accent1 6 3" xfId="561" xr:uid="{00000000-0005-0000-0000-00005E020000}"/>
    <cellStyle name="40% - Accent1 6 4" xfId="562" xr:uid="{00000000-0005-0000-0000-00005F020000}"/>
    <cellStyle name="40% - Accent1 7" xfId="563" xr:uid="{00000000-0005-0000-0000-000060020000}"/>
    <cellStyle name="40% - Accent1 7 2" xfId="564" xr:uid="{00000000-0005-0000-0000-000061020000}"/>
    <cellStyle name="40% - Accent1 7 3" xfId="565" xr:uid="{00000000-0005-0000-0000-000062020000}"/>
    <cellStyle name="40% - Accent1 8" xfId="566" xr:uid="{00000000-0005-0000-0000-000063020000}"/>
    <cellStyle name="40% - Accent1 8 2" xfId="567" xr:uid="{00000000-0005-0000-0000-000064020000}"/>
    <cellStyle name="40% - Accent1 8 3" xfId="568" xr:uid="{00000000-0005-0000-0000-000065020000}"/>
    <cellStyle name="40% - Accent1 9" xfId="569" xr:uid="{00000000-0005-0000-0000-000066020000}"/>
    <cellStyle name="40% - Accent2 10" xfId="570" xr:uid="{00000000-0005-0000-0000-000067020000}"/>
    <cellStyle name="40% - Accent2 11" xfId="571" xr:uid="{00000000-0005-0000-0000-000068020000}"/>
    <cellStyle name="40% - Accent2 12" xfId="572" xr:uid="{00000000-0005-0000-0000-000069020000}"/>
    <cellStyle name="40% - Accent2 13" xfId="573" xr:uid="{00000000-0005-0000-0000-00006A020000}"/>
    <cellStyle name="40% - Accent2 14" xfId="574" xr:uid="{00000000-0005-0000-0000-00006B020000}"/>
    <cellStyle name="40% - Accent2 15" xfId="575" xr:uid="{00000000-0005-0000-0000-00006C020000}"/>
    <cellStyle name="40% - Accent2 16" xfId="576" xr:uid="{00000000-0005-0000-0000-00006D020000}"/>
    <cellStyle name="40% - Accent2 17" xfId="577" xr:uid="{00000000-0005-0000-0000-00006E020000}"/>
    <cellStyle name="40% - Accent2 18" xfId="578" xr:uid="{00000000-0005-0000-0000-00006F020000}"/>
    <cellStyle name="40% - Accent2 19" xfId="579" xr:uid="{00000000-0005-0000-0000-000070020000}"/>
    <cellStyle name="40% - Accent2 2" xfId="580" xr:uid="{00000000-0005-0000-0000-000071020000}"/>
    <cellStyle name="40% - Accent2 2 10" xfId="581" xr:uid="{00000000-0005-0000-0000-000072020000}"/>
    <cellStyle name="40% - Accent2 2 11" xfId="582" xr:uid="{00000000-0005-0000-0000-000073020000}"/>
    <cellStyle name="40% - Accent2 2 12" xfId="583" xr:uid="{00000000-0005-0000-0000-000074020000}"/>
    <cellStyle name="40% - Accent2 2 13" xfId="584" xr:uid="{00000000-0005-0000-0000-000075020000}"/>
    <cellStyle name="40% - Accent2 2 14" xfId="585" xr:uid="{00000000-0005-0000-0000-000076020000}"/>
    <cellStyle name="40% - Accent2 2 15" xfId="586" xr:uid="{00000000-0005-0000-0000-000077020000}"/>
    <cellStyle name="40% - Accent2 2 2" xfId="587" xr:uid="{00000000-0005-0000-0000-000078020000}"/>
    <cellStyle name="40% - Accent2 2 2 2" xfId="588" xr:uid="{00000000-0005-0000-0000-000079020000}"/>
    <cellStyle name="40% - Accent2 2 3" xfId="589" xr:uid="{00000000-0005-0000-0000-00007A020000}"/>
    <cellStyle name="40% - Accent2 2 3 2" xfId="590" xr:uid="{00000000-0005-0000-0000-00007B020000}"/>
    <cellStyle name="40% - Accent2 2 4" xfId="591" xr:uid="{00000000-0005-0000-0000-00007C020000}"/>
    <cellStyle name="40% - Accent2 2 5" xfId="592" xr:uid="{00000000-0005-0000-0000-00007D020000}"/>
    <cellStyle name="40% - Accent2 2 6" xfId="593" xr:uid="{00000000-0005-0000-0000-00007E020000}"/>
    <cellStyle name="40% - Accent2 2 7" xfId="594" xr:uid="{00000000-0005-0000-0000-00007F020000}"/>
    <cellStyle name="40% - Accent2 2 8" xfId="595" xr:uid="{00000000-0005-0000-0000-000080020000}"/>
    <cellStyle name="40% - Accent2 2 9" xfId="596" xr:uid="{00000000-0005-0000-0000-000081020000}"/>
    <cellStyle name="40% - Accent2 20" xfId="597" xr:uid="{00000000-0005-0000-0000-000082020000}"/>
    <cellStyle name="40% - Accent2 21" xfId="598" xr:uid="{00000000-0005-0000-0000-000083020000}"/>
    <cellStyle name="40% - Accent2 22" xfId="599" xr:uid="{00000000-0005-0000-0000-000084020000}"/>
    <cellStyle name="40% - Accent2 23" xfId="600" xr:uid="{00000000-0005-0000-0000-000085020000}"/>
    <cellStyle name="40% - Accent2 24" xfId="601" xr:uid="{00000000-0005-0000-0000-000086020000}"/>
    <cellStyle name="40% - Accent2 25" xfId="602" xr:uid="{00000000-0005-0000-0000-000087020000}"/>
    <cellStyle name="40% - Accent2 26" xfId="603" xr:uid="{00000000-0005-0000-0000-000088020000}"/>
    <cellStyle name="40% - Accent2 27" xfId="604" xr:uid="{00000000-0005-0000-0000-000089020000}"/>
    <cellStyle name="40% - Accent2 28" xfId="605" xr:uid="{00000000-0005-0000-0000-00008A020000}"/>
    <cellStyle name="40% - Accent2 29" xfId="606" xr:uid="{00000000-0005-0000-0000-00008B020000}"/>
    <cellStyle name="40% - Accent2 3" xfId="607" xr:uid="{00000000-0005-0000-0000-00008C020000}"/>
    <cellStyle name="40% - Accent2 3 2" xfId="608" xr:uid="{00000000-0005-0000-0000-00008D020000}"/>
    <cellStyle name="40% - Accent2 30" xfId="609" xr:uid="{00000000-0005-0000-0000-00008E020000}"/>
    <cellStyle name="40% - Accent2 31" xfId="610" xr:uid="{00000000-0005-0000-0000-00008F020000}"/>
    <cellStyle name="40% - Accent2 32" xfId="611" xr:uid="{00000000-0005-0000-0000-000090020000}"/>
    <cellStyle name="40% - Accent2 33" xfId="612" xr:uid="{00000000-0005-0000-0000-000091020000}"/>
    <cellStyle name="40% - Accent2 34" xfId="613" xr:uid="{00000000-0005-0000-0000-000092020000}"/>
    <cellStyle name="40% - Accent2 35" xfId="614" xr:uid="{00000000-0005-0000-0000-000093020000}"/>
    <cellStyle name="40% - Accent2 36" xfId="615" xr:uid="{00000000-0005-0000-0000-000094020000}"/>
    <cellStyle name="40% - Accent2 37" xfId="616" xr:uid="{00000000-0005-0000-0000-000095020000}"/>
    <cellStyle name="40% - Accent2 38" xfId="617" xr:uid="{00000000-0005-0000-0000-000096020000}"/>
    <cellStyle name="40% - Accent2 39" xfId="618" xr:uid="{00000000-0005-0000-0000-000097020000}"/>
    <cellStyle name="40% - Accent2 4" xfId="619" xr:uid="{00000000-0005-0000-0000-000098020000}"/>
    <cellStyle name="40% - Accent2 40" xfId="620" xr:uid="{00000000-0005-0000-0000-000099020000}"/>
    <cellStyle name="40% - Accent2 41" xfId="621" xr:uid="{00000000-0005-0000-0000-00009A020000}"/>
    <cellStyle name="40% - Accent2 42" xfId="622" xr:uid="{00000000-0005-0000-0000-00009B020000}"/>
    <cellStyle name="40% - Accent2 43" xfId="623" xr:uid="{00000000-0005-0000-0000-00009C020000}"/>
    <cellStyle name="40% - Accent2 44" xfId="624" xr:uid="{00000000-0005-0000-0000-00009D020000}"/>
    <cellStyle name="40% - Accent2 5" xfId="625" xr:uid="{00000000-0005-0000-0000-00009E020000}"/>
    <cellStyle name="40% - Accent2 6" xfId="626" xr:uid="{00000000-0005-0000-0000-00009F020000}"/>
    <cellStyle name="40% - Accent2 6 2" xfId="627" xr:uid="{00000000-0005-0000-0000-0000A0020000}"/>
    <cellStyle name="40% - Accent2 7" xfId="628" xr:uid="{00000000-0005-0000-0000-0000A1020000}"/>
    <cellStyle name="40% - Accent2 8" xfId="629" xr:uid="{00000000-0005-0000-0000-0000A2020000}"/>
    <cellStyle name="40% - Accent2 9" xfId="630" xr:uid="{00000000-0005-0000-0000-0000A3020000}"/>
    <cellStyle name="40% - Accent3 10" xfId="631" xr:uid="{00000000-0005-0000-0000-0000A4020000}"/>
    <cellStyle name="40% - Accent3 11" xfId="632" xr:uid="{00000000-0005-0000-0000-0000A5020000}"/>
    <cellStyle name="40% - Accent3 12" xfId="633" xr:uid="{00000000-0005-0000-0000-0000A6020000}"/>
    <cellStyle name="40% - Accent3 13" xfId="634" xr:uid="{00000000-0005-0000-0000-0000A7020000}"/>
    <cellStyle name="40% - Accent3 14" xfId="635" xr:uid="{00000000-0005-0000-0000-0000A8020000}"/>
    <cellStyle name="40% - Accent3 15" xfId="636" xr:uid="{00000000-0005-0000-0000-0000A9020000}"/>
    <cellStyle name="40% - Accent3 16" xfId="637" xr:uid="{00000000-0005-0000-0000-0000AA020000}"/>
    <cellStyle name="40% - Accent3 17" xfId="638" xr:uid="{00000000-0005-0000-0000-0000AB020000}"/>
    <cellStyle name="40% - Accent3 18" xfId="639" xr:uid="{00000000-0005-0000-0000-0000AC020000}"/>
    <cellStyle name="40% - Accent3 19" xfId="640" xr:uid="{00000000-0005-0000-0000-0000AD020000}"/>
    <cellStyle name="40% - Accent3 2" xfId="641" xr:uid="{00000000-0005-0000-0000-0000AE020000}"/>
    <cellStyle name="40% - Accent3 2 10" xfId="642" xr:uid="{00000000-0005-0000-0000-0000AF020000}"/>
    <cellStyle name="40% - Accent3 2 11" xfId="643" xr:uid="{00000000-0005-0000-0000-0000B0020000}"/>
    <cellStyle name="40% - Accent3 2 12" xfId="644" xr:uid="{00000000-0005-0000-0000-0000B1020000}"/>
    <cellStyle name="40% - Accent3 2 13" xfId="645" xr:uid="{00000000-0005-0000-0000-0000B2020000}"/>
    <cellStyle name="40% - Accent3 2 14" xfId="646" xr:uid="{00000000-0005-0000-0000-0000B3020000}"/>
    <cellStyle name="40% - Accent3 2 15" xfId="647" xr:uid="{00000000-0005-0000-0000-0000B4020000}"/>
    <cellStyle name="40% - Accent3 2 2" xfId="648" xr:uid="{00000000-0005-0000-0000-0000B5020000}"/>
    <cellStyle name="40% - Accent3 2 3" xfId="649" xr:uid="{00000000-0005-0000-0000-0000B6020000}"/>
    <cellStyle name="40% - Accent3 2 4" xfId="650" xr:uid="{00000000-0005-0000-0000-0000B7020000}"/>
    <cellStyle name="40% - Accent3 2 5" xfId="651" xr:uid="{00000000-0005-0000-0000-0000B8020000}"/>
    <cellStyle name="40% - Accent3 2 6" xfId="652" xr:uid="{00000000-0005-0000-0000-0000B9020000}"/>
    <cellStyle name="40% - Accent3 2 7" xfId="653" xr:uid="{00000000-0005-0000-0000-0000BA020000}"/>
    <cellStyle name="40% - Accent3 2 8" xfId="654" xr:uid="{00000000-0005-0000-0000-0000BB020000}"/>
    <cellStyle name="40% - Accent3 2 9" xfId="655" xr:uid="{00000000-0005-0000-0000-0000BC020000}"/>
    <cellStyle name="40% - Accent3 20" xfId="656" xr:uid="{00000000-0005-0000-0000-0000BD020000}"/>
    <cellStyle name="40% - Accent3 21" xfId="657" xr:uid="{00000000-0005-0000-0000-0000BE020000}"/>
    <cellStyle name="40% - Accent3 22" xfId="658" xr:uid="{00000000-0005-0000-0000-0000BF020000}"/>
    <cellStyle name="40% - Accent3 23" xfId="659" xr:uid="{00000000-0005-0000-0000-0000C0020000}"/>
    <cellStyle name="40% - Accent3 24" xfId="660" xr:uid="{00000000-0005-0000-0000-0000C1020000}"/>
    <cellStyle name="40% - Accent3 25" xfId="661" xr:uid="{00000000-0005-0000-0000-0000C2020000}"/>
    <cellStyle name="40% - Accent3 26" xfId="662" xr:uid="{00000000-0005-0000-0000-0000C3020000}"/>
    <cellStyle name="40% - Accent3 27" xfId="663" xr:uid="{00000000-0005-0000-0000-0000C4020000}"/>
    <cellStyle name="40% - Accent3 28" xfId="664" xr:uid="{00000000-0005-0000-0000-0000C5020000}"/>
    <cellStyle name="40% - Accent3 29" xfId="665" xr:uid="{00000000-0005-0000-0000-0000C6020000}"/>
    <cellStyle name="40% - Accent3 3" xfId="666" xr:uid="{00000000-0005-0000-0000-0000C7020000}"/>
    <cellStyle name="40% - Accent3 3 2" xfId="667" xr:uid="{00000000-0005-0000-0000-0000C8020000}"/>
    <cellStyle name="40% - Accent3 3 3" xfId="668" xr:uid="{00000000-0005-0000-0000-0000C9020000}"/>
    <cellStyle name="40% - Accent3 3 4" xfId="669" xr:uid="{00000000-0005-0000-0000-0000CA020000}"/>
    <cellStyle name="40% - Accent3 3 5" xfId="670" xr:uid="{00000000-0005-0000-0000-0000CB020000}"/>
    <cellStyle name="40% - Accent3 30" xfId="671" xr:uid="{00000000-0005-0000-0000-0000CC020000}"/>
    <cellStyle name="40% - Accent3 31" xfId="672" xr:uid="{00000000-0005-0000-0000-0000CD020000}"/>
    <cellStyle name="40% - Accent3 32" xfId="673" xr:uid="{00000000-0005-0000-0000-0000CE020000}"/>
    <cellStyle name="40% - Accent3 33" xfId="674" xr:uid="{00000000-0005-0000-0000-0000CF020000}"/>
    <cellStyle name="40% - Accent3 34" xfId="675" xr:uid="{00000000-0005-0000-0000-0000D0020000}"/>
    <cellStyle name="40% - Accent3 35" xfId="676" xr:uid="{00000000-0005-0000-0000-0000D1020000}"/>
    <cellStyle name="40% - Accent3 36" xfId="677" xr:uid="{00000000-0005-0000-0000-0000D2020000}"/>
    <cellStyle name="40% - Accent3 37" xfId="678" xr:uid="{00000000-0005-0000-0000-0000D3020000}"/>
    <cellStyle name="40% - Accent3 38" xfId="679" xr:uid="{00000000-0005-0000-0000-0000D4020000}"/>
    <cellStyle name="40% - Accent3 39" xfId="680" xr:uid="{00000000-0005-0000-0000-0000D5020000}"/>
    <cellStyle name="40% - Accent3 4" xfId="681" xr:uid="{00000000-0005-0000-0000-0000D6020000}"/>
    <cellStyle name="40% - Accent3 4 2" xfId="682" xr:uid="{00000000-0005-0000-0000-0000D7020000}"/>
    <cellStyle name="40% - Accent3 4 2 2" xfId="683" xr:uid="{00000000-0005-0000-0000-0000D8020000}"/>
    <cellStyle name="40% - Accent3 4 2 3" xfId="684" xr:uid="{00000000-0005-0000-0000-0000D9020000}"/>
    <cellStyle name="40% - Accent3 4 3" xfId="685" xr:uid="{00000000-0005-0000-0000-0000DA020000}"/>
    <cellStyle name="40% - Accent3 4 4" xfId="686" xr:uid="{00000000-0005-0000-0000-0000DB020000}"/>
    <cellStyle name="40% - Accent3 40" xfId="687" xr:uid="{00000000-0005-0000-0000-0000DC020000}"/>
    <cellStyle name="40% - Accent3 41" xfId="688" xr:uid="{00000000-0005-0000-0000-0000DD020000}"/>
    <cellStyle name="40% - Accent3 42" xfId="689" xr:uid="{00000000-0005-0000-0000-0000DE020000}"/>
    <cellStyle name="40% - Accent3 43" xfId="690" xr:uid="{00000000-0005-0000-0000-0000DF020000}"/>
    <cellStyle name="40% - Accent3 44" xfId="691" xr:uid="{00000000-0005-0000-0000-0000E0020000}"/>
    <cellStyle name="40% - Accent3 5" xfId="692" xr:uid="{00000000-0005-0000-0000-0000E1020000}"/>
    <cellStyle name="40% - Accent3 5 2" xfId="693" xr:uid="{00000000-0005-0000-0000-0000E2020000}"/>
    <cellStyle name="40% - Accent3 5 2 2" xfId="694" xr:uid="{00000000-0005-0000-0000-0000E3020000}"/>
    <cellStyle name="40% - Accent3 5 2 3" xfId="695" xr:uid="{00000000-0005-0000-0000-0000E4020000}"/>
    <cellStyle name="40% - Accent3 5 3" xfId="696" xr:uid="{00000000-0005-0000-0000-0000E5020000}"/>
    <cellStyle name="40% - Accent3 5 4" xfId="697" xr:uid="{00000000-0005-0000-0000-0000E6020000}"/>
    <cellStyle name="40% - Accent3 6" xfId="698" xr:uid="{00000000-0005-0000-0000-0000E7020000}"/>
    <cellStyle name="40% - Accent3 6 2" xfId="699" xr:uid="{00000000-0005-0000-0000-0000E8020000}"/>
    <cellStyle name="40% - Accent3 6 3" xfId="700" xr:uid="{00000000-0005-0000-0000-0000E9020000}"/>
    <cellStyle name="40% - Accent3 6 4" xfId="701" xr:uid="{00000000-0005-0000-0000-0000EA020000}"/>
    <cellStyle name="40% - Accent3 7" xfId="702" xr:uid="{00000000-0005-0000-0000-0000EB020000}"/>
    <cellStyle name="40% - Accent3 7 2" xfId="703" xr:uid="{00000000-0005-0000-0000-0000EC020000}"/>
    <cellStyle name="40% - Accent3 7 3" xfId="704" xr:uid="{00000000-0005-0000-0000-0000ED020000}"/>
    <cellStyle name="40% - Accent3 8" xfId="705" xr:uid="{00000000-0005-0000-0000-0000EE020000}"/>
    <cellStyle name="40% - Accent3 8 2" xfId="706" xr:uid="{00000000-0005-0000-0000-0000EF020000}"/>
    <cellStyle name="40% - Accent3 8 3" xfId="707" xr:uid="{00000000-0005-0000-0000-0000F0020000}"/>
    <cellStyle name="40% - Accent3 9" xfId="708" xr:uid="{00000000-0005-0000-0000-0000F1020000}"/>
    <cellStyle name="40% - Accent4 10" xfId="709" xr:uid="{00000000-0005-0000-0000-0000F2020000}"/>
    <cellStyle name="40% - Accent4 11" xfId="710" xr:uid="{00000000-0005-0000-0000-0000F3020000}"/>
    <cellStyle name="40% - Accent4 12" xfId="711" xr:uid="{00000000-0005-0000-0000-0000F4020000}"/>
    <cellStyle name="40% - Accent4 13" xfId="712" xr:uid="{00000000-0005-0000-0000-0000F5020000}"/>
    <cellStyle name="40% - Accent4 14" xfId="713" xr:uid="{00000000-0005-0000-0000-0000F6020000}"/>
    <cellStyle name="40% - Accent4 15" xfId="714" xr:uid="{00000000-0005-0000-0000-0000F7020000}"/>
    <cellStyle name="40% - Accent4 16" xfId="715" xr:uid="{00000000-0005-0000-0000-0000F8020000}"/>
    <cellStyle name="40% - Accent4 17" xfId="716" xr:uid="{00000000-0005-0000-0000-0000F9020000}"/>
    <cellStyle name="40% - Accent4 18" xfId="717" xr:uid="{00000000-0005-0000-0000-0000FA020000}"/>
    <cellStyle name="40% - Accent4 19" xfId="718" xr:uid="{00000000-0005-0000-0000-0000FB020000}"/>
    <cellStyle name="40% - Accent4 2" xfId="719" xr:uid="{00000000-0005-0000-0000-0000FC020000}"/>
    <cellStyle name="40% - Accent4 2 10" xfId="720" xr:uid="{00000000-0005-0000-0000-0000FD020000}"/>
    <cellStyle name="40% - Accent4 2 11" xfId="721" xr:uid="{00000000-0005-0000-0000-0000FE020000}"/>
    <cellStyle name="40% - Accent4 2 12" xfId="722" xr:uid="{00000000-0005-0000-0000-0000FF020000}"/>
    <cellStyle name="40% - Accent4 2 13" xfId="723" xr:uid="{00000000-0005-0000-0000-000000030000}"/>
    <cellStyle name="40% - Accent4 2 14" xfId="724" xr:uid="{00000000-0005-0000-0000-000001030000}"/>
    <cellStyle name="40% - Accent4 2 15" xfId="725" xr:uid="{00000000-0005-0000-0000-000002030000}"/>
    <cellStyle name="40% - Accent4 2 2" xfId="726" xr:uid="{00000000-0005-0000-0000-000003030000}"/>
    <cellStyle name="40% - Accent4 2 3" xfId="727" xr:uid="{00000000-0005-0000-0000-000004030000}"/>
    <cellStyle name="40% - Accent4 2 4" xfId="728" xr:uid="{00000000-0005-0000-0000-000005030000}"/>
    <cellStyle name="40% - Accent4 2 5" xfId="729" xr:uid="{00000000-0005-0000-0000-000006030000}"/>
    <cellStyle name="40% - Accent4 2 6" xfId="730" xr:uid="{00000000-0005-0000-0000-000007030000}"/>
    <cellStyle name="40% - Accent4 2 7" xfId="731" xr:uid="{00000000-0005-0000-0000-000008030000}"/>
    <cellStyle name="40% - Accent4 2 8" xfId="732" xr:uid="{00000000-0005-0000-0000-000009030000}"/>
    <cellStyle name="40% - Accent4 2 9" xfId="733" xr:uid="{00000000-0005-0000-0000-00000A030000}"/>
    <cellStyle name="40% - Accent4 20" xfId="734" xr:uid="{00000000-0005-0000-0000-00000B030000}"/>
    <cellStyle name="40% - Accent4 21" xfId="735" xr:uid="{00000000-0005-0000-0000-00000C030000}"/>
    <cellStyle name="40% - Accent4 22" xfId="736" xr:uid="{00000000-0005-0000-0000-00000D030000}"/>
    <cellStyle name="40% - Accent4 23" xfId="737" xr:uid="{00000000-0005-0000-0000-00000E030000}"/>
    <cellStyle name="40% - Accent4 24" xfId="738" xr:uid="{00000000-0005-0000-0000-00000F030000}"/>
    <cellStyle name="40% - Accent4 25" xfId="739" xr:uid="{00000000-0005-0000-0000-000010030000}"/>
    <cellStyle name="40% - Accent4 26" xfId="740" xr:uid="{00000000-0005-0000-0000-000011030000}"/>
    <cellStyle name="40% - Accent4 27" xfId="741" xr:uid="{00000000-0005-0000-0000-000012030000}"/>
    <cellStyle name="40% - Accent4 28" xfId="742" xr:uid="{00000000-0005-0000-0000-000013030000}"/>
    <cellStyle name="40% - Accent4 29" xfId="743" xr:uid="{00000000-0005-0000-0000-000014030000}"/>
    <cellStyle name="40% - Accent4 3" xfId="744" xr:uid="{00000000-0005-0000-0000-000015030000}"/>
    <cellStyle name="40% - Accent4 3 2" xfId="745" xr:uid="{00000000-0005-0000-0000-000016030000}"/>
    <cellStyle name="40% - Accent4 3 3" xfId="746" xr:uid="{00000000-0005-0000-0000-000017030000}"/>
    <cellStyle name="40% - Accent4 3 4" xfId="747" xr:uid="{00000000-0005-0000-0000-000018030000}"/>
    <cellStyle name="40% - Accent4 3 5" xfId="748" xr:uid="{00000000-0005-0000-0000-000019030000}"/>
    <cellStyle name="40% - Accent4 30" xfId="749" xr:uid="{00000000-0005-0000-0000-00001A030000}"/>
    <cellStyle name="40% - Accent4 31" xfId="750" xr:uid="{00000000-0005-0000-0000-00001B030000}"/>
    <cellStyle name="40% - Accent4 32" xfId="751" xr:uid="{00000000-0005-0000-0000-00001C030000}"/>
    <cellStyle name="40% - Accent4 33" xfId="752" xr:uid="{00000000-0005-0000-0000-00001D030000}"/>
    <cellStyle name="40% - Accent4 34" xfId="753" xr:uid="{00000000-0005-0000-0000-00001E030000}"/>
    <cellStyle name="40% - Accent4 35" xfId="754" xr:uid="{00000000-0005-0000-0000-00001F030000}"/>
    <cellStyle name="40% - Accent4 36" xfId="755" xr:uid="{00000000-0005-0000-0000-000020030000}"/>
    <cellStyle name="40% - Accent4 37" xfId="756" xr:uid="{00000000-0005-0000-0000-000021030000}"/>
    <cellStyle name="40% - Accent4 38" xfId="757" xr:uid="{00000000-0005-0000-0000-000022030000}"/>
    <cellStyle name="40% - Accent4 39" xfId="758" xr:uid="{00000000-0005-0000-0000-000023030000}"/>
    <cellStyle name="40% - Accent4 4" xfId="759" xr:uid="{00000000-0005-0000-0000-000024030000}"/>
    <cellStyle name="40% - Accent4 4 2" xfId="760" xr:uid="{00000000-0005-0000-0000-000025030000}"/>
    <cellStyle name="40% - Accent4 4 2 2" xfId="761" xr:uid="{00000000-0005-0000-0000-000026030000}"/>
    <cellStyle name="40% - Accent4 4 2 3" xfId="762" xr:uid="{00000000-0005-0000-0000-000027030000}"/>
    <cellStyle name="40% - Accent4 4 3" xfId="763" xr:uid="{00000000-0005-0000-0000-000028030000}"/>
    <cellStyle name="40% - Accent4 4 4" xfId="764" xr:uid="{00000000-0005-0000-0000-000029030000}"/>
    <cellStyle name="40% - Accent4 40" xfId="765" xr:uid="{00000000-0005-0000-0000-00002A030000}"/>
    <cellStyle name="40% - Accent4 41" xfId="766" xr:uid="{00000000-0005-0000-0000-00002B030000}"/>
    <cellStyle name="40% - Accent4 42" xfId="767" xr:uid="{00000000-0005-0000-0000-00002C030000}"/>
    <cellStyle name="40% - Accent4 43" xfId="768" xr:uid="{00000000-0005-0000-0000-00002D030000}"/>
    <cellStyle name="40% - Accent4 44" xfId="769" xr:uid="{00000000-0005-0000-0000-00002E030000}"/>
    <cellStyle name="40% - Accent4 5" xfId="770" xr:uid="{00000000-0005-0000-0000-00002F030000}"/>
    <cellStyle name="40% - Accent4 5 2" xfId="771" xr:uid="{00000000-0005-0000-0000-000030030000}"/>
    <cellStyle name="40% - Accent4 5 2 2" xfId="772" xr:uid="{00000000-0005-0000-0000-000031030000}"/>
    <cellStyle name="40% - Accent4 5 2 3" xfId="773" xr:uid="{00000000-0005-0000-0000-000032030000}"/>
    <cellStyle name="40% - Accent4 5 3" xfId="774" xr:uid="{00000000-0005-0000-0000-000033030000}"/>
    <cellStyle name="40% - Accent4 5 4" xfId="775" xr:uid="{00000000-0005-0000-0000-000034030000}"/>
    <cellStyle name="40% - Accent4 6" xfId="776" xr:uid="{00000000-0005-0000-0000-000035030000}"/>
    <cellStyle name="40% - Accent4 6 2" xfId="777" xr:uid="{00000000-0005-0000-0000-000036030000}"/>
    <cellStyle name="40% - Accent4 6 3" xfId="778" xr:uid="{00000000-0005-0000-0000-000037030000}"/>
    <cellStyle name="40% - Accent4 6 4" xfId="779" xr:uid="{00000000-0005-0000-0000-000038030000}"/>
    <cellStyle name="40% - Accent4 7" xfId="780" xr:uid="{00000000-0005-0000-0000-000039030000}"/>
    <cellStyle name="40% - Accent4 7 2" xfId="781" xr:uid="{00000000-0005-0000-0000-00003A030000}"/>
    <cellStyle name="40% - Accent4 7 3" xfId="782" xr:uid="{00000000-0005-0000-0000-00003B030000}"/>
    <cellStyle name="40% - Accent4 8" xfId="783" xr:uid="{00000000-0005-0000-0000-00003C030000}"/>
    <cellStyle name="40% - Accent4 8 2" xfId="784" xr:uid="{00000000-0005-0000-0000-00003D030000}"/>
    <cellStyle name="40% - Accent4 8 3" xfId="785" xr:uid="{00000000-0005-0000-0000-00003E030000}"/>
    <cellStyle name="40% - Accent4 9" xfId="786" xr:uid="{00000000-0005-0000-0000-00003F030000}"/>
    <cellStyle name="40% - Accent5 10" xfId="787" xr:uid="{00000000-0005-0000-0000-000040030000}"/>
    <cellStyle name="40% - Accent5 11" xfId="788" xr:uid="{00000000-0005-0000-0000-000041030000}"/>
    <cellStyle name="40% - Accent5 12" xfId="789" xr:uid="{00000000-0005-0000-0000-000042030000}"/>
    <cellStyle name="40% - Accent5 13" xfId="790" xr:uid="{00000000-0005-0000-0000-000043030000}"/>
    <cellStyle name="40% - Accent5 14" xfId="791" xr:uid="{00000000-0005-0000-0000-000044030000}"/>
    <cellStyle name="40% - Accent5 15" xfId="792" xr:uid="{00000000-0005-0000-0000-000045030000}"/>
    <cellStyle name="40% - Accent5 16" xfId="793" xr:uid="{00000000-0005-0000-0000-000046030000}"/>
    <cellStyle name="40% - Accent5 17" xfId="794" xr:uid="{00000000-0005-0000-0000-000047030000}"/>
    <cellStyle name="40% - Accent5 18" xfId="795" xr:uid="{00000000-0005-0000-0000-000048030000}"/>
    <cellStyle name="40% - Accent5 19" xfId="796" xr:uid="{00000000-0005-0000-0000-000049030000}"/>
    <cellStyle name="40% - Accent5 2" xfId="797" xr:uid="{00000000-0005-0000-0000-00004A030000}"/>
    <cellStyle name="40% - Accent5 2 10" xfId="798" xr:uid="{00000000-0005-0000-0000-00004B030000}"/>
    <cellStyle name="40% - Accent5 2 11" xfId="799" xr:uid="{00000000-0005-0000-0000-00004C030000}"/>
    <cellStyle name="40% - Accent5 2 12" xfId="800" xr:uid="{00000000-0005-0000-0000-00004D030000}"/>
    <cellStyle name="40% - Accent5 2 13" xfId="801" xr:uid="{00000000-0005-0000-0000-00004E030000}"/>
    <cellStyle name="40% - Accent5 2 14" xfId="802" xr:uid="{00000000-0005-0000-0000-00004F030000}"/>
    <cellStyle name="40% - Accent5 2 15" xfId="803" xr:uid="{00000000-0005-0000-0000-000050030000}"/>
    <cellStyle name="40% - Accent5 2 2" xfId="804" xr:uid="{00000000-0005-0000-0000-000051030000}"/>
    <cellStyle name="40% - Accent5 2 3" xfId="805" xr:uid="{00000000-0005-0000-0000-000052030000}"/>
    <cellStyle name="40% - Accent5 2 4" xfId="806" xr:uid="{00000000-0005-0000-0000-000053030000}"/>
    <cellStyle name="40% - Accent5 2 5" xfId="807" xr:uid="{00000000-0005-0000-0000-000054030000}"/>
    <cellStyle name="40% - Accent5 2 6" xfId="808" xr:uid="{00000000-0005-0000-0000-000055030000}"/>
    <cellStyle name="40% - Accent5 2 7" xfId="809" xr:uid="{00000000-0005-0000-0000-000056030000}"/>
    <cellStyle name="40% - Accent5 2 8" xfId="810" xr:uid="{00000000-0005-0000-0000-000057030000}"/>
    <cellStyle name="40% - Accent5 2 9" xfId="811" xr:uid="{00000000-0005-0000-0000-000058030000}"/>
    <cellStyle name="40% - Accent5 20" xfId="812" xr:uid="{00000000-0005-0000-0000-000059030000}"/>
    <cellStyle name="40% - Accent5 21" xfId="813" xr:uid="{00000000-0005-0000-0000-00005A030000}"/>
    <cellStyle name="40% - Accent5 22" xfId="814" xr:uid="{00000000-0005-0000-0000-00005B030000}"/>
    <cellStyle name="40% - Accent5 23" xfId="815" xr:uid="{00000000-0005-0000-0000-00005C030000}"/>
    <cellStyle name="40% - Accent5 24" xfId="816" xr:uid="{00000000-0005-0000-0000-00005D030000}"/>
    <cellStyle name="40% - Accent5 25" xfId="817" xr:uid="{00000000-0005-0000-0000-00005E030000}"/>
    <cellStyle name="40% - Accent5 26" xfId="818" xr:uid="{00000000-0005-0000-0000-00005F030000}"/>
    <cellStyle name="40% - Accent5 27" xfId="819" xr:uid="{00000000-0005-0000-0000-000060030000}"/>
    <cellStyle name="40% - Accent5 28" xfId="820" xr:uid="{00000000-0005-0000-0000-000061030000}"/>
    <cellStyle name="40% - Accent5 29" xfId="821" xr:uid="{00000000-0005-0000-0000-000062030000}"/>
    <cellStyle name="40% - Accent5 3" xfId="822" xr:uid="{00000000-0005-0000-0000-000063030000}"/>
    <cellStyle name="40% - Accent5 3 2" xfId="823" xr:uid="{00000000-0005-0000-0000-000064030000}"/>
    <cellStyle name="40% - Accent5 3 3" xfId="824" xr:uid="{00000000-0005-0000-0000-000065030000}"/>
    <cellStyle name="40% - Accent5 3 4" xfId="825" xr:uid="{00000000-0005-0000-0000-000066030000}"/>
    <cellStyle name="40% - Accent5 3 5" xfId="826" xr:uid="{00000000-0005-0000-0000-000067030000}"/>
    <cellStyle name="40% - Accent5 30" xfId="827" xr:uid="{00000000-0005-0000-0000-000068030000}"/>
    <cellStyle name="40% - Accent5 31" xfId="828" xr:uid="{00000000-0005-0000-0000-000069030000}"/>
    <cellStyle name="40% - Accent5 32" xfId="829" xr:uid="{00000000-0005-0000-0000-00006A030000}"/>
    <cellStyle name="40% - Accent5 33" xfId="830" xr:uid="{00000000-0005-0000-0000-00006B030000}"/>
    <cellStyle name="40% - Accent5 34" xfId="831" xr:uid="{00000000-0005-0000-0000-00006C030000}"/>
    <cellStyle name="40% - Accent5 35" xfId="832" xr:uid="{00000000-0005-0000-0000-00006D030000}"/>
    <cellStyle name="40% - Accent5 36" xfId="833" xr:uid="{00000000-0005-0000-0000-00006E030000}"/>
    <cellStyle name="40% - Accent5 37" xfId="834" xr:uid="{00000000-0005-0000-0000-00006F030000}"/>
    <cellStyle name="40% - Accent5 38" xfId="835" xr:uid="{00000000-0005-0000-0000-000070030000}"/>
    <cellStyle name="40% - Accent5 39" xfId="836" xr:uid="{00000000-0005-0000-0000-000071030000}"/>
    <cellStyle name="40% - Accent5 4" xfId="837" xr:uid="{00000000-0005-0000-0000-000072030000}"/>
    <cellStyle name="40% - Accent5 4 2" xfId="838" xr:uid="{00000000-0005-0000-0000-000073030000}"/>
    <cellStyle name="40% - Accent5 4 2 2" xfId="839" xr:uid="{00000000-0005-0000-0000-000074030000}"/>
    <cellStyle name="40% - Accent5 4 2 3" xfId="840" xr:uid="{00000000-0005-0000-0000-000075030000}"/>
    <cellStyle name="40% - Accent5 4 3" xfId="841" xr:uid="{00000000-0005-0000-0000-000076030000}"/>
    <cellStyle name="40% - Accent5 4 4" xfId="842" xr:uid="{00000000-0005-0000-0000-000077030000}"/>
    <cellStyle name="40% - Accent5 40" xfId="843" xr:uid="{00000000-0005-0000-0000-000078030000}"/>
    <cellStyle name="40% - Accent5 41" xfId="844" xr:uid="{00000000-0005-0000-0000-000079030000}"/>
    <cellStyle name="40% - Accent5 42" xfId="845" xr:uid="{00000000-0005-0000-0000-00007A030000}"/>
    <cellStyle name="40% - Accent5 43" xfId="846" xr:uid="{00000000-0005-0000-0000-00007B030000}"/>
    <cellStyle name="40% - Accent5 44" xfId="847" xr:uid="{00000000-0005-0000-0000-00007C030000}"/>
    <cellStyle name="40% - Accent5 5" xfId="848" xr:uid="{00000000-0005-0000-0000-00007D030000}"/>
    <cellStyle name="40% - Accent5 5 2" xfId="849" xr:uid="{00000000-0005-0000-0000-00007E030000}"/>
    <cellStyle name="40% - Accent5 5 2 2" xfId="850" xr:uid="{00000000-0005-0000-0000-00007F030000}"/>
    <cellStyle name="40% - Accent5 5 2 3" xfId="851" xr:uid="{00000000-0005-0000-0000-000080030000}"/>
    <cellStyle name="40% - Accent5 5 3" xfId="852" xr:uid="{00000000-0005-0000-0000-000081030000}"/>
    <cellStyle name="40% - Accent5 5 4" xfId="853" xr:uid="{00000000-0005-0000-0000-000082030000}"/>
    <cellStyle name="40% - Accent5 6" xfId="854" xr:uid="{00000000-0005-0000-0000-000083030000}"/>
    <cellStyle name="40% - Accent5 6 2" xfId="855" xr:uid="{00000000-0005-0000-0000-000084030000}"/>
    <cellStyle name="40% - Accent5 6 3" xfId="856" xr:uid="{00000000-0005-0000-0000-000085030000}"/>
    <cellStyle name="40% - Accent5 6 4" xfId="857" xr:uid="{00000000-0005-0000-0000-000086030000}"/>
    <cellStyle name="40% - Accent5 7" xfId="858" xr:uid="{00000000-0005-0000-0000-000087030000}"/>
    <cellStyle name="40% - Accent5 7 2" xfId="859" xr:uid="{00000000-0005-0000-0000-000088030000}"/>
    <cellStyle name="40% - Accent5 7 3" xfId="860" xr:uid="{00000000-0005-0000-0000-000089030000}"/>
    <cellStyle name="40% - Accent5 8" xfId="861" xr:uid="{00000000-0005-0000-0000-00008A030000}"/>
    <cellStyle name="40% - Accent5 8 2" xfId="862" xr:uid="{00000000-0005-0000-0000-00008B030000}"/>
    <cellStyle name="40% - Accent5 8 3" xfId="863" xr:uid="{00000000-0005-0000-0000-00008C030000}"/>
    <cellStyle name="40% - Accent5 9" xfId="864" xr:uid="{00000000-0005-0000-0000-00008D030000}"/>
    <cellStyle name="40% - Accent6 10" xfId="865" xr:uid="{00000000-0005-0000-0000-00008E030000}"/>
    <cellStyle name="40% - Accent6 11" xfId="866" xr:uid="{00000000-0005-0000-0000-00008F030000}"/>
    <cellStyle name="40% - Accent6 12" xfId="867" xr:uid="{00000000-0005-0000-0000-000090030000}"/>
    <cellStyle name="40% - Accent6 13" xfId="868" xr:uid="{00000000-0005-0000-0000-000091030000}"/>
    <cellStyle name="40% - Accent6 14" xfId="869" xr:uid="{00000000-0005-0000-0000-000092030000}"/>
    <cellStyle name="40% - Accent6 15" xfId="870" xr:uid="{00000000-0005-0000-0000-000093030000}"/>
    <cellStyle name="40% - Accent6 16" xfId="871" xr:uid="{00000000-0005-0000-0000-000094030000}"/>
    <cellStyle name="40% - Accent6 17" xfId="872" xr:uid="{00000000-0005-0000-0000-000095030000}"/>
    <cellStyle name="40% - Accent6 18" xfId="873" xr:uid="{00000000-0005-0000-0000-000096030000}"/>
    <cellStyle name="40% - Accent6 19" xfId="874" xr:uid="{00000000-0005-0000-0000-000097030000}"/>
    <cellStyle name="40% - Accent6 2" xfId="875" xr:uid="{00000000-0005-0000-0000-000098030000}"/>
    <cellStyle name="40% - Accent6 2 10" xfId="876" xr:uid="{00000000-0005-0000-0000-000099030000}"/>
    <cellStyle name="40% - Accent6 2 11" xfId="877" xr:uid="{00000000-0005-0000-0000-00009A030000}"/>
    <cellStyle name="40% - Accent6 2 12" xfId="878" xr:uid="{00000000-0005-0000-0000-00009B030000}"/>
    <cellStyle name="40% - Accent6 2 13" xfId="879" xr:uid="{00000000-0005-0000-0000-00009C030000}"/>
    <cellStyle name="40% - Accent6 2 14" xfId="880" xr:uid="{00000000-0005-0000-0000-00009D030000}"/>
    <cellStyle name="40% - Accent6 2 15" xfId="881" xr:uid="{00000000-0005-0000-0000-00009E030000}"/>
    <cellStyle name="40% - Accent6 2 2" xfId="882" xr:uid="{00000000-0005-0000-0000-00009F030000}"/>
    <cellStyle name="40% - Accent6 2 3" xfId="883" xr:uid="{00000000-0005-0000-0000-0000A0030000}"/>
    <cellStyle name="40% - Accent6 2 4" xfId="884" xr:uid="{00000000-0005-0000-0000-0000A1030000}"/>
    <cellStyle name="40% - Accent6 2 5" xfId="885" xr:uid="{00000000-0005-0000-0000-0000A2030000}"/>
    <cellStyle name="40% - Accent6 2 6" xfId="886" xr:uid="{00000000-0005-0000-0000-0000A3030000}"/>
    <cellStyle name="40% - Accent6 2 7" xfId="887" xr:uid="{00000000-0005-0000-0000-0000A4030000}"/>
    <cellStyle name="40% - Accent6 2 8" xfId="888" xr:uid="{00000000-0005-0000-0000-0000A5030000}"/>
    <cellStyle name="40% - Accent6 2 9" xfId="889" xr:uid="{00000000-0005-0000-0000-0000A6030000}"/>
    <cellStyle name="40% - Accent6 20" xfId="890" xr:uid="{00000000-0005-0000-0000-0000A7030000}"/>
    <cellStyle name="40% - Accent6 21" xfId="891" xr:uid="{00000000-0005-0000-0000-0000A8030000}"/>
    <cellStyle name="40% - Accent6 22" xfId="892" xr:uid="{00000000-0005-0000-0000-0000A9030000}"/>
    <cellStyle name="40% - Accent6 23" xfId="893" xr:uid="{00000000-0005-0000-0000-0000AA030000}"/>
    <cellStyle name="40% - Accent6 24" xfId="894" xr:uid="{00000000-0005-0000-0000-0000AB030000}"/>
    <cellStyle name="40% - Accent6 25" xfId="895" xr:uid="{00000000-0005-0000-0000-0000AC030000}"/>
    <cellStyle name="40% - Accent6 26" xfId="896" xr:uid="{00000000-0005-0000-0000-0000AD030000}"/>
    <cellStyle name="40% - Accent6 27" xfId="897" xr:uid="{00000000-0005-0000-0000-0000AE030000}"/>
    <cellStyle name="40% - Accent6 28" xfId="898" xr:uid="{00000000-0005-0000-0000-0000AF030000}"/>
    <cellStyle name="40% - Accent6 29" xfId="899" xr:uid="{00000000-0005-0000-0000-0000B0030000}"/>
    <cellStyle name="40% - Accent6 3" xfId="900" xr:uid="{00000000-0005-0000-0000-0000B1030000}"/>
    <cellStyle name="40% - Accent6 3 2" xfId="901" xr:uid="{00000000-0005-0000-0000-0000B2030000}"/>
    <cellStyle name="40% - Accent6 3 3" xfId="902" xr:uid="{00000000-0005-0000-0000-0000B3030000}"/>
    <cellStyle name="40% - Accent6 3 4" xfId="903" xr:uid="{00000000-0005-0000-0000-0000B4030000}"/>
    <cellStyle name="40% - Accent6 3 5" xfId="904" xr:uid="{00000000-0005-0000-0000-0000B5030000}"/>
    <cellStyle name="40% - Accent6 30" xfId="905" xr:uid="{00000000-0005-0000-0000-0000B6030000}"/>
    <cellStyle name="40% - Accent6 31" xfId="906" xr:uid="{00000000-0005-0000-0000-0000B7030000}"/>
    <cellStyle name="40% - Accent6 32" xfId="907" xr:uid="{00000000-0005-0000-0000-0000B8030000}"/>
    <cellStyle name="40% - Accent6 33" xfId="908" xr:uid="{00000000-0005-0000-0000-0000B9030000}"/>
    <cellStyle name="40% - Accent6 34" xfId="909" xr:uid="{00000000-0005-0000-0000-0000BA030000}"/>
    <cellStyle name="40% - Accent6 35" xfId="910" xr:uid="{00000000-0005-0000-0000-0000BB030000}"/>
    <cellStyle name="40% - Accent6 36" xfId="911" xr:uid="{00000000-0005-0000-0000-0000BC030000}"/>
    <cellStyle name="40% - Accent6 37" xfId="912" xr:uid="{00000000-0005-0000-0000-0000BD030000}"/>
    <cellStyle name="40% - Accent6 38" xfId="913" xr:uid="{00000000-0005-0000-0000-0000BE030000}"/>
    <cellStyle name="40% - Accent6 39" xfId="914" xr:uid="{00000000-0005-0000-0000-0000BF030000}"/>
    <cellStyle name="40% - Accent6 4" xfId="915" xr:uid="{00000000-0005-0000-0000-0000C0030000}"/>
    <cellStyle name="40% - Accent6 4 2" xfId="916" xr:uid="{00000000-0005-0000-0000-0000C1030000}"/>
    <cellStyle name="40% - Accent6 4 2 2" xfId="917" xr:uid="{00000000-0005-0000-0000-0000C2030000}"/>
    <cellStyle name="40% - Accent6 4 2 3" xfId="918" xr:uid="{00000000-0005-0000-0000-0000C3030000}"/>
    <cellStyle name="40% - Accent6 4 3" xfId="919" xr:uid="{00000000-0005-0000-0000-0000C4030000}"/>
    <cellStyle name="40% - Accent6 4 4" xfId="920" xr:uid="{00000000-0005-0000-0000-0000C5030000}"/>
    <cellStyle name="40% - Accent6 40" xfId="921" xr:uid="{00000000-0005-0000-0000-0000C6030000}"/>
    <cellStyle name="40% - Accent6 41" xfId="922" xr:uid="{00000000-0005-0000-0000-0000C7030000}"/>
    <cellStyle name="40% - Accent6 42" xfId="923" xr:uid="{00000000-0005-0000-0000-0000C8030000}"/>
    <cellStyle name="40% - Accent6 43" xfId="924" xr:uid="{00000000-0005-0000-0000-0000C9030000}"/>
    <cellStyle name="40% - Accent6 44" xfId="925" xr:uid="{00000000-0005-0000-0000-0000CA030000}"/>
    <cellStyle name="40% - Accent6 5" xfId="926" xr:uid="{00000000-0005-0000-0000-0000CB030000}"/>
    <cellStyle name="40% - Accent6 5 2" xfId="927" xr:uid="{00000000-0005-0000-0000-0000CC030000}"/>
    <cellStyle name="40% - Accent6 5 2 2" xfId="928" xr:uid="{00000000-0005-0000-0000-0000CD030000}"/>
    <cellStyle name="40% - Accent6 5 2 3" xfId="929" xr:uid="{00000000-0005-0000-0000-0000CE030000}"/>
    <cellStyle name="40% - Accent6 5 3" xfId="930" xr:uid="{00000000-0005-0000-0000-0000CF030000}"/>
    <cellStyle name="40% - Accent6 5 4" xfId="931" xr:uid="{00000000-0005-0000-0000-0000D0030000}"/>
    <cellStyle name="40% - Accent6 6" xfId="932" xr:uid="{00000000-0005-0000-0000-0000D1030000}"/>
    <cellStyle name="40% - Accent6 6 2" xfId="933" xr:uid="{00000000-0005-0000-0000-0000D2030000}"/>
    <cellStyle name="40% - Accent6 6 3" xfId="934" xr:uid="{00000000-0005-0000-0000-0000D3030000}"/>
    <cellStyle name="40% - Accent6 6 4" xfId="935" xr:uid="{00000000-0005-0000-0000-0000D4030000}"/>
    <cellStyle name="40% - Accent6 7" xfId="936" xr:uid="{00000000-0005-0000-0000-0000D5030000}"/>
    <cellStyle name="40% - Accent6 7 2" xfId="937" xr:uid="{00000000-0005-0000-0000-0000D6030000}"/>
    <cellStyle name="40% - Accent6 7 3" xfId="938" xr:uid="{00000000-0005-0000-0000-0000D7030000}"/>
    <cellStyle name="40% - Accent6 8" xfId="939" xr:uid="{00000000-0005-0000-0000-0000D8030000}"/>
    <cellStyle name="40% - Accent6 8 2" xfId="940" xr:uid="{00000000-0005-0000-0000-0000D9030000}"/>
    <cellStyle name="40% - Accent6 8 3" xfId="941" xr:uid="{00000000-0005-0000-0000-0000DA030000}"/>
    <cellStyle name="40% - Accent6 9" xfId="942" xr:uid="{00000000-0005-0000-0000-0000DB030000}"/>
    <cellStyle name="40% - Akzent1" xfId="943" xr:uid="{00000000-0005-0000-0000-0000DC030000}"/>
    <cellStyle name="40% - Akzent2" xfId="944" xr:uid="{00000000-0005-0000-0000-0000DD030000}"/>
    <cellStyle name="40% - Akzent3" xfId="945" xr:uid="{00000000-0005-0000-0000-0000DE030000}"/>
    <cellStyle name="40% - Akzent4" xfId="946" xr:uid="{00000000-0005-0000-0000-0000DF030000}"/>
    <cellStyle name="40% - Akzent5" xfId="947" xr:uid="{00000000-0005-0000-0000-0000E0030000}"/>
    <cellStyle name="40% - Akzent6" xfId="948" xr:uid="{00000000-0005-0000-0000-0000E1030000}"/>
    <cellStyle name="5x indented GHG Textfiels" xfId="949" xr:uid="{00000000-0005-0000-0000-0000E2030000}"/>
    <cellStyle name="60% - 1. jelölőszín" xfId="950" xr:uid="{00000000-0005-0000-0000-0000E3030000}"/>
    <cellStyle name="60% - 2. jelölőszín" xfId="951" xr:uid="{00000000-0005-0000-0000-0000E4030000}"/>
    <cellStyle name="60% - 3. jelölőszín" xfId="952" xr:uid="{00000000-0005-0000-0000-0000E5030000}"/>
    <cellStyle name="60% - 4. jelölőszín" xfId="953" xr:uid="{00000000-0005-0000-0000-0000E6030000}"/>
    <cellStyle name="60% - 5. jelölőszín" xfId="954" xr:uid="{00000000-0005-0000-0000-0000E7030000}"/>
    <cellStyle name="60% - 6. jelölőszín" xfId="955" xr:uid="{00000000-0005-0000-0000-0000E8030000}"/>
    <cellStyle name="60% - Accent1 10" xfId="956" xr:uid="{00000000-0005-0000-0000-0000E9030000}"/>
    <cellStyle name="60% - Accent1 11" xfId="957" xr:uid="{00000000-0005-0000-0000-0000EA030000}"/>
    <cellStyle name="60% - Accent1 12" xfId="958" xr:uid="{00000000-0005-0000-0000-0000EB030000}"/>
    <cellStyle name="60% - Accent1 13" xfId="959" xr:uid="{00000000-0005-0000-0000-0000EC030000}"/>
    <cellStyle name="60% - Accent1 14" xfId="960" xr:uid="{00000000-0005-0000-0000-0000ED030000}"/>
    <cellStyle name="60% - Accent1 15" xfId="961" xr:uid="{00000000-0005-0000-0000-0000EE030000}"/>
    <cellStyle name="60% - Accent1 16" xfId="962" xr:uid="{00000000-0005-0000-0000-0000EF030000}"/>
    <cellStyle name="60% - Accent1 17" xfId="963" xr:uid="{00000000-0005-0000-0000-0000F0030000}"/>
    <cellStyle name="60% - Accent1 18" xfId="964" xr:uid="{00000000-0005-0000-0000-0000F1030000}"/>
    <cellStyle name="60% - Accent1 19" xfId="965" xr:uid="{00000000-0005-0000-0000-0000F2030000}"/>
    <cellStyle name="60% - Accent1 2" xfId="966" xr:uid="{00000000-0005-0000-0000-0000F3030000}"/>
    <cellStyle name="60% - Accent1 2 10" xfId="967" xr:uid="{00000000-0005-0000-0000-0000F4030000}"/>
    <cellStyle name="60% - Accent1 2 11" xfId="968" xr:uid="{00000000-0005-0000-0000-0000F5030000}"/>
    <cellStyle name="60% - Accent1 2 2" xfId="969" xr:uid="{00000000-0005-0000-0000-0000F6030000}"/>
    <cellStyle name="60% - Accent1 2 2 2" xfId="970" xr:uid="{00000000-0005-0000-0000-0000F7030000}"/>
    <cellStyle name="60% - Accent1 2 2 2 2" xfId="971" xr:uid="{00000000-0005-0000-0000-0000F8030000}"/>
    <cellStyle name="60% - Accent1 2 2 3" xfId="972" xr:uid="{00000000-0005-0000-0000-0000F9030000}"/>
    <cellStyle name="60% - Accent1 2 3" xfId="973" xr:uid="{00000000-0005-0000-0000-0000FA030000}"/>
    <cellStyle name="60% - Accent1 2 4" xfId="974" xr:uid="{00000000-0005-0000-0000-0000FB030000}"/>
    <cellStyle name="60% - Accent1 2 5" xfId="975" xr:uid="{00000000-0005-0000-0000-0000FC030000}"/>
    <cellStyle name="60% - Accent1 2 6" xfId="976" xr:uid="{00000000-0005-0000-0000-0000FD030000}"/>
    <cellStyle name="60% - Accent1 2 7" xfId="977" xr:uid="{00000000-0005-0000-0000-0000FE030000}"/>
    <cellStyle name="60% - Accent1 2 8" xfId="978" xr:uid="{00000000-0005-0000-0000-0000FF030000}"/>
    <cellStyle name="60% - Accent1 2 9" xfId="979" xr:uid="{00000000-0005-0000-0000-000000040000}"/>
    <cellStyle name="60% - Accent1 20" xfId="980" xr:uid="{00000000-0005-0000-0000-000001040000}"/>
    <cellStyle name="60% - Accent1 21" xfId="981" xr:uid="{00000000-0005-0000-0000-000002040000}"/>
    <cellStyle name="60% - Accent1 22" xfId="982" xr:uid="{00000000-0005-0000-0000-000003040000}"/>
    <cellStyle name="60% - Accent1 23" xfId="983" xr:uid="{00000000-0005-0000-0000-000004040000}"/>
    <cellStyle name="60% - Accent1 24" xfId="984" xr:uid="{00000000-0005-0000-0000-000005040000}"/>
    <cellStyle name="60% - Accent1 25" xfId="985" xr:uid="{00000000-0005-0000-0000-000006040000}"/>
    <cellStyle name="60% - Accent1 26" xfId="986" xr:uid="{00000000-0005-0000-0000-000007040000}"/>
    <cellStyle name="60% - Accent1 27" xfId="987" xr:uid="{00000000-0005-0000-0000-000008040000}"/>
    <cellStyle name="60% - Accent1 28" xfId="988" xr:uid="{00000000-0005-0000-0000-000009040000}"/>
    <cellStyle name="60% - Accent1 29" xfId="989" xr:uid="{00000000-0005-0000-0000-00000A040000}"/>
    <cellStyle name="60% - Accent1 3" xfId="990" xr:uid="{00000000-0005-0000-0000-00000B040000}"/>
    <cellStyle name="60% - Accent1 3 2" xfId="991" xr:uid="{00000000-0005-0000-0000-00000C040000}"/>
    <cellStyle name="60% - Accent1 3 3" xfId="992" xr:uid="{00000000-0005-0000-0000-00000D040000}"/>
    <cellStyle name="60% - Accent1 3 4" xfId="993" xr:uid="{00000000-0005-0000-0000-00000E040000}"/>
    <cellStyle name="60% - Accent1 3 5" xfId="994" xr:uid="{00000000-0005-0000-0000-00000F040000}"/>
    <cellStyle name="60% - Accent1 30" xfId="995" xr:uid="{00000000-0005-0000-0000-000010040000}"/>
    <cellStyle name="60% - Accent1 31" xfId="996" xr:uid="{00000000-0005-0000-0000-000011040000}"/>
    <cellStyle name="60% - Accent1 32" xfId="997" xr:uid="{00000000-0005-0000-0000-000012040000}"/>
    <cellStyle name="60% - Accent1 33" xfId="998" xr:uid="{00000000-0005-0000-0000-000013040000}"/>
    <cellStyle name="60% - Accent1 34" xfId="999" xr:uid="{00000000-0005-0000-0000-000014040000}"/>
    <cellStyle name="60% - Accent1 35" xfId="1000" xr:uid="{00000000-0005-0000-0000-000015040000}"/>
    <cellStyle name="60% - Accent1 36" xfId="1001" xr:uid="{00000000-0005-0000-0000-000016040000}"/>
    <cellStyle name="60% - Accent1 37" xfId="1002" xr:uid="{00000000-0005-0000-0000-000017040000}"/>
    <cellStyle name="60% - Accent1 38" xfId="1003" xr:uid="{00000000-0005-0000-0000-000018040000}"/>
    <cellStyle name="60% - Accent1 39" xfId="1004" xr:uid="{00000000-0005-0000-0000-000019040000}"/>
    <cellStyle name="60% - Accent1 4" xfId="1005" xr:uid="{00000000-0005-0000-0000-00001A040000}"/>
    <cellStyle name="60% - Accent1 40" xfId="1006" xr:uid="{00000000-0005-0000-0000-00001B040000}"/>
    <cellStyle name="60% - Accent1 41" xfId="1007" xr:uid="{00000000-0005-0000-0000-00001C040000}"/>
    <cellStyle name="60% - Accent1 42" xfId="1008" xr:uid="{00000000-0005-0000-0000-00001D040000}"/>
    <cellStyle name="60% - Accent1 43" xfId="1009" xr:uid="{00000000-0005-0000-0000-00001E040000}"/>
    <cellStyle name="60% - Accent1 5" xfId="1010" xr:uid="{00000000-0005-0000-0000-00001F040000}"/>
    <cellStyle name="60% - Accent1 6" xfId="1011" xr:uid="{00000000-0005-0000-0000-000020040000}"/>
    <cellStyle name="60% - Accent1 6 2" xfId="1012" xr:uid="{00000000-0005-0000-0000-000021040000}"/>
    <cellStyle name="60% - Accent1 6 3" xfId="1013" xr:uid="{00000000-0005-0000-0000-000022040000}"/>
    <cellStyle name="60% - Accent1 7" xfId="1014" xr:uid="{00000000-0005-0000-0000-000023040000}"/>
    <cellStyle name="60% - Accent1 8" xfId="1015" xr:uid="{00000000-0005-0000-0000-000024040000}"/>
    <cellStyle name="60% - Accent1 9" xfId="1016" xr:uid="{00000000-0005-0000-0000-000025040000}"/>
    <cellStyle name="60% - Accent2 10" xfId="1017" xr:uid="{00000000-0005-0000-0000-000026040000}"/>
    <cellStyle name="60% - Accent2 11" xfId="1018" xr:uid="{00000000-0005-0000-0000-000027040000}"/>
    <cellStyle name="60% - Accent2 12" xfId="1019" xr:uid="{00000000-0005-0000-0000-000028040000}"/>
    <cellStyle name="60% - Accent2 13" xfId="1020" xr:uid="{00000000-0005-0000-0000-000029040000}"/>
    <cellStyle name="60% - Accent2 14" xfId="1021" xr:uid="{00000000-0005-0000-0000-00002A040000}"/>
    <cellStyle name="60% - Accent2 15" xfId="1022" xr:uid="{00000000-0005-0000-0000-00002B040000}"/>
    <cellStyle name="60% - Accent2 16" xfId="1023" xr:uid="{00000000-0005-0000-0000-00002C040000}"/>
    <cellStyle name="60% - Accent2 17" xfId="1024" xr:uid="{00000000-0005-0000-0000-00002D040000}"/>
    <cellStyle name="60% - Accent2 18" xfId="1025" xr:uid="{00000000-0005-0000-0000-00002E040000}"/>
    <cellStyle name="60% - Accent2 19" xfId="1026" xr:uid="{00000000-0005-0000-0000-00002F040000}"/>
    <cellStyle name="60% - Accent2 2" xfId="1027" xr:uid="{00000000-0005-0000-0000-000030040000}"/>
    <cellStyle name="60% - Accent2 2 10" xfId="1028" xr:uid="{00000000-0005-0000-0000-000031040000}"/>
    <cellStyle name="60% - Accent2 2 11" xfId="1029" xr:uid="{00000000-0005-0000-0000-000032040000}"/>
    <cellStyle name="60% - Accent2 2 2" xfId="1030" xr:uid="{00000000-0005-0000-0000-000033040000}"/>
    <cellStyle name="60% - Accent2 2 2 2" xfId="1031" xr:uid="{00000000-0005-0000-0000-000034040000}"/>
    <cellStyle name="60% - Accent2 2 2 2 2" xfId="1032" xr:uid="{00000000-0005-0000-0000-000035040000}"/>
    <cellStyle name="60% - Accent2 2 2 3" xfId="1033" xr:uid="{00000000-0005-0000-0000-000036040000}"/>
    <cellStyle name="60% - Accent2 2 3" xfId="1034" xr:uid="{00000000-0005-0000-0000-000037040000}"/>
    <cellStyle name="60% - Accent2 2 4" xfId="1035" xr:uid="{00000000-0005-0000-0000-000038040000}"/>
    <cellStyle name="60% - Accent2 2 5" xfId="1036" xr:uid="{00000000-0005-0000-0000-000039040000}"/>
    <cellStyle name="60% - Accent2 2 6" xfId="1037" xr:uid="{00000000-0005-0000-0000-00003A040000}"/>
    <cellStyle name="60% - Accent2 2 7" xfId="1038" xr:uid="{00000000-0005-0000-0000-00003B040000}"/>
    <cellStyle name="60% - Accent2 2 8" xfId="1039" xr:uid="{00000000-0005-0000-0000-00003C040000}"/>
    <cellStyle name="60% - Accent2 2 9" xfId="1040" xr:uid="{00000000-0005-0000-0000-00003D040000}"/>
    <cellStyle name="60% - Accent2 20" xfId="1041" xr:uid="{00000000-0005-0000-0000-00003E040000}"/>
    <cellStyle name="60% - Accent2 21" xfId="1042" xr:uid="{00000000-0005-0000-0000-00003F040000}"/>
    <cellStyle name="60% - Accent2 22" xfId="1043" xr:uid="{00000000-0005-0000-0000-000040040000}"/>
    <cellStyle name="60% - Accent2 23" xfId="1044" xr:uid="{00000000-0005-0000-0000-000041040000}"/>
    <cellStyle name="60% - Accent2 24" xfId="1045" xr:uid="{00000000-0005-0000-0000-000042040000}"/>
    <cellStyle name="60% - Accent2 25" xfId="1046" xr:uid="{00000000-0005-0000-0000-000043040000}"/>
    <cellStyle name="60% - Accent2 26" xfId="1047" xr:uid="{00000000-0005-0000-0000-000044040000}"/>
    <cellStyle name="60% - Accent2 27" xfId="1048" xr:uid="{00000000-0005-0000-0000-000045040000}"/>
    <cellStyle name="60% - Accent2 28" xfId="1049" xr:uid="{00000000-0005-0000-0000-000046040000}"/>
    <cellStyle name="60% - Accent2 29" xfId="1050" xr:uid="{00000000-0005-0000-0000-000047040000}"/>
    <cellStyle name="60% - Accent2 3" xfId="1051" xr:uid="{00000000-0005-0000-0000-000048040000}"/>
    <cellStyle name="60% - Accent2 3 2" xfId="1052" xr:uid="{00000000-0005-0000-0000-000049040000}"/>
    <cellStyle name="60% - Accent2 3 3" xfId="1053" xr:uid="{00000000-0005-0000-0000-00004A040000}"/>
    <cellStyle name="60% - Accent2 3 4" xfId="1054" xr:uid="{00000000-0005-0000-0000-00004B040000}"/>
    <cellStyle name="60% - Accent2 3 5" xfId="1055" xr:uid="{00000000-0005-0000-0000-00004C040000}"/>
    <cellStyle name="60% - Accent2 30" xfId="1056" xr:uid="{00000000-0005-0000-0000-00004D040000}"/>
    <cellStyle name="60% - Accent2 31" xfId="1057" xr:uid="{00000000-0005-0000-0000-00004E040000}"/>
    <cellStyle name="60% - Accent2 32" xfId="1058" xr:uid="{00000000-0005-0000-0000-00004F040000}"/>
    <cellStyle name="60% - Accent2 33" xfId="1059" xr:uid="{00000000-0005-0000-0000-000050040000}"/>
    <cellStyle name="60% - Accent2 34" xfId="1060" xr:uid="{00000000-0005-0000-0000-000051040000}"/>
    <cellStyle name="60% - Accent2 35" xfId="1061" xr:uid="{00000000-0005-0000-0000-000052040000}"/>
    <cellStyle name="60% - Accent2 36" xfId="1062" xr:uid="{00000000-0005-0000-0000-000053040000}"/>
    <cellStyle name="60% - Accent2 37" xfId="1063" xr:uid="{00000000-0005-0000-0000-000054040000}"/>
    <cellStyle name="60% - Accent2 38" xfId="1064" xr:uid="{00000000-0005-0000-0000-000055040000}"/>
    <cellStyle name="60% - Accent2 39" xfId="1065" xr:uid="{00000000-0005-0000-0000-000056040000}"/>
    <cellStyle name="60% - Accent2 4" xfId="1066" xr:uid="{00000000-0005-0000-0000-000057040000}"/>
    <cellStyle name="60% - Accent2 40" xfId="1067" xr:uid="{00000000-0005-0000-0000-000058040000}"/>
    <cellStyle name="60% - Accent2 41" xfId="1068" xr:uid="{00000000-0005-0000-0000-000059040000}"/>
    <cellStyle name="60% - Accent2 42" xfId="1069" xr:uid="{00000000-0005-0000-0000-00005A040000}"/>
    <cellStyle name="60% - Accent2 43" xfId="1070" xr:uid="{00000000-0005-0000-0000-00005B040000}"/>
    <cellStyle name="60% - Accent2 5" xfId="1071" xr:uid="{00000000-0005-0000-0000-00005C040000}"/>
    <cellStyle name="60% - Accent2 6" xfId="1072" xr:uid="{00000000-0005-0000-0000-00005D040000}"/>
    <cellStyle name="60% - Accent2 6 2" xfId="1073" xr:uid="{00000000-0005-0000-0000-00005E040000}"/>
    <cellStyle name="60% - Accent2 6 3" xfId="1074" xr:uid="{00000000-0005-0000-0000-00005F040000}"/>
    <cellStyle name="60% - Accent2 7" xfId="1075" xr:uid="{00000000-0005-0000-0000-000060040000}"/>
    <cellStyle name="60% - Accent2 8" xfId="1076" xr:uid="{00000000-0005-0000-0000-000061040000}"/>
    <cellStyle name="60% - Accent2 9" xfId="1077" xr:uid="{00000000-0005-0000-0000-000062040000}"/>
    <cellStyle name="60% - Accent3 10" xfId="1078" xr:uid="{00000000-0005-0000-0000-000063040000}"/>
    <cellStyle name="60% - Accent3 11" xfId="1079" xr:uid="{00000000-0005-0000-0000-000064040000}"/>
    <cellStyle name="60% - Accent3 12" xfId="1080" xr:uid="{00000000-0005-0000-0000-000065040000}"/>
    <cellStyle name="60% - Accent3 13" xfId="1081" xr:uid="{00000000-0005-0000-0000-000066040000}"/>
    <cellStyle name="60% - Accent3 14" xfId="1082" xr:uid="{00000000-0005-0000-0000-000067040000}"/>
    <cellStyle name="60% - Accent3 15" xfId="1083" xr:uid="{00000000-0005-0000-0000-000068040000}"/>
    <cellStyle name="60% - Accent3 16" xfId="1084" xr:uid="{00000000-0005-0000-0000-000069040000}"/>
    <cellStyle name="60% - Accent3 17" xfId="1085" xr:uid="{00000000-0005-0000-0000-00006A040000}"/>
    <cellStyle name="60% - Accent3 18" xfId="1086" xr:uid="{00000000-0005-0000-0000-00006B040000}"/>
    <cellStyle name="60% - Accent3 19" xfId="1087" xr:uid="{00000000-0005-0000-0000-00006C040000}"/>
    <cellStyle name="60% - Accent3 2" xfId="1088" xr:uid="{00000000-0005-0000-0000-00006D040000}"/>
    <cellStyle name="60% - Accent3 2 10" xfId="1089" xr:uid="{00000000-0005-0000-0000-00006E040000}"/>
    <cellStyle name="60% - Accent3 2 11" xfId="1090" xr:uid="{00000000-0005-0000-0000-00006F040000}"/>
    <cellStyle name="60% - Accent3 2 2" xfId="1091" xr:uid="{00000000-0005-0000-0000-000070040000}"/>
    <cellStyle name="60% - Accent3 2 2 2" xfId="1092" xr:uid="{00000000-0005-0000-0000-000071040000}"/>
    <cellStyle name="60% - Accent3 2 2 2 2" xfId="1093" xr:uid="{00000000-0005-0000-0000-000072040000}"/>
    <cellStyle name="60% - Accent3 2 2 3" xfId="1094" xr:uid="{00000000-0005-0000-0000-000073040000}"/>
    <cellStyle name="60% - Accent3 2 3" xfId="1095" xr:uid="{00000000-0005-0000-0000-000074040000}"/>
    <cellStyle name="60% - Accent3 2 4" xfId="1096" xr:uid="{00000000-0005-0000-0000-000075040000}"/>
    <cellStyle name="60% - Accent3 2 5" xfId="1097" xr:uid="{00000000-0005-0000-0000-000076040000}"/>
    <cellStyle name="60% - Accent3 2 6" xfId="1098" xr:uid="{00000000-0005-0000-0000-000077040000}"/>
    <cellStyle name="60% - Accent3 2 7" xfId="1099" xr:uid="{00000000-0005-0000-0000-000078040000}"/>
    <cellStyle name="60% - Accent3 2 8" xfId="1100" xr:uid="{00000000-0005-0000-0000-000079040000}"/>
    <cellStyle name="60% - Accent3 2 9" xfId="1101" xr:uid="{00000000-0005-0000-0000-00007A040000}"/>
    <cellStyle name="60% - Accent3 20" xfId="1102" xr:uid="{00000000-0005-0000-0000-00007B040000}"/>
    <cellStyle name="60% - Accent3 21" xfId="1103" xr:uid="{00000000-0005-0000-0000-00007C040000}"/>
    <cellStyle name="60% - Accent3 22" xfId="1104" xr:uid="{00000000-0005-0000-0000-00007D040000}"/>
    <cellStyle name="60% - Accent3 23" xfId="1105" xr:uid="{00000000-0005-0000-0000-00007E040000}"/>
    <cellStyle name="60% - Accent3 24" xfId="1106" xr:uid="{00000000-0005-0000-0000-00007F040000}"/>
    <cellStyle name="60% - Accent3 25" xfId="1107" xr:uid="{00000000-0005-0000-0000-000080040000}"/>
    <cellStyle name="60% - Accent3 26" xfId="1108" xr:uid="{00000000-0005-0000-0000-000081040000}"/>
    <cellStyle name="60% - Accent3 27" xfId="1109" xr:uid="{00000000-0005-0000-0000-000082040000}"/>
    <cellStyle name="60% - Accent3 28" xfId="1110" xr:uid="{00000000-0005-0000-0000-000083040000}"/>
    <cellStyle name="60% - Accent3 29" xfId="1111" xr:uid="{00000000-0005-0000-0000-000084040000}"/>
    <cellStyle name="60% - Accent3 3" xfId="1112" xr:uid="{00000000-0005-0000-0000-000085040000}"/>
    <cellStyle name="60% - Accent3 3 2" xfId="1113" xr:uid="{00000000-0005-0000-0000-000086040000}"/>
    <cellStyle name="60% - Accent3 3 3" xfId="1114" xr:uid="{00000000-0005-0000-0000-000087040000}"/>
    <cellStyle name="60% - Accent3 3 4" xfId="1115" xr:uid="{00000000-0005-0000-0000-000088040000}"/>
    <cellStyle name="60% - Accent3 3 5" xfId="1116" xr:uid="{00000000-0005-0000-0000-000089040000}"/>
    <cellStyle name="60% - Accent3 30" xfId="1117" xr:uid="{00000000-0005-0000-0000-00008A040000}"/>
    <cellStyle name="60% - Accent3 31" xfId="1118" xr:uid="{00000000-0005-0000-0000-00008B040000}"/>
    <cellStyle name="60% - Accent3 32" xfId="1119" xr:uid="{00000000-0005-0000-0000-00008C040000}"/>
    <cellStyle name="60% - Accent3 33" xfId="1120" xr:uid="{00000000-0005-0000-0000-00008D040000}"/>
    <cellStyle name="60% - Accent3 34" xfId="1121" xr:uid="{00000000-0005-0000-0000-00008E040000}"/>
    <cellStyle name="60% - Accent3 35" xfId="1122" xr:uid="{00000000-0005-0000-0000-00008F040000}"/>
    <cellStyle name="60% - Accent3 36" xfId="1123" xr:uid="{00000000-0005-0000-0000-000090040000}"/>
    <cellStyle name="60% - Accent3 37" xfId="1124" xr:uid="{00000000-0005-0000-0000-000091040000}"/>
    <cellStyle name="60% - Accent3 38" xfId="1125" xr:uid="{00000000-0005-0000-0000-000092040000}"/>
    <cellStyle name="60% - Accent3 39" xfId="1126" xr:uid="{00000000-0005-0000-0000-000093040000}"/>
    <cellStyle name="60% - Accent3 4" xfId="1127" xr:uid="{00000000-0005-0000-0000-000094040000}"/>
    <cellStyle name="60% - Accent3 40" xfId="1128" xr:uid="{00000000-0005-0000-0000-000095040000}"/>
    <cellStyle name="60% - Accent3 41" xfId="1129" xr:uid="{00000000-0005-0000-0000-000096040000}"/>
    <cellStyle name="60% - Accent3 42" xfId="1130" xr:uid="{00000000-0005-0000-0000-000097040000}"/>
    <cellStyle name="60% - Accent3 43" xfId="1131" xr:uid="{00000000-0005-0000-0000-000098040000}"/>
    <cellStyle name="60% - Accent3 5" xfId="1132" xr:uid="{00000000-0005-0000-0000-000099040000}"/>
    <cellStyle name="60% - Accent3 6" xfId="1133" xr:uid="{00000000-0005-0000-0000-00009A040000}"/>
    <cellStyle name="60% - Accent3 6 2" xfId="1134" xr:uid="{00000000-0005-0000-0000-00009B040000}"/>
    <cellStyle name="60% - Accent3 6 3" xfId="1135" xr:uid="{00000000-0005-0000-0000-00009C040000}"/>
    <cellStyle name="60% - Accent3 7" xfId="1136" xr:uid="{00000000-0005-0000-0000-00009D040000}"/>
    <cellStyle name="60% - Accent3 8" xfId="1137" xr:uid="{00000000-0005-0000-0000-00009E040000}"/>
    <cellStyle name="60% - Accent3 9" xfId="1138" xr:uid="{00000000-0005-0000-0000-00009F040000}"/>
    <cellStyle name="60% - Accent4 10" xfId="1139" xr:uid="{00000000-0005-0000-0000-0000A0040000}"/>
    <cellStyle name="60% - Accent4 11" xfId="1140" xr:uid="{00000000-0005-0000-0000-0000A1040000}"/>
    <cellStyle name="60% - Accent4 12" xfId="1141" xr:uid="{00000000-0005-0000-0000-0000A2040000}"/>
    <cellStyle name="60% - Accent4 13" xfId="1142" xr:uid="{00000000-0005-0000-0000-0000A3040000}"/>
    <cellStyle name="60% - Accent4 14" xfId="1143" xr:uid="{00000000-0005-0000-0000-0000A4040000}"/>
    <cellStyle name="60% - Accent4 15" xfId="1144" xr:uid="{00000000-0005-0000-0000-0000A5040000}"/>
    <cellStyle name="60% - Accent4 16" xfId="1145" xr:uid="{00000000-0005-0000-0000-0000A6040000}"/>
    <cellStyle name="60% - Accent4 17" xfId="1146" xr:uid="{00000000-0005-0000-0000-0000A7040000}"/>
    <cellStyle name="60% - Accent4 18" xfId="1147" xr:uid="{00000000-0005-0000-0000-0000A8040000}"/>
    <cellStyle name="60% - Accent4 19" xfId="1148" xr:uid="{00000000-0005-0000-0000-0000A9040000}"/>
    <cellStyle name="60% - Accent4 2" xfId="1149" xr:uid="{00000000-0005-0000-0000-0000AA040000}"/>
    <cellStyle name="60% - Accent4 2 10" xfId="1150" xr:uid="{00000000-0005-0000-0000-0000AB040000}"/>
    <cellStyle name="60% - Accent4 2 11" xfId="1151" xr:uid="{00000000-0005-0000-0000-0000AC040000}"/>
    <cellStyle name="60% - Accent4 2 2" xfId="1152" xr:uid="{00000000-0005-0000-0000-0000AD040000}"/>
    <cellStyle name="60% - Accent4 2 2 2" xfId="1153" xr:uid="{00000000-0005-0000-0000-0000AE040000}"/>
    <cellStyle name="60% - Accent4 2 2 2 2" xfId="1154" xr:uid="{00000000-0005-0000-0000-0000AF040000}"/>
    <cellStyle name="60% - Accent4 2 2 3" xfId="1155" xr:uid="{00000000-0005-0000-0000-0000B0040000}"/>
    <cellStyle name="60% - Accent4 2 3" xfId="1156" xr:uid="{00000000-0005-0000-0000-0000B1040000}"/>
    <cellStyle name="60% - Accent4 2 4" xfId="1157" xr:uid="{00000000-0005-0000-0000-0000B2040000}"/>
    <cellStyle name="60% - Accent4 2 5" xfId="1158" xr:uid="{00000000-0005-0000-0000-0000B3040000}"/>
    <cellStyle name="60% - Accent4 2 6" xfId="1159" xr:uid="{00000000-0005-0000-0000-0000B4040000}"/>
    <cellStyle name="60% - Accent4 2 7" xfId="1160" xr:uid="{00000000-0005-0000-0000-0000B5040000}"/>
    <cellStyle name="60% - Accent4 2 8" xfId="1161" xr:uid="{00000000-0005-0000-0000-0000B6040000}"/>
    <cellStyle name="60% - Accent4 2 9" xfId="1162" xr:uid="{00000000-0005-0000-0000-0000B7040000}"/>
    <cellStyle name="60% - Accent4 20" xfId="1163" xr:uid="{00000000-0005-0000-0000-0000B8040000}"/>
    <cellStyle name="60% - Accent4 21" xfId="1164" xr:uid="{00000000-0005-0000-0000-0000B9040000}"/>
    <cellStyle name="60% - Accent4 22" xfId="1165" xr:uid="{00000000-0005-0000-0000-0000BA040000}"/>
    <cellStyle name="60% - Accent4 23" xfId="1166" xr:uid="{00000000-0005-0000-0000-0000BB040000}"/>
    <cellStyle name="60% - Accent4 24" xfId="1167" xr:uid="{00000000-0005-0000-0000-0000BC040000}"/>
    <cellStyle name="60% - Accent4 25" xfId="1168" xr:uid="{00000000-0005-0000-0000-0000BD040000}"/>
    <cellStyle name="60% - Accent4 26" xfId="1169" xr:uid="{00000000-0005-0000-0000-0000BE040000}"/>
    <cellStyle name="60% - Accent4 27" xfId="1170" xr:uid="{00000000-0005-0000-0000-0000BF040000}"/>
    <cellStyle name="60% - Accent4 28" xfId="1171" xr:uid="{00000000-0005-0000-0000-0000C0040000}"/>
    <cellStyle name="60% - Accent4 29" xfId="1172" xr:uid="{00000000-0005-0000-0000-0000C1040000}"/>
    <cellStyle name="60% - Accent4 3" xfId="1173" xr:uid="{00000000-0005-0000-0000-0000C2040000}"/>
    <cellStyle name="60% - Accent4 3 2" xfId="1174" xr:uid="{00000000-0005-0000-0000-0000C3040000}"/>
    <cellStyle name="60% - Accent4 3 3" xfId="1175" xr:uid="{00000000-0005-0000-0000-0000C4040000}"/>
    <cellStyle name="60% - Accent4 3 4" xfId="1176" xr:uid="{00000000-0005-0000-0000-0000C5040000}"/>
    <cellStyle name="60% - Accent4 3 5" xfId="1177" xr:uid="{00000000-0005-0000-0000-0000C6040000}"/>
    <cellStyle name="60% - Accent4 30" xfId="1178" xr:uid="{00000000-0005-0000-0000-0000C7040000}"/>
    <cellStyle name="60% - Accent4 31" xfId="1179" xr:uid="{00000000-0005-0000-0000-0000C8040000}"/>
    <cellStyle name="60% - Accent4 32" xfId="1180" xr:uid="{00000000-0005-0000-0000-0000C9040000}"/>
    <cellStyle name="60% - Accent4 33" xfId="1181" xr:uid="{00000000-0005-0000-0000-0000CA040000}"/>
    <cellStyle name="60% - Accent4 34" xfId="1182" xr:uid="{00000000-0005-0000-0000-0000CB040000}"/>
    <cellStyle name="60% - Accent4 35" xfId="1183" xr:uid="{00000000-0005-0000-0000-0000CC040000}"/>
    <cellStyle name="60% - Accent4 36" xfId="1184" xr:uid="{00000000-0005-0000-0000-0000CD040000}"/>
    <cellStyle name="60% - Accent4 37" xfId="1185" xr:uid="{00000000-0005-0000-0000-0000CE040000}"/>
    <cellStyle name="60% - Accent4 38" xfId="1186" xr:uid="{00000000-0005-0000-0000-0000CF040000}"/>
    <cellStyle name="60% - Accent4 39" xfId="1187" xr:uid="{00000000-0005-0000-0000-0000D0040000}"/>
    <cellStyle name="60% - Accent4 4" xfId="1188" xr:uid="{00000000-0005-0000-0000-0000D1040000}"/>
    <cellStyle name="60% - Accent4 40" xfId="1189" xr:uid="{00000000-0005-0000-0000-0000D2040000}"/>
    <cellStyle name="60% - Accent4 41" xfId="1190" xr:uid="{00000000-0005-0000-0000-0000D3040000}"/>
    <cellStyle name="60% - Accent4 42" xfId="1191" xr:uid="{00000000-0005-0000-0000-0000D4040000}"/>
    <cellStyle name="60% - Accent4 43" xfId="1192" xr:uid="{00000000-0005-0000-0000-0000D5040000}"/>
    <cellStyle name="60% - Accent4 5" xfId="1193" xr:uid="{00000000-0005-0000-0000-0000D6040000}"/>
    <cellStyle name="60% - Accent4 6" xfId="1194" xr:uid="{00000000-0005-0000-0000-0000D7040000}"/>
    <cellStyle name="60% - Accent4 6 2" xfId="1195" xr:uid="{00000000-0005-0000-0000-0000D8040000}"/>
    <cellStyle name="60% - Accent4 6 3" xfId="1196" xr:uid="{00000000-0005-0000-0000-0000D9040000}"/>
    <cellStyle name="60% - Accent4 7" xfId="1197" xr:uid="{00000000-0005-0000-0000-0000DA040000}"/>
    <cellStyle name="60% - Accent4 8" xfId="1198" xr:uid="{00000000-0005-0000-0000-0000DB040000}"/>
    <cellStyle name="60% - Accent4 9" xfId="1199" xr:uid="{00000000-0005-0000-0000-0000DC040000}"/>
    <cellStyle name="60% - Accent5 10" xfId="1200" xr:uid="{00000000-0005-0000-0000-0000DD040000}"/>
    <cellStyle name="60% - Accent5 11" xfId="1201" xr:uid="{00000000-0005-0000-0000-0000DE040000}"/>
    <cellStyle name="60% - Accent5 12" xfId="1202" xr:uid="{00000000-0005-0000-0000-0000DF040000}"/>
    <cellStyle name="60% - Accent5 13" xfId="1203" xr:uid="{00000000-0005-0000-0000-0000E0040000}"/>
    <cellStyle name="60% - Accent5 14" xfId="1204" xr:uid="{00000000-0005-0000-0000-0000E1040000}"/>
    <cellStyle name="60% - Accent5 15" xfId="1205" xr:uid="{00000000-0005-0000-0000-0000E2040000}"/>
    <cellStyle name="60% - Accent5 16" xfId="1206" xr:uid="{00000000-0005-0000-0000-0000E3040000}"/>
    <cellStyle name="60% - Accent5 17" xfId="1207" xr:uid="{00000000-0005-0000-0000-0000E4040000}"/>
    <cellStyle name="60% - Accent5 18" xfId="1208" xr:uid="{00000000-0005-0000-0000-0000E5040000}"/>
    <cellStyle name="60% - Accent5 19" xfId="1209" xr:uid="{00000000-0005-0000-0000-0000E6040000}"/>
    <cellStyle name="60% - Accent5 2" xfId="1210" xr:uid="{00000000-0005-0000-0000-0000E7040000}"/>
    <cellStyle name="60% - Accent5 2 10" xfId="1211" xr:uid="{00000000-0005-0000-0000-0000E8040000}"/>
    <cellStyle name="60% - Accent5 2 11" xfId="1212" xr:uid="{00000000-0005-0000-0000-0000E9040000}"/>
    <cellStyle name="60% - Accent5 2 2" xfId="1213" xr:uid="{00000000-0005-0000-0000-0000EA040000}"/>
    <cellStyle name="60% - Accent5 2 2 2" xfId="1214" xr:uid="{00000000-0005-0000-0000-0000EB040000}"/>
    <cellStyle name="60% - Accent5 2 2 2 2" xfId="1215" xr:uid="{00000000-0005-0000-0000-0000EC040000}"/>
    <cellStyle name="60% - Accent5 2 2 3" xfId="1216" xr:uid="{00000000-0005-0000-0000-0000ED040000}"/>
    <cellStyle name="60% - Accent5 2 3" xfId="1217" xr:uid="{00000000-0005-0000-0000-0000EE040000}"/>
    <cellStyle name="60% - Accent5 2 4" xfId="1218" xr:uid="{00000000-0005-0000-0000-0000EF040000}"/>
    <cellStyle name="60% - Accent5 2 5" xfId="1219" xr:uid="{00000000-0005-0000-0000-0000F0040000}"/>
    <cellStyle name="60% - Accent5 2 6" xfId="1220" xr:uid="{00000000-0005-0000-0000-0000F1040000}"/>
    <cellStyle name="60% - Accent5 2 7" xfId="1221" xr:uid="{00000000-0005-0000-0000-0000F2040000}"/>
    <cellStyle name="60% - Accent5 2 8" xfId="1222" xr:uid="{00000000-0005-0000-0000-0000F3040000}"/>
    <cellStyle name="60% - Accent5 2 9" xfId="1223" xr:uid="{00000000-0005-0000-0000-0000F4040000}"/>
    <cellStyle name="60% - Accent5 20" xfId="1224" xr:uid="{00000000-0005-0000-0000-0000F5040000}"/>
    <cellStyle name="60% - Accent5 21" xfId="1225" xr:uid="{00000000-0005-0000-0000-0000F6040000}"/>
    <cellStyle name="60% - Accent5 22" xfId="1226" xr:uid="{00000000-0005-0000-0000-0000F7040000}"/>
    <cellStyle name="60% - Accent5 23" xfId="1227" xr:uid="{00000000-0005-0000-0000-0000F8040000}"/>
    <cellStyle name="60% - Accent5 24" xfId="1228" xr:uid="{00000000-0005-0000-0000-0000F9040000}"/>
    <cellStyle name="60% - Accent5 25" xfId="1229" xr:uid="{00000000-0005-0000-0000-0000FA040000}"/>
    <cellStyle name="60% - Accent5 26" xfId="1230" xr:uid="{00000000-0005-0000-0000-0000FB040000}"/>
    <cellStyle name="60% - Accent5 27" xfId="1231" xr:uid="{00000000-0005-0000-0000-0000FC040000}"/>
    <cellStyle name="60% - Accent5 28" xfId="1232" xr:uid="{00000000-0005-0000-0000-0000FD040000}"/>
    <cellStyle name="60% - Accent5 29" xfId="1233" xr:uid="{00000000-0005-0000-0000-0000FE040000}"/>
    <cellStyle name="60% - Accent5 3" xfId="1234" xr:uid="{00000000-0005-0000-0000-0000FF040000}"/>
    <cellStyle name="60% - Accent5 3 2" xfId="1235" xr:uid="{00000000-0005-0000-0000-000000050000}"/>
    <cellStyle name="60% - Accent5 3 3" xfId="1236" xr:uid="{00000000-0005-0000-0000-000001050000}"/>
    <cellStyle name="60% - Accent5 3 4" xfId="1237" xr:uid="{00000000-0005-0000-0000-000002050000}"/>
    <cellStyle name="60% - Accent5 3 5" xfId="1238" xr:uid="{00000000-0005-0000-0000-000003050000}"/>
    <cellStyle name="60% - Accent5 30" xfId="1239" xr:uid="{00000000-0005-0000-0000-000004050000}"/>
    <cellStyle name="60% - Accent5 31" xfId="1240" xr:uid="{00000000-0005-0000-0000-000005050000}"/>
    <cellStyle name="60% - Accent5 32" xfId="1241" xr:uid="{00000000-0005-0000-0000-000006050000}"/>
    <cellStyle name="60% - Accent5 33" xfId="1242" xr:uid="{00000000-0005-0000-0000-000007050000}"/>
    <cellStyle name="60% - Accent5 34" xfId="1243" xr:uid="{00000000-0005-0000-0000-000008050000}"/>
    <cellStyle name="60% - Accent5 35" xfId="1244" xr:uid="{00000000-0005-0000-0000-000009050000}"/>
    <cellStyle name="60% - Accent5 36" xfId="1245" xr:uid="{00000000-0005-0000-0000-00000A050000}"/>
    <cellStyle name="60% - Accent5 37" xfId="1246" xr:uid="{00000000-0005-0000-0000-00000B050000}"/>
    <cellStyle name="60% - Accent5 38" xfId="1247" xr:uid="{00000000-0005-0000-0000-00000C050000}"/>
    <cellStyle name="60% - Accent5 39" xfId="1248" xr:uid="{00000000-0005-0000-0000-00000D050000}"/>
    <cellStyle name="60% - Accent5 4" xfId="1249" xr:uid="{00000000-0005-0000-0000-00000E050000}"/>
    <cellStyle name="60% - Accent5 40" xfId="1250" xr:uid="{00000000-0005-0000-0000-00000F050000}"/>
    <cellStyle name="60% - Accent5 41" xfId="1251" xr:uid="{00000000-0005-0000-0000-000010050000}"/>
    <cellStyle name="60% - Accent5 42" xfId="1252" xr:uid="{00000000-0005-0000-0000-000011050000}"/>
    <cellStyle name="60% - Accent5 43" xfId="1253" xr:uid="{00000000-0005-0000-0000-000012050000}"/>
    <cellStyle name="60% - Accent5 5" xfId="1254" xr:uid="{00000000-0005-0000-0000-000013050000}"/>
    <cellStyle name="60% - Accent5 6" xfId="1255" xr:uid="{00000000-0005-0000-0000-000014050000}"/>
    <cellStyle name="60% - Accent5 6 2" xfId="1256" xr:uid="{00000000-0005-0000-0000-000015050000}"/>
    <cellStyle name="60% - Accent5 6 3" xfId="1257" xr:uid="{00000000-0005-0000-0000-000016050000}"/>
    <cellStyle name="60% - Accent5 7" xfId="1258" xr:uid="{00000000-0005-0000-0000-000017050000}"/>
    <cellStyle name="60% - Accent5 8" xfId="1259" xr:uid="{00000000-0005-0000-0000-000018050000}"/>
    <cellStyle name="60% - Accent5 9" xfId="1260" xr:uid="{00000000-0005-0000-0000-000019050000}"/>
    <cellStyle name="60% - Accent6 10" xfId="1261" xr:uid="{00000000-0005-0000-0000-00001A050000}"/>
    <cellStyle name="60% - Accent6 11" xfId="1262" xr:uid="{00000000-0005-0000-0000-00001B050000}"/>
    <cellStyle name="60% - Accent6 12" xfId="1263" xr:uid="{00000000-0005-0000-0000-00001C050000}"/>
    <cellStyle name="60% - Accent6 13" xfId="1264" xr:uid="{00000000-0005-0000-0000-00001D050000}"/>
    <cellStyle name="60% - Accent6 14" xfId="1265" xr:uid="{00000000-0005-0000-0000-00001E050000}"/>
    <cellStyle name="60% - Accent6 15" xfId="1266" xr:uid="{00000000-0005-0000-0000-00001F050000}"/>
    <cellStyle name="60% - Accent6 16" xfId="1267" xr:uid="{00000000-0005-0000-0000-000020050000}"/>
    <cellStyle name="60% - Accent6 17" xfId="1268" xr:uid="{00000000-0005-0000-0000-000021050000}"/>
    <cellStyle name="60% - Accent6 18" xfId="1269" xr:uid="{00000000-0005-0000-0000-000022050000}"/>
    <cellStyle name="60% - Accent6 19" xfId="1270" xr:uid="{00000000-0005-0000-0000-000023050000}"/>
    <cellStyle name="60% - Accent6 2" xfId="1271" xr:uid="{00000000-0005-0000-0000-000024050000}"/>
    <cellStyle name="60% - Accent6 2 10" xfId="1272" xr:uid="{00000000-0005-0000-0000-000025050000}"/>
    <cellStyle name="60% - Accent6 2 11" xfId="1273" xr:uid="{00000000-0005-0000-0000-000026050000}"/>
    <cellStyle name="60% - Accent6 2 2" xfId="1274" xr:uid="{00000000-0005-0000-0000-000027050000}"/>
    <cellStyle name="60% - Accent6 2 2 2" xfId="1275" xr:uid="{00000000-0005-0000-0000-000028050000}"/>
    <cellStyle name="60% - Accent6 2 2 2 2" xfId="1276" xr:uid="{00000000-0005-0000-0000-000029050000}"/>
    <cellStyle name="60% - Accent6 2 2 3" xfId="1277" xr:uid="{00000000-0005-0000-0000-00002A050000}"/>
    <cellStyle name="60% - Accent6 2 3" xfId="1278" xr:uid="{00000000-0005-0000-0000-00002B050000}"/>
    <cellStyle name="60% - Accent6 2 4" xfId="1279" xr:uid="{00000000-0005-0000-0000-00002C050000}"/>
    <cellStyle name="60% - Accent6 2 5" xfId="1280" xr:uid="{00000000-0005-0000-0000-00002D050000}"/>
    <cellStyle name="60% - Accent6 2 6" xfId="1281" xr:uid="{00000000-0005-0000-0000-00002E050000}"/>
    <cellStyle name="60% - Accent6 2 7" xfId="1282" xr:uid="{00000000-0005-0000-0000-00002F050000}"/>
    <cellStyle name="60% - Accent6 2 8" xfId="1283" xr:uid="{00000000-0005-0000-0000-000030050000}"/>
    <cellStyle name="60% - Accent6 2 9" xfId="1284" xr:uid="{00000000-0005-0000-0000-000031050000}"/>
    <cellStyle name="60% - Accent6 20" xfId="1285" xr:uid="{00000000-0005-0000-0000-000032050000}"/>
    <cellStyle name="60% - Accent6 21" xfId="1286" xr:uid="{00000000-0005-0000-0000-000033050000}"/>
    <cellStyle name="60% - Accent6 22" xfId="1287" xr:uid="{00000000-0005-0000-0000-000034050000}"/>
    <cellStyle name="60% - Accent6 23" xfId="1288" xr:uid="{00000000-0005-0000-0000-000035050000}"/>
    <cellStyle name="60% - Accent6 24" xfId="1289" xr:uid="{00000000-0005-0000-0000-000036050000}"/>
    <cellStyle name="60% - Accent6 25" xfId="1290" xr:uid="{00000000-0005-0000-0000-000037050000}"/>
    <cellStyle name="60% - Accent6 26" xfId="1291" xr:uid="{00000000-0005-0000-0000-000038050000}"/>
    <cellStyle name="60% - Accent6 27" xfId="1292" xr:uid="{00000000-0005-0000-0000-000039050000}"/>
    <cellStyle name="60% - Accent6 28" xfId="1293" xr:uid="{00000000-0005-0000-0000-00003A050000}"/>
    <cellStyle name="60% - Accent6 29" xfId="1294" xr:uid="{00000000-0005-0000-0000-00003B050000}"/>
    <cellStyle name="60% - Accent6 3" xfId="1295" xr:uid="{00000000-0005-0000-0000-00003C050000}"/>
    <cellStyle name="60% - Accent6 3 2" xfId="1296" xr:uid="{00000000-0005-0000-0000-00003D050000}"/>
    <cellStyle name="60% - Accent6 3 3" xfId="1297" xr:uid="{00000000-0005-0000-0000-00003E050000}"/>
    <cellStyle name="60% - Accent6 3 4" xfId="1298" xr:uid="{00000000-0005-0000-0000-00003F050000}"/>
    <cellStyle name="60% - Accent6 3 5" xfId="1299" xr:uid="{00000000-0005-0000-0000-000040050000}"/>
    <cellStyle name="60% - Accent6 30" xfId="1300" xr:uid="{00000000-0005-0000-0000-000041050000}"/>
    <cellStyle name="60% - Accent6 31" xfId="1301" xr:uid="{00000000-0005-0000-0000-000042050000}"/>
    <cellStyle name="60% - Accent6 32" xfId="1302" xr:uid="{00000000-0005-0000-0000-000043050000}"/>
    <cellStyle name="60% - Accent6 33" xfId="1303" xr:uid="{00000000-0005-0000-0000-000044050000}"/>
    <cellStyle name="60% - Accent6 34" xfId="1304" xr:uid="{00000000-0005-0000-0000-000045050000}"/>
    <cellStyle name="60% - Accent6 35" xfId="1305" xr:uid="{00000000-0005-0000-0000-000046050000}"/>
    <cellStyle name="60% - Accent6 36" xfId="1306" xr:uid="{00000000-0005-0000-0000-000047050000}"/>
    <cellStyle name="60% - Accent6 37" xfId="1307" xr:uid="{00000000-0005-0000-0000-000048050000}"/>
    <cellStyle name="60% - Accent6 38" xfId="1308" xr:uid="{00000000-0005-0000-0000-000049050000}"/>
    <cellStyle name="60% - Accent6 39" xfId="1309" xr:uid="{00000000-0005-0000-0000-00004A050000}"/>
    <cellStyle name="60% - Accent6 4" xfId="1310" xr:uid="{00000000-0005-0000-0000-00004B050000}"/>
    <cellStyle name="60% - Accent6 40" xfId="1311" xr:uid="{00000000-0005-0000-0000-00004C050000}"/>
    <cellStyle name="60% - Accent6 41" xfId="1312" xr:uid="{00000000-0005-0000-0000-00004D050000}"/>
    <cellStyle name="60% - Accent6 42" xfId="1313" xr:uid="{00000000-0005-0000-0000-00004E050000}"/>
    <cellStyle name="60% - Accent6 43" xfId="1314" xr:uid="{00000000-0005-0000-0000-00004F050000}"/>
    <cellStyle name="60% - Accent6 5" xfId="1315" xr:uid="{00000000-0005-0000-0000-000050050000}"/>
    <cellStyle name="60% - Accent6 6" xfId="1316" xr:uid="{00000000-0005-0000-0000-000051050000}"/>
    <cellStyle name="60% - Accent6 6 2" xfId="1317" xr:uid="{00000000-0005-0000-0000-000052050000}"/>
    <cellStyle name="60% - Accent6 6 3" xfId="1318" xr:uid="{00000000-0005-0000-0000-000053050000}"/>
    <cellStyle name="60% - Accent6 7" xfId="1319" xr:uid="{00000000-0005-0000-0000-000054050000}"/>
    <cellStyle name="60% - Accent6 8" xfId="1320" xr:uid="{00000000-0005-0000-0000-000055050000}"/>
    <cellStyle name="60% - Accent6 9" xfId="1321" xr:uid="{00000000-0005-0000-0000-000056050000}"/>
    <cellStyle name="60% - Akzent1" xfId="1322" xr:uid="{00000000-0005-0000-0000-000057050000}"/>
    <cellStyle name="60% - Akzent2" xfId="1323" xr:uid="{00000000-0005-0000-0000-000058050000}"/>
    <cellStyle name="60% - Akzent3" xfId="1324" xr:uid="{00000000-0005-0000-0000-000059050000}"/>
    <cellStyle name="60% - Akzent4" xfId="1325" xr:uid="{00000000-0005-0000-0000-00005A050000}"/>
    <cellStyle name="60% - Akzent5" xfId="1326" xr:uid="{00000000-0005-0000-0000-00005B050000}"/>
    <cellStyle name="60% - Akzent6" xfId="1327" xr:uid="{00000000-0005-0000-0000-00005C050000}"/>
    <cellStyle name="60% - Cor4 2" xfId="1328" xr:uid="{00000000-0005-0000-0000-00005D050000}"/>
    <cellStyle name="Accent1" xfId="2" builtinId="29"/>
    <cellStyle name="Accent1 10" xfId="1329" xr:uid="{00000000-0005-0000-0000-00005E050000}"/>
    <cellStyle name="Accent1 11" xfId="1330" xr:uid="{00000000-0005-0000-0000-00005F050000}"/>
    <cellStyle name="Accent1 12" xfId="1331" xr:uid="{00000000-0005-0000-0000-000060050000}"/>
    <cellStyle name="Accent1 13" xfId="1332" xr:uid="{00000000-0005-0000-0000-000061050000}"/>
    <cellStyle name="Accent1 14" xfId="1333" xr:uid="{00000000-0005-0000-0000-000062050000}"/>
    <cellStyle name="Accent1 15" xfId="1334" xr:uid="{00000000-0005-0000-0000-000063050000}"/>
    <cellStyle name="Accent1 16" xfId="1335" xr:uid="{00000000-0005-0000-0000-000064050000}"/>
    <cellStyle name="Accent1 17" xfId="1336" xr:uid="{00000000-0005-0000-0000-000065050000}"/>
    <cellStyle name="Accent1 18" xfId="1337" xr:uid="{00000000-0005-0000-0000-000066050000}"/>
    <cellStyle name="Accent1 19" xfId="1338" xr:uid="{00000000-0005-0000-0000-000067050000}"/>
    <cellStyle name="Accent1 2" xfId="1339" xr:uid="{00000000-0005-0000-0000-000068050000}"/>
    <cellStyle name="Accent1 2 10" xfId="1340" xr:uid="{00000000-0005-0000-0000-000069050000}"/>
    <cellStyle name="Accent1 2 2" xfId="1341" xr:uid="{00000000-0005-0000-0000-00006A050000}"/>
    <cellStyle name="Accent1 2 3" xfId="1342" xr:uid="{00000000-0005-0000-0000-00006B050000}"/>
    <cellStyle name="Accent1 2 4" xfId="1343" xr:uid="{00000000-0005-0000-0000-00006C050000}"/>
    <cellStyle name="Accent1 2 5" xfId="1344" xr:uid="{00000000-0005-0000-0000-00006D050000}"/>
    <cellStyle name="Accent1 2 6" xfId="1345" xr:uid="{00000000-0005-0000-0000-00006E050000}"/>
    <cellStyle name="Accent1 2 7" xfId="1346" xr:uid="{00000000-0005-0000-0000-00006F050000}"/>
    <cellStyle name="Accent1 2 8" xfId="1347" xr:uid="{00000000-0005-0000-0000-000070050000}"/>
    <cellStyle name="Accent1 2 9" xfId="1348" xr:uid="{00000000-0005-0000-0000-000071050000}"/>
    <cellStyle name="Accent1 20" xfId="1349" xr:uid="{00000000-0005-0000-0000-000072050000}"/>
    <cellStyle name="Accent1 21" xfId="1350" xr:uid="{00000000-0005-0000-0000-000073050000}"/>
    <cellStyle name="Accent1 22" xfId="1351" xr:uid="{00000000-0005-0000-0000-000074050000}"/>
    <cellStyle name="Accent1 23" xfId="1352" xr:uid="{00000000-0005-0000-0000-000075050000}"/>
    <cellStyle name="Accent1 24" xfId="1353" xr:uid="{00000000-0005-0000-0000-000076050000}"/>
    <cellStyle name="Accent1 25" xfId="1354" xr:uid="{00000000-0005-0000-0000-000077050000}"/>
    <cellStyle name="Accent1 26" xfId="1355" xr:uid="{00000000-0005-0000-0000-000078050000}"/>
    <cellStyle name="Accent1 27" xfId="1356" xr:uid="{00000000-0005-0000-0000-000079050000}"/>
    <cellStyle name="Accent1 28" xfId="1357" xr:uid="{00000000-0005-0000-0000-00007A050000}"/>
    <cellStyle name="Accent1 29" xfId="1358" xr:uid="{00000000-0005-0000-0000-00007B050000}"/>
    <cellStyle name="Accent1 3" xfId="1359" xr:uid="{00000000-0005-0000-0000-00007C050000}"/>
    <cellStyle name="Accent1 3 2" xfId="1360" xr:uid="{00000000-0005-0000-0000-00007D050000}"/>
    <cellStyle name="Accent1 3 3" xfId="1361" xr:uid="{00000000-0005-0000-0000-00007E050000}"/>
    <cellStyle name="Accent1 3 4" xfId="1362" xr:uid="{00000000-0005-0000-0000-00007F050000}"/>
    <cellStyle name="Accent1 3 5" xfId="1363" xr:uid="{00000000-0005-0000-0000-000080050000}"/>
    <cellStyle name="Accent1 30" xfId="1364" xr:uid="{00000000-0005-0000-0000-000081050000}"/>
    <cellStyle name="Accent1 31" xfId="1365" xr:uid="{00000000-0005-0000-0000-000082050000}"/>
    <cellStyle name="Accent1 32" xfId="1366" xr:uid="{00000000-0005-0000-0000-000083050000}"/>
    <cellStyle name="Accent1 33" xfId="1367" xr:uid="{00000000-0005-0000-0000-000084050000}"/>
    <cellStyle name="Accent1 34" xfId="1368" xr:uid="{00000000-0005-0000-0000-000085050000}"/>
    <cellStyle name="Accent1 35" xfId="1369" xr:uid="{00000000-0005-0000-0000-000086050000}"/>
    <cellStyle name="Accent1 36" xfId="1370" xr:uid="{00000000-0005-0000-0000-000087050000}"/>
    <cellStyle name="Accent1 37" xfId="1371" xr:uid="{00000000-0005-0000-0000-000088050000}"/>
    <cellStyle name="Accent1 38" xfId="1372" xr:uid="{00000000-0005-0000-0000-000089050000}"/>
    <cellStyle name="Accent1 39" xfId="1373" xr:uid="{00000000-0005-0000-0000-00008A050000}"/>
    <cellStyle name="Accent1 4" xfId="1374" xr:uid="{00000000-0005-0000-0000-00008B050000}"/>
    <cellStyle name="Accent1 40" xfId="1375" xr:uid="{00000000-0005-0000-0000-00008C050000}"/>
    <cellStyle name="Accent1 41" xfId="1376" xr:uid="{00000000-0005-0000-0000-00008D050000}"/>
    <cellStyle name="Accent1 42" xfId="1377" xr:uid="{00000000-0005-0000-0000-00008E050000}"/>
    <cellStyle name="Accent1 43" xfId="1378" xr:uid="{00000000-0005-0000-0000-00008F050000}"/>
    <cellStyle name="Accent1 5" xfId="1379" xr:uid="{00000000-0005-0000-0000-000090050000}"/>
    <cellStyle name="Accent1 6" xfId="1380" xr:uid="{00000000-0005-0000-0000-000091050000}"/>
    <cellStyle name="Accent1 7" xfId="1381" xr:uid="{00000000-0005-0000-0000-000092050000}"/>
    <cellStyle name="Accent1 8" xfId="1382" xr:uid="{00000000-0005-0000-0000-000093050000}"/>
    <cellStyle name="Accent1 9" xfId="1383" xr:uid="{00000000-0005-0000-0000-000094050000}"/>
    <cellStyle name="Accent2 10" xfId="1384" xr:uid="{00000000-0005-0000-0000-000095050000}"/>
    <cellStyle name="Accent2 11" xfId="1385" xr:uid="{00000000-0005-0000-0000-000096050000}"/>
    <cellStyle name="Accent2 12" xfId="1386" xr:uid="{00000000-0005-0000-0000-000097050000}"/>
    <cellStyle name="Accent2 13" xfId="1387" xr:uid="{00000000-0005-0000-0000-000098050000}"/>
    <cellStyle name="Accent2 14" xfId="1388" xr:uid="{00000000-0005-0000-0000-000099050000}"/>
    <cellStyle name="Accent2 15" xfId="1389" xr:uid="{00000000-0005-0000-0000-00009A050000}"/>
    <cellStyle name="Accent2 16" xfId="1390" xr:uid="{00000000-0005-0000-0000-00009B050000}"/>
    <cellStyle name="Accent2 17" xfId="1391" xr:uid="{00000000-0005-0000-0000-00009C050000}"/>
    <cellStyle name="Accent2 18" xfId="1392" xr:uid="{00000000-0005-0000-0000-00009D050000}"/>
    <cellStyle name="Accent2 19" xfId="1393" xr:uid="{00000000-0005-0000-0000-00009E050000}"/>
    <cellStyle name="Accent2 2" xfId="1394" xr:uid="{00000000-0005-0000-0000-00009F050000}"/>
    <cellStyle name="Accent2 2 10" xfId="1395" xr:uid="{00000000-0005-0000-0000-0000A0050000}"/>
    <cellStyle name="Accent2 2 2" xfId="1396" xr:uid="{00000000-0005-0000-0000-0000A1050000}"/>
    <cellStyle name="Accent2 2 3" xfId="1397" xr:uid="{00000000-0005-0000-0000-0000A2050000}"/>
    <cellStyle name="Accent2 2 4" xfId="1398" xr:uid="{00000000-0005-0000-0000-0000A3050000}"/>
    <cellStyle name="Accent2 2 5" xfId="1399" xr:uid="{00000000-0005-0000-0000-0000A4050000}"/>
    <cellStyle name="Accent2 2 6" xfId="1400" xr:uid="{00000000-0005-0000-0000-0000A5050000}"/>
    <cellStyle name="Accent2 2 7" xfId="1401" xr:uid="{00000000-0005-0000-0000-0000A6050000}"/>
    <cellStyle name="Accent2 2 8" xfId="1402" xr:uid="{00000000-0005-0000-0000-0000A7050000}"/>
    <cellStyle name="Accent2 2 9" xfId="1403" xr:uid="{00000000-0005-0000-0000-0000A8050000}"/>
    <cellStyle name="Accent2 20" xfId="1404" xr:uid="{00000000-0005-0000-0000-0000A9050000}"/>
    <cellStyle name="Accent2 21" xfId="1405" xr:uid="{00000000-0005-0000-0000-0000AA050000}"/>
    <cellStyle name="Accent2 22" xfId="1406" xr:uid="{00000000-0005-0000-0000-0000AB050000}"/>
    <cellStyle name="Accent2 23" xfId="1407" xr:uid="{00000000-0005-0000-0000-0000AC050000}"/>
    <cellStyle name="Accent2 24" xfId="1408" xr:uid="{00000000-0005-0000-0000-0000AD050000}"/>
    <cellStyle name="Accent2 25" xfId="1409" xr:uid="{00000000-0005-0000-0000-0000AE050000}"/>
    <cellStyle name="Accent2 26" xfId="1410" xr:uid="{00000000-0005-0000-0000-0000AF050000}"/>
    <cellStyle name="Accent2 27" xfId="1411" xr:uid="{00000000-0005-0000-0000-0000B0050000}"/>
    <cellStyle name="Accent2 28" xfId="1412" xr:uid="{00000000-0005-0000-0000-0000B1050000}"/>
    <cellStyle name="Accent2 29" xfId="1413" xr:uid="{00000000-0005-0000-0000-0000B2050000}"/>
    <cellStyle name="Accent2 3" xfId="1414" xr:uid="{00000000-0005-0000-0000-0000B3050000}"/>
    <cellStyle name="Accent2 3 2" xfId="1415" xr:uid="{00000000-0005-0000-0000-0000B4050000}"/>
    <cellStyle name="Accent2 3 3" xfId="1416" xr:uid="{00000000-0005-0000-0000-0000B5050000}"/>
    <cellStyle name="Accent2 3 4" xfId="1417" xr:uid="{00000000-0005-0000-0000-0000B6050000}"/>
    <cellStyle name="Accent2 3 5" xfId="1418" xr:uid="{00000000-0005-0000-0000-0000B7050000}"/>
    <cellStyle name="Accent2 30" xfId="1419" xr:uid="{00000000-0005-0000-0000-0000B8050000}"/>
    <cellStyle name="Accent2 31" xfId="1420" xr:uid="{00000000-0005-0000-0000-0000B9050000}"/>
    <cellStyle name="Accent2 32" xfId="1421" xr:uid="{00000000-0005-0000-0000-0000BA050000}"/>
    <cellStyle name="Accent2 33" xfId="1422" xr:uid="{00000000-0005-0000-0000-0000BB050000}"/>
    <cellStyle name="Accent2 34" xfId="1423" xr:uid="{00000000-0005-0000-0000-0000BC050000}"/>
    <cellStyle name="Accent2 35" xfId="1424" xr:uid="{00000000-0005-0000-0000-0000BD050000}"/>
    <cellStyle name="Accent2 36" xfId="1425" xr:uid="{00000000-0005-0000-0000-0000BE050000}"/>
    <cellStyle name="Accent2 37" xfId="1426" xr:uid="{00000000-0005-0000-0000-0000BF050000}"/>
    <cellStyle name="Accent2 38" xfId="1427" xr:uid="{00000000-0005-0000-0000-0000C0050000}"/>
    <cellStyle name="Accent2 39" xfId="1428" xr:uid="{00000000-0005-0000-0000-0000C1050000}"/>
    <cellStyle name="Accent2 4" xfId="1429" xr:uid="{00000000-0005-0000-0000-0000C2050000}"/>
    <cellStyle name="Accent2 40" xfId="1430" xr:uid="{00000000-0005-0000-0000-0000C3050000}"/>
    <cellStyle name="Accent2 41" xfId="1431" xr:uid="{00000000-0005-0000-0000-0000C4050000}"/>
    <cellStyle name="Accent2 42" xfId="1432" xr:uid="{00000000-0005-0000-0000-0000C5050000}"/>
    <cellStyle name="Accent2 43" xfId="1433" xr:uid="{00000000-0005-0000-0000-0000C6050000}"/>
    <cellStyle name="Accent2 5" xfId="1434" xr:uid="{00000000-0005-0000-0000-0000C7050000}"/>
    <cellStyle name="Accent2 6" xfId="1435" xr:uid="{00000000-0005-0000-0000-0000C8050000}"/>
    <cellStyle name="Accent2 7" xfId="1436" xr:uid="{00000000-0005-0000-0000-0000C9050000}"/>
    <cellStyle name="Accent2 8" xfId="1437" xr:uid="{00000000-0005-0000-0000-0000CA050000}"/>
    <cellStyle name="Accent2 9" xfId="1438" xr:uid="{00000000-0005-0000-0000-0000CB050000}"/>
    <cellStyle name="Accent3 10" xfId="1439" xr:uid="{00000000-0005-0000-0000-0000CC050000}"/>
    <cellStyle name="Accent3 11" xfId="1440" xr:uid="{00000000-0005-0000-0000-0000CD050000}"/>
    <cellStyle name="Accent3 12" xfId="1441" xr:uid="{00000000-0005-0000-0000-0000CE050000}"/>
    <cellStyle name="Accent3 13" xfId="1442" xr:uid="{00000000-0005-0000-0000-0000CF050000}"/>
    <cellStyle name="Accent3 14" xfId="1443" xr:uid="{00000000-0005-0000-0000-0000D0050000}"/>
    <cellStyle name="Accent3 15" xfId="1444" xr:uid="{00000000-0005-0000-0000-0000D1050000}"/>
    <cellStyle name="Accent3 16" xfId="1445" xr:uid="{00000000-0005-0000-0000-0000D2050000}"/>
    <cellStyle name="Accent3 17" xfId="1446" xr:uid="{00000000-0005-0000-0000-0000D3050000}"/>
    <cellStyle name="Accent3 18" xfId="1447" xr:uid="{00000000-0005-0000-0000-0000D4050000}"/>
    <cellStyle name="Accent3 19" xfId="1448" xr:uid="{00000000-0005-0000-0000-0000D5050000}"/>
    <cellStyle name="Accent3 2" xfId="1449" xr:uid="{00000000-0005-0000-0000-0000D6050000}"/>
    <cellStyle name="Accent3 2 10" xfId="1450" xr:uid="{00000000-0005-0000-0000-0000D7050000}"/>
    <cellStyle name="Accent3 2 2" xfId="1451" xr:uid="{00000000-0005-0000-0000-0000D8050000}"/>
    <cellStyle name="Accent3 2 3" xfId="1452" xr:uid="{00000000-0005-0000-0000-0000D9050000}"/>
    <cellStyle name="Accent3 2 4" xfId="1453" xr:uid="{00000000-0005-0000-0000-0000DA050000}"/>
    <cellStyle name="Accent3 2 5" xfId="1454" xr:uid="{00000000-0005-0000-0000-0000DB050000}"/>
    <cellStyle name="Accent3 2 6" xfId="1455" xr:uid="{00000000-0005-0000-0000-0000DC050000}"/>
    <cellStyle name="Accent3 2 7" xfId="1456" xr:uid="{00000000-0005-0000-0000-0000DD050000}"/>
    <cellStyle name="Accent3 2 8" xfId="1457" xr:uid="{00000000-0005-0000-0000-0000DE050000}"/>
    <cellStyle name="Accent3 2 9" xfId="1458" xr:uid="{00000000-0005-0000-0000-0000DF050000}"/>
    <cellStyle name="Accent3 20" xfId="1459" xr:uid="{00000000-0005-0000-0000-0000E0050000}"/>
    <cellStyle name="Accent3 21" xfId="1460" xr:uid="{00000000-0005-0000-0000-0000E1050000}"/>
    <cellStyle name="Accent3 22" xfId="1461" xr:uid="{00000000-0005-0000-0000-0000E2050000}"/>
    <cellStyle name="Accent3 23" xfId="1462" xr:uid="{00000000-0005-0000-0000-0000E3050000}"/>
    <cellStyle name="Accent3 24" xfId="1463" xr:uid="{00000000-0005-0000-0000-0000E4050000}"/>
    <cellStyle name="Accent3 25" xfId="1464" xr:uid="{00000000-0005-0000-0000-0000E5050000}"/>
    <cellStyle name="Accent3 26" xfId="1465" xr:uid="{00000000-0005-0000-0000-0000E6050000}"/>
    <cellStyle name="Accent3 27" xfId="1466" xr:uid="{00000000-0005-0000-0000-0000E7050000}"/>
    <cellStyle name="Accent3 28" xfId="1467" xr:uid="{00000000-0005-0000-0000-0000E8050000}"/>
    <cellStyle name="Accent3 29" xfId="1468" xr:uid="{00000000-0005-0000-0000-0000E9050000}"/>
    <cellStyle name="Accent3 3" xfId="1469" xr:uid="{00000000-0005-0000-0000-0000EA050000}"/>
    <cellStyle name="Accent3 3 2" xfId="1470" xr:uid="{00000000-0005-0000-0000-0000EB050000}"/>
    <cellStyle name="Accent3 3 3" xfId="1471" xr:uid="{00000000-0005-0000-0000-0000EC050000}"/>
    <cellStyle name="Accent3 3 4" xfId="1472" xr:uid="{00000000-0005-0000-0000-0000ED050000}"/>
    <cellStyle name="Accent3 3 5" xfId="1473" xr:uid="{00000000-0005-0000-0000-0000EE050000}"/>
    <cellStyle name="Accent3 30" xfId="1474" xr:uid="{00000000-0005-0000-0000-0000EF050000}"/>
    <cellStyle name="Accent3 31" xfId="1475" xr:uid="{00000000-0005-0000-0000-0000F0050000}"/>
    <cellStyle name="Accent3 32" xfId="1476" xr:uid="{00000000-0005-0000-0000-0000F1050000}"/>
    <cellStyle name="Accent3 33" xfId="1477" xr:uid="{00000000-0005-0000-0000-0000F2050000}"/>
    <cellStyle name="Accent3 34" xfId="1478" xr:uid="{00000000-0005-0000-0000-0000F3050000}"/>
    <cellStyle name="Accent3 35" xfId="1479" xr:uid="{00000000-0005-0000-0000-0000F4050000}"/>
    <cellStyle name="Accent3 36" xfId="1480" xr:uid="{00000000-0005-0000-0000-0000F5050000}"/>
    <cellStyle name="Accent3 37" xfId="1481" xr:uid="{00000000-0005-0000-0000-0000F6050000}"/>
    <cellStyle name="Accent3 38" xfId="1482" xr:uid="{00000000-0005-0000-0000-0000F7050000}"/>
    <cellStyle name="Accent3 39" xfId="1483" xr:uid="{00000000-0005-0000-0000-0000F8050000}"/>
    <cellStyle name="Accent3 4" xfId="1484" xr:uid="{00000000-0005-0000-0000-0000F9050000}"/>
    <cellStyle name="Accent3 40" xfId="1485" xr:uid="{00000000-0005-0000-0000-0000FA050000}"/>
    <cellStyle name="Accent3 41" xfId="1486" xr:uid="{00000000-0005-0000-0000-0000FB050000}"/>
    <cellStyle name="Accent3 42" xfId="1487" xr:uid="{00000000-0005-0000-0000-0000FC050000}"/>
    <cellStyle name="Accent3 43" xfId="1488" xr:uid="{00000000-0005-0000-0000-0000FD050000}"/>
    <cellStyle name="Accent3 5" xfId="1489" xr:uid="{00000000-0005-0000-0000-0000FE050000}"/>
    <cellStyle name="Accent3 6" xfId="1490" xr:uid="{00000000-0005-0000-0000-0000FF050000}"/>
    <cellStyle name="Accent3 7" xfId="1491" xr:uid="{00000000-0005-0000-0000-000000060000}"/>
    <cellStyle name="Accent3 8" xfId="1492" xr:uid="{00000000-0005-0000-0000-000001060000}"/>
    <cellStyle name="Accent3 9" xfId="1493" xr:uid="{00000000-0005-0000-0000-000002060000}"/>
    <cellStyle name="Accent4 10" xfId="1494" xr:uid="{00000000-0005-0000-0000-000003060000}"/>
    <cellStyle name="Accent4 11" xfId="1495" xr:uid="{00000000-0005-0000-0000-000004060000}"/>
    <cellStyle name="Accent4 12" xfId="1496" xr:uid="{00000000-0005-0000-0000-000005060000}"/>
    <cellStyle name="Accent4 13" xfId="1497" xr:uid="{00000000-0005-0000-0000-000006060000}"/>
    <cellStyle name="Accent4 14" xfId="1498" xr:uid="{00000000-0005-0000-0000-000007060000}"/>
    <cellStyle name="Accent4 15" xfId="1499" xr:uid="{00000000-0005-0000-0000-000008060000}"/>
    <cellStyle name="Accent4 16" xfId="1500" xr:uid="{00000000-0005-0000-0000-000009060000}"/>
    <cellStyle name="Accent4 17" xfId="1501" xr:uid="{00000000-0005-0000-0000-00000A060000}"/>
    <cellStyle name="Accent4 18" xfId="1502" xr:uid="{00000000-0005-0000-0000-00000B060000}"/>
    <cellStyle name="Accent4 19" xfId="1503" xr:uid="{00000000-0005-0000-0000-00000C060000}"/>
    <cellStyle name="Accent4 2" xfId="1504" xr:uid="{00000000-0005-0000-0000-00000D060000}"/>
    <cellStyle name="Accent4 2 10" xfId="1505" xr:uid="{00000000-0005-0000-0000-00000E060000}"/>
    <cellStyle name="Accent4 2 2" xfId="1506" xr:uid="{00000000-0005-0000-0000-00000F060000}"/>
    <cellStyle name="Accent4 2 3" xfId="1507" xr:uid="{00000000-0005-0000-0000-000010060000}"/>
    <cellStyle name="Accent4 2 4" xfId="1508" xr:uid="{00000000-0005-0000-0000-000011060000}"/>
    <cellStyle name="Accent4 2 5" xfId="1509" xr:uid="{00000000-0005-0000-0000-000012060000}"/>
    <cellStyle name="Accent4 2 6" xfId="1510" xr:uid="{00000000-0005-0000-0000-000013060000}"/>
    <cellStyle name="Accent4 2 7" xfId="1511" xr:uid="{00000000-0005-0000-0000-000014060000}"/>
    <cellStyle name="Accent4 2 8" xfId="1512" xr:uid="{00000000-0005-0000-0000-000015060000}"/>
    <cellStyle name="Accent4 2 9" xfId="1513" xr:uid="{00000000-0005-0000-0000-000016060000}"/>
    <cellStyle name="Accent4 20" xfId="1514" xr:uid="{00000000-0005-0000-0000-000017060000}"/>
    <cellStyle name="Accent4 21" xfId="1515" xr:uid="{00000000-0005-0000-0000-000018060000}"/>
    <cellStyle name="Accent4 22" xfId="1516" xr:uid="{00000000-0005-0000-0000-000019060000}"/>
    <cellStyle name="Accent4 23" xfId="1517" xr:uid="{00000000-0005-0000-0000-00001A060000}"/>
    <cellStyle name="Accent4 24" xfId="1518" xr:uid="{00000000-0005-0000-0000-00001B060000}"/>
    <cellStyle name="Accent4 25" xfId="1519" xr:uid="{00000000-0005-0000-0000-00001C060000}"/>
    <cellStyle name="Accent4 26" xfId="1520" xr:uid="{00000000-0005-0000-0000-00001D060000}"/>
    <cellStyle name="Accent4 27" xfId="1521" xr:uid="{00000000-0005-0000-0000-00001E060000}"/>
    <cellStyle name="Accent4 28" xfId="1522" xr:uid="{00000000-0005-0000-0000-00001F060000}"/>
    <cellStyle name="Accent4 29" xfId="1523" xr:uid="{00000000-0005-0000-0000-000020060000}"/>
    <cellStyle name="Accent4 3" xfId="1524" xr:uid="{00000000-0005-0000-0000-000021060000}"/>
    <cellStyle name="Accent4 3 2" xfId="1525" xr:uid="{00000000-0005-0000-0000-000022060000}"/>
    <cellStyle name="Accent4 3 3" xfId="1526" xr:uid="{00000000-0005-0000-0000-000023060000}"/>
    <cellStyle name="Accent4 3 4" xfId="1527" xr:uid="{00000000-0005-0000-0000-000024060000}"/>
    <cellStyle name="Accent4 3 5" xfId="1528" xr:uid="{00000000-0005-0000-0000-000025060000}"/>
    <cellStyle name="Accent4 30" xfId="1529" xr:uid="{00000000-0005-0000-0000-000026060000}"/>
    <cellStyle name="Accent4 31" xfId="1530" xr:uid="{00000000-0005-0000-0000-000027060000}"/>
    <cellStyle name="Accent4 32" xfId="1531" xr:uid="{00000000-0005-0000-0000-000028060000}"/>
    <cellStyle name="Accent4 33" xfId="1532" xr:uid="{00000000-0005-0000-0000-000029060000}"/>
    <cellStyle name="Accent4 34" xfId="1533" xr:uid="{00000000-0005-0000-0000-00002A060000}"/>
    <cellStyle name="Accent4 35" xfId="1534" xr:uid="{00000000-0005-0000-0000-00002B060000}"/>
    <cellStyle name="Accent4 36" xfId="1535" xr:uid="{00000000-0005-0000-0000-00002C060000}"/>
    <cellStyle name="Accent4 37" xfId="1536" xr:uid="{00000000-0005-0000-0000-00002D060000}"/>
    <cellStyle name="Accent4 38" xfId="1537" xr:uid="{00000000-0005-0000-0000-00002E060000}"/>
    <cellStyle name="Accent4 39" xfId="1538" xr:uid="{00000000-0005-0000-0000-00002F060000}"/>
    <cellStyle name="Accent4 4" xfId="1539" xr:uid="{00000000-0005-0000-0000-000030060000}"/>
    <cellStyle name="Accent4 40" xfId="1540" xr:uid="{00000000-0005-0000-0000-000031060000}"/>
    <cellStyle name="Accent4 41" xfId="1541" xr:uid="{00000000-0005-0000-0000-000032060000}"/>
    <cellStyle name="Accent4 42" xfId="1542" xr:uid="{00000000-0005-0000-0000-000033060000}"/>
    <cellStyle name="Accent4 43" xfId="1543" xr:uid="{00000000-0005-0000-0000-000034060000}"/>
    <cellStyle name="Accent4 5" xfId="1544" xr:uid="{00000000-0005-0000-0000-000035060000}"/>
    <cellStyle name="Accent4 6" xfId="1545" xr:uid="{00000000-0005-0000-0000-000036060000}"/>
    <cellStyle name="Accent4 7" xfId="1546" xr:uid="{00000000-0005-0000-0000-000037060000}"/>
    <cellStyle name="Accent4 8" xfId="1547" xr:uid="{00000000-0005-0000-0000-000038060000}"/>
    <cellStyle name="Accent4 9" xfId="1548" xr:uid="{00000000-0005-0000-0000-000039060000}"/>
    <cellStyle name="Accent5 10" xfId="1549" xr:uid="{00000000-0005-0000-0000-00003A060000}"/>
    <cellStyle name="Accent5 11" xfId="1550" xr:uid="{00000000-0005-0000-0000-00003B060000}"/>
    <cellStyle name="Accent5 12" xfId="1551" xr:uid="{00000000-0005-0000-0000-00003C060000}"/>
    <cellStyle name="Accent5 13" xfId="1552" xr:uid="{00000000-0005-0000-0000-00003D060000}"/>
    <cellStyle name="Accent5 14" xfId="1553" xr:uid="{00000000-0005-0000-0000-00003E060000}"/>
    <cellStyle name="Accent5 15" xfId="1554" xr:uid="{00000000-0005-0000-0000-00003F060000}"/>
    <cellStyle name="Accent5 16" xfId="1555" xr:uid="{00000000-0005-0000-0000-000040060000}"/>
    <cellStyle name="Accent5 17" xfId="1556" xr:uid="{00000000-0005-0000-0000-000041060000}"/>
    <cellStyle name="Accent5 18" xfId="1557" xr:uid="{00000000-0005-0000-0000-000042060000}"/>
    <cellStyle name="Accent5 19" xfId="1558" xr:uid="{00000000-0005-0000-0000-000043060000}"/>
    <cellStyle name="Accent5 2" xfId="1559" xr:uid="{00000000-0005-0000-0000-000044060000}"/>
    <cellStyle name="Accent5 2 10" xfId="1560" xr:uid="{00000000-0005-0000-0000-000045060000}"/>
    <cellStyle name="Accent5 2 2" xfId="1561" xr:uid="{00000000-0005-0000-0000-000046060000}"/>
    <cellStyle name="Accent5 2 3" xfId="1562" xr:uid="{00000000-0005-0000-0000-000047060000}"/>
    <cellStyle name="Accent5 2 4" xfId="1563" xr:uid="{00000000-0005-0000-0000-000048060000}"/>
    <cellStyle name="Accent5 2 5" xfId="1564" xr:uid="{00000000-0005-0000-0000-000049060000}"/>
    <cellStyle name="Accent5 2 6" xfId="1565" xr:uid="{00000000-0005-0000-0000-00004A060000}"/>
    <cellStyle name="Accent5 2 7" xfId="1566" xr:uid="{00000000-0005-0000-0000-00004B060000}"/>
    <cellStyle name="Accent5 2 8" xfId="1567" xr:uid="{00000000-0005-0000-0000-00004C060000}"/>
    <cellStyle name="Accent5 2 9" xfId="1568" xr:uid="{00000000-0005-0000-0000-00004D060000}"/>
    <cellStyle name="Accent5 20" xfId="1569" xr:uid="{00000000-0005-0000-0000-00004E060000}"/>
    <cellStyle name="Accent5 21" xfId="1570" xr:uid="{00000000-0005-0000-0000-00004F060000}"/>
    <cellStyle name="Accent5 22" xfId="1571" xr:uid="{00000000-0005-0000-0000-000050060000}"/>
    <cellStyle name="Accent5 23" xfId="1572" xr:uid="{00000000-0005-0000-0000-000051060000}"/>
    <cellStyle name="Accent5 24" xfId="1573" xr:uid="{00000000-0005-0000-0000-000052060000}"/>
    <cellStyle name="Accent5 25" xfId="1574" xr:uid="{00000000-0005-0000-0000-000053060000}"/>
    <cellStyle name="Accent5 26" xfId="1575" xr:uid="{00000000-0005-0000-0000-000054060000}"/>
    <cellStyle name="Accent5 27" xfId="1576" xr:uid="{00000000-0005-0000-0000-000055060000}"/>
    <cellStyle name="Accent5 28" xfId="1577" xr:uid="{00000000-0005-0000-0000-000056060000}"/>
    <cellStyle name="Accent5 29" xfId="1578" xr:uid="{00000000-0005-0000-0000-000057060000}"/>
    <cellStyle name="Accent5 3" xfId="1579" xr:uid="{00000000-0005-0000-0000-000058060000}"/>
    <cellStyle name="Accent5 3 2" xfId="1580" xr:uid="{00000000-0005-0000-0000-000059060000}"/>
    <cellStyle name="Accent5 30" xfId="1581" xr:uid="{00000000-0005-0000-0000-00005A060000}"/>
    <cellStyle name="Accent5 31" xfId="1582" xr:uid="{00000000-0005-0000-0000-00005B060000}"/>
    <cellStyle name="Accent5 32" xfId="1583" xr:uid="{00000000-0005-0000-0000-00005C060000}"/>
    <cellStyle name="Accent5 33" xfId="1584" xr:uid="{00000000-0005-0000-0000-00005D060000}"/>
    <cellStyle name="Accent5 34" xfId="1585" xr:uid="{00000000-0005-0000-0000-00005E060000}"/>
    <cellStyle name="Accent5 35" xfId="1586" xr:uid="{00000000-0005-0000-0000-00005F060000}"/>
    <cellStyle name="Accent5 36" xfId="1587" xr:uid="{00000000-0005-0000-0000-000060060000}"/>
    <cellStyle name="Accent5 37" xfId="1588" xr:uid="{00000000-0005-0000-0000-000061060000}"/>
    <cellStyle name="Accent5 38" xfId="1589" xr:uid="{00000000-0005-0000-0000-000062060000}"/>
    <cellStyle name="Accent5 39" xfId="1590" xr:uid="{00000000-0005-0000-0000-000063060000}"/>
    <cellStyle name="Accent5 4" xfId="1591" xr:uid="{00000000-0005-0000-0000-000064060000}"/>
    <cellStyle name="Accent5 40" xfId="1592" xr:uid="{00000000-0005-0000-0000-000065060000}"/>
    <cellStyle name="Accent5 41" xfId="1593" xr:uid="{00000000-0005-0000-0000-000066060000}"/>
    <cellStyle name="Accent5 42" xfId="1594" xr:uid="{00000000-0005-0000-0000-000067060000}"/>
    <cellStyle name="Accent5 43" xfId="1595" xr:uid="{00000000-0005-0000-0000-000068060000}"/>
    <cellStyle name="Accent5 5" xfId="1596" xr:uid="{00000000-0005-0000-0000-000069060000}"/>
    <cellStyle name="Accent5 6" xfId="1597" xr:uid="{00000000-0005-0000-0000-00006A060000}"/>
    <cellStyle name="Accent5 7" xfId="1598" xr:uid="{00000000-0005-0000-0000-00006B060000}"/>
    <cellStyle name="Accent5 8" xfId="1599" xr:uid="{00000000-0005-0000-0000-00006C060000}"/>
    <cellStyle name="Accent5 9" xfId="1600" xr:uid="{00000000-0005-0000-0000-00006D060000}"/>
    <cellStyle name="Accent6 10" xfId="1601" xr:uid="{00000000-0005-0000-0000-00006E060000}"/>
    <cellStyle name="Accent6 11" xfId="1602" xr:uid="{00000000-0005-0000-0000-00006F060000}"/>
    <cellStyle name="Accent6 12" xfId="1603" xr:uid="{00000000-0005-0000-0000-000070060000}"/>
    <cellStyle name="Accent6 13" xfId="1604" xr:uid="{00000000-0005-0000-0000-000071060000}"/>
    <cellStyle name="Accent6 14" xfId="1605" xr:uid="{00000000-0005-0000-0000-000072060000}"/>
    <cellStyle name="Accent6 15" xfId="1606" xr:uid="{00000000-0005-0000-0000-000073060000}"/>
    <cellStyle name="Accent6 16" xfId="1607" xr:uid="{00000000-0005-0000-0000-000074060000}"/>
    <cellStyle name="Accent6 17" xfId="1608" xr:uid="{00000000-0005-0000-0000-000075060000}"/>
    <cellStyle name="Accent6 18" xfId="1609" xr:uid="{00000000-0005-0000-0000-000076060000}"/>
    <cellStyle name="Accent6 19" xfId="1610" xr:uid="{00000000-0005-0000-0000-000077060000}"/>
    <cellStyle name="Accent6 2" xfId="1611" xr:uid="{00000000-0005-0000-0000-000078060000}"/>
    <cellStyle name="Accent6 2 10" xfId="1612" xr:uid="{00000000-0005-0000-0000-000079060000}"/>
    <cellStyle name="Accent6 2 2" xfId="1613" xr:uid="{00000000-0005-0000-0000-00007A060000}"/>
    <cellStyle name="Accent6 2 3" xfId="1614" xr:uid="{00000000-0005-0000-0000-00007B060000}"/>
    <cellStyle name="Accent6 2 4" xfId="1615" xr:uid="{00000000-0005-0000-0000-00007C060000}"/>
    <cellStyle name="Accent6 2 5" xfId="1616" xr:uid="{00000000-0005-0000-0000-00007D060000}"/>
    <cellStyle name="Accent6 2 6" xfId="1617" xr:uid="{00000000-0005-0000-0000-00007E060000}"/>
    <cellStyle name="Accent6 2 7" xfId="1618" xr:uid="{00000000-0005-0000-0000-00007F060000}"/>
    <cellStyle name="Accent6 2 8" xfId="1619" xr:uid="{00000000-0005-0000-0000-000080060000}"/>
    <cellStyle name="Accent6 2 9" xfId="1620" xr:uid="{00000000-0005-0000-0000-000081060000}"/>
    <cellStyle name="Accent6 20" xfId="1621" xr:uid="{00000000-0005-0000-0000-000082060000}"/>
    <cellStyle name="Accent6 21" xfId="1622" xr:uid="{00000000-0005-0000-0000-000083060000}"/>
    <cellStyle name="Accent6 22" xfId="1623" xr:uid="{00000000-0005-0000-0000-000084060000}"/>
    <cellStyle name="Accent6 23" xfId="1624" xr:uid="{00000000-0005-0000-0000-000085060000}"/>
    <cellStyle name="Accent6 24" xfId="1625" xr:uid="{00000000-0005-0000-0000-000086060000}"/>
    <cellStyle name="Accent6 25" xfId="1626" xr:uid="{00000000-0005-0000-0000-000087060000}"/>
    <cellStyle name="Accent6 26" xfId="1627" xr:uid="{00000000-0005-0000-0000-000088060000}"/>
    <cellStyle name="Accent6 27" xfId="1628" xr:uid="{00000000-0005-0000-0000-000089060000}"/>
    <cellStyle name="Accent6 28" xfId="1629" xr:uid="{00000000-0005-0000-0000-00008A060000}"/>
    <cellStyle name="Accent6 29" xfId="1630" xr:uid="{00000000-0005-0000-0000-00008B060000}"/>
    <cellStyle name="Accent6 3" xfId="1631" xr:uid="{00000000-0005-0000-0000-00008C060000}"/>
    <cellStyle name="Accent6 3 2" xfId="1632" xr:uid="{00000000-0005-0000-0000-00008D060000}"/>
    <cellStyle name="Accent6 3 3" xfId="1633" xr:uid="{00000000-0005-0000-0000-00008E060000}"/>
    <cellStyle name="Accent6 3 4" xfId="1634" xr:uid="{00000000-0005-0000-0000-00008F060000}"/>
    <cellStyle name="Accent6 3 5" xfId="1635" xr:uid="{00000000-0005-0000-0000-000090060000}"/>
    <cellStyle name="Accent6 30" xfId="1636" xr:uid="{00000000-0005-0000-0000-000091060000}"/>
    <cellStyle name="Accent6 31" xfId="1637" xr:uid="{00000000-0005-0000-0000-000092060000}"/>
    <cellStyle name="Accent6 32" xfId="1638" xr:uid="{00000000-0005-0000-0000-000093060000}"/>
    <cellStyle name="Accent6 33" xfId="1639" xr:uid="{00000000-0005-0000-0000-000094060000}"/>
    <cellStyle name="Accent6 34" xfId="1640" xr:uid="{00000000-0005-0000-0000-000095060000}"/>
    <cellStyle name="Accent6 35" xfId="1641" xr:uid="{00000000-0005-0000-0000-000096060000}"/>
    <cellStyle name="Accent6 36" xfId="1642" xr:uid="{00000000-0005-0000-0000-000097060000}"/>
    <cellStyle name="Accent6 37" xfId="1643" xr:uid="{00000000-0005-0000-0000-000098060000}"/>
    <cellStyle name="Accent6 38" xfId="1644" xr:uid="{00000000-0005-0000-0000-000099060000}"/>
    <cellStyle name="Accent6 39" xfId="1645" xr:uid="{00000000-0005-0000-0000-00009A060000}"/>
    <cellStyle name="Accent6 4" xfId="1646" xr:uid="{00000000-0005-0000-0000-00009B060000}"/>
    <cellStyle name="Accent6 40" xfId="1647" xr:uid="{00000000-0005-0000-0000-00009C060000}"/>
    <cellStyle name="Accent6 41" xfId="1648" xr:uid="{00000000-0005-0000-0000-00009D060000}"/>
    <cellStyle name="Accent6 42" xfId="1649" xr:uid="{00000000-0005-0000-0000-00009E060000}"/>
    <cellStyle name="Accent6 43" xfId="1650" xr:uid="{00000000-0005-0000-0000-00009F060000}"/>
    <cellStyle name="Accent6 5" xfId="1651" xr:uid="{00000000-0005-0000-0000-0000A0060000}"/>
    <cellStyle name="Accent6 6" xfId="1652" xr:uid="{00000000-0005-0000-0000-0000A1060000}"/>
    <cellStyle name="Accent6 7" xfId="1653" xr:uid="{00000000-0005-0000-0000-0000A2060000}"/>
    <cellStyle name="Accent6 8" xfId="1654" xr:uid="{00000000-0005-0000-0000-0000A3060000}"/>
    <cellStyle name="Accent6 9" xfId="1655" xr:uid="{00000000-0005-0000-0000-0000A4060000}"/>
    <cellStyle name="AggblueBoldCels" xfId="1656" xr:uid="{00000000-0005-0000-0000-0000A5060000}"/>
    <cellStyle name="AggblueCels" xfId="1657" xr:uid="{00000000-0005-0000-0000-0000A6060000}"/>
    <cellStyle name="AggBoldCells" xfId="1658" xr:uid="{00000000-0005-0000-0000-0000A7060000}"/>
    <cellStyle name="AggCels" xfId="1659" xr:uid="{00000000-0005-0000-0000-0000A8060000}"/>
    <cellStyle name="AggGreen" xfId="1660" xr:uid="{00000000-0005-0000-0000-0000A9060000}"/>
    <cellStyle name="AggGreen12" xfId="1661" xr:uid="{00000000-0005-0000-0000-0000AA060000}"/>
    <cellStyle name="AggOrange" xfId="1662" xr:uid="{00000000-0005-0000-0000-0000AB060000}"/>
    <cellStyle name="AggOrange9" xfId="1663" xr:uid="{00000000-0005-0000-0000-0000AC060000}"/>
    <cellStyle name="AggOrangeLB_2x" xfId="1664" xr:uid="{00000000-0005-0000-0000-0000AD060000}"/>
    <cellStyle name="AggOrangeLBorder" xfId="1665" xr:uid="{00000000-0005-0000-0000-0000AE060000}"/>
    <cellStyle name="AggOrangeRBorder" xfId="1666" xr:uid="{00000000-0005-0000-0000-0000AF060000}"/>
    <cellStyle name="Akzent1" xfId="1667" xr:uid="{00000000-0005-0000-0000-0000B0060000}"/>
    <cellStyle name="Akzent2" xfId="1668" xr:uid="{00000000-0005-0000-0000-0000B1060000}"/>
    <cellStyle name="Akzent3" xfId="1669" xr:uid="{00000000-0005-0000-0000-0000B2060000}"/>
    <cellStyle name="Akzent4" xfId="1670" xr:uid="{00000000-0005-0000-0000-0000B3060000}"/>
    <cellStyle name="Akzent5" xfId="1671" xr:uid="{00000000-0005-0000-0000-0000B4060000}"/>
    <cellStyle name="Akzent6" xfId="1672" xr:uid="{00000000-0005-0000-0000-0000B5060000}"/>
    <cellStyle name="Ausgabe" xfId="1673" xr:uid="{00000000-0005-0000-0000-0000B6060000}"/>
    <cellStyle name="Bad 10" xfId="1674" xr:uid="{00000000-0005-0000-0000-0000B7060000}"/>
    <cellStyle name="Bad 11" xfId="1675" xr:uid="{00000000-0005-0000-0000-0000B8060000}"/>
    <cellStyle name="Bad 12" xfId="1676" xr:uid="{00000000-0005-0000-0000-0000B9060000}"/>
    <cellStyle name="Bad 13" xfId="1677" xr:uid="{00000000-0005-0000-0000-0000BA060000}"/>
    <cellStyle name="Bad 14" xfId="1678" xr:uid="{00000000-0005-0000-0000-0000BB060000}"/>
    <cellStyle name="Bad 15" xfId="1679" xr:uid="{00000000-0005-0000-0000-0000BC060000}"/>
    <cellStyle name="Bad 16" xfId="1680" xr:uid="{00000000-0005-0000-0000-0000BD060000}"/>
    <cellStyle name="Bad 17" xfId="1681" xr:uid="{00000000-0005-0000-0000-0000BE060000}"/>
    <cellStyle name="Bad 18" xfId="1682" xr:uid="{00000000-0005-0000-0000-0000BF060000}"/>
    <cellStyle name="Bad 19" xfId="1683" xr:uid="{00000000-0005-0000-0000-0000C0060000}"/>
    <cellStyle name="Bad 2" xfId="1684" xr:uid="{00000000-0005-0000-0000-0000C1060000}"/>
    <cellStyle name="Bad 2 10" xfId="1685" xr:uid="{00000000-0005-0000-0000-0000C2060000}"/>
    <cellStyle name="Bad 2 2" xfId="1686" xr:uid="{00000000-0005-0000-0000-0000C3060000}"/>
    <cellStyle name="Bad 2 3" xfId="1687" xr:uid="{00000000-0005-0000-0000-0000C4060000}"/>
    <cellStyle name="Bad 2 4" xfId="1688" xr:uid="{00000000-0005-0000-0000-0000C5060000}"/>
    <cellStyle name="Bad 2 5" xfId="1689" xr:uid="{00000000-0005-0000-0000-0000C6060000}"/>
    <cellStyle name="Bad 2 6" xfId="1690" xr:uid="{00000000-0005-0000-0000-0000C7060000}"/>
    <cellStyle name="Bad 2 7" xfId="1691" xr:uid="{00000000-0005-0000-0000-0000C8060000}"/>
    <cellStyle name="Bad 2 8" xfId="1692" xr:uid="{00000000-0005-0000-0000-0000C9060000}"/>
    <cellStyle name="Bad 2 9" xfId="1693" xr:uid="{00000000-0005-0000-0000-0000CA060000}"/>
    <cellStyle name="Bad 20" xfId="1694" xr:uid="{00000000-0005-0000-0000-0000CB060000}"/>
    <cellStyle name="Bad 21" xfId="1695" xr:uid="{00000000-0005-0000-0000-0000CC060000}"/>
    <cellStyle name="Bad 22" xfId="1696" xr:uid="{00000000-0005-0000-0000-0000CD060000}"/>
    <cellStyle name="Bad 23" xfId="1697" xr:uid="{00000000-0005-0000-0000-0000CE060000}"/>
    <cellStyle name="Bad 24" xfId="1698" xr:uid="{00000000-0005-0000-0000-0000CF060000}"/>
    <cellStyle name="Bad 25" xfId="1699" xr:uid="{00000000-0005-0000-0000-0000D0060000}"/>
    <cellStyle name="Bad 26" xfId="1700" xr:uid="{00000000-0005-0000-0000-0000D1060000}"/>
    <cellStyle name="Bad 27" xfId="1701" xr:uid="{00000000-0005-0000-0000-0000D2060000}"/>
    <cellStyle name="Bad 28" xfId="1702" xr:uid="{00000000-0005-0000-0000-0000D3060000}"/>
    <cellStyle name="Bad 29" xfId="1703" xr:uid="{00000000-0005-0000-0000-0000D4060000}"/>
    <cellStyle name="Bad 3" xfId="1704" xr:uid="{00000000-0005-0000-0000-0000D5060000}"/>
    <cellStyle name="Bad 3 2" xfId="1705" xr:uid="{00000000-0005-0000-0000-0000D6060000}"/>
    <cellStyle name="Bad 3 3" xfId="1706" xr:uid="{00000000-0005-0000-0000-0000D7060000}"/>
    <cellStyle name="Bad 3 4" xfId="1707" xr:uid="{00000000-0005-0000-0000-0000D8060000}"/>
    <cellStyle name="Bad 3 5" xfId="1708" xr:uid="{00000000-0005-0000-0000-0000D9060000}"/>
    <cellStyle name="Bad 30" xfId="1709" xr:uid="{00000000-0005-0000-0000-0000DA060000}"/>
    <cellStyle name="Bad 31" xfId="1710" xr:uid="{00000000-0005-0000-0000-0000DB060000}"/>
    <cellStyle name="Bad 32" xfId="1711" xr:uid="{00000000-0005-0000-0000-0000DC060000}"/>
    <cellStyle name="Bad 33" xfId="1712" xr:uid="{00000000-0005-0000-0000-0000DD060000}"/>
    <cellStyle name="Bad 34" xfId="1713" xr:uid="{00000000-0005-0000-0000-0000DE060000}"/>
    <cellStyle name="Bad 35" xfId="1714" xr:uid="{00000000-0005-0000-0000-0000DF060000}"/>
    <cellStyle name="Bad 36" xfId="1715" xr:uid="{00000000-0005-0000-0000-0000E0060000}"/>
    <cellStyle name="Bad 37" xfId="1716" xr:uid="{00000000-0005-0000-0000-0000E1060000}"/>
    <cellStyle name="Bad 38" xfId="1717" xr:uid="{00000000-0005-0000-0000-0000E2060000}"/>
    <cellStyle name="Bad 39" xfId="1718" xr:uid="{00000000-0005-0000-0000-0000E3060000}"/>
    <cellStyle name="Bad 4" xfId="1719" xr:uid="{00000000-0005-0000-0000-0000E4060000}"/>
    <cellStyle name="Bad 40" xfId="1720" xr:uid="{00000000-0005-0000-0000-0000E5060000}"/>
    <cellStyle name="Bad 41" xfId="1721" xr:uid="{00000000-0005-0000-0000-0000E6060000}"/>
    <cellStyle name="Bad 42" xfId="1722" xr:uid="{00000000-0005-0000-0000-0000E7060000}"/>
    <cellStyle name="Bad 43" xfId="1723" xr:uid="{00000000-0005-0000-0000-0000E8060000}"/>
    <cellStyle name="Bad 44" xfId="1724" xr:uid="{00000000-0005-0000-0000-0000E9060000}"/>
    <cellStyle name="Bad 5" xfId="1725" xr:uid="{00000000-0005-0000-0000-0000EA060000}"/>
    <cellStyle name="Bad 6" xfId="1726" xr:uid="{00000000-0005-0000-0000-0000EB060000}"/>
    <cellStyle name="Bad 7" xfId="1727" xr:uid="{00000000-0005-0000-0000-0000EC060000}"/>
    <cellStyle name="Bad 8" xfId="1728" xr:uid="{00000000-0005-0000-0000-0000ED060000}"/>
    <cellStyle name="Bad 9" xfId="1729" xr:uid="{00000000-0005-0000-0000-0000EE060000}"/>
    <cellStyle name="Berechnung" xfId="1730" xr:uid="{00000000-0005-0000-0000-0000EF060000}"/>
    <cellStyle name="Bevitel" xfId="1731" xr:uid="{00000000-0005-0000-0000-0000F0060000}"/>
    <cellStyle name="Bold GHG Numbers (0.00)" xfId="1732" xr:uid="{00000000-0005-0000-0000-0000F1060000}"/>
    <cellStyle name="Calculation 10" xfId="1733" xr:uid="{00000000-0005-0000-0000-0000F2060000}"/>
    <cellStyle name="Calculation 11" xfId="1734" xr:uid="{00000000-0005-0000-0000-0000F3060000}"/>
    <cellStyle name="Calculation 12" xfId="1735" xr:uid="{00000000-0005-0000-0000-0000F4060000}"/>
    <cellStyle name="Calculation 13" xfId="1736" xr:uid="{00000000-0005-0000-0000-0000F5060000}"/>
    <cellStyle name="Calculation 14" xfId="1737" xr:uid="{00000000-0005-0000-0000-0000F6060000}"/>
    <cellStyle name="Calculation 15" xfId="1738" xr:uid="{00000000-0005-0000-0000-0000F7060000}"/>
    <cellStyle name="Calculation 16" xfId="1739" xr:uid="{00000000-0005-0000-0000-0000F8060000}"/>
    <cellStyle name="Calculation 17" xfId="1740" xr:uid="{00000000-0005-0000-0000-0000F9060000}"/>
    <cellStyle name="Calculation 18" xfId="1741" xr:uid="{00000000-0005-0000-0000-0000FA060000}"/>
    <cellStyle name="Calculation 19" xfId="1742" xr:uid="{00000000-0005-0000-0000-0000FB060000}"/>
    <cellStyle name="Calculation 2" xfId="1743" xr:uid="{00000000-0005-0000-0000-0000FC060000}"/>
    <cellStyle name="Calculation 2 10" xfId="1744" xr:uid="{00000000-0005-0000-0000-0000FD060000}"/>
    <cellStyle name="Calculation 2 2" xfId="1745" xr:uid="{00000000-0005-0000-0000-0000FE060000}"/>
    <cellStyle name="Calculation 2 3" xfId="1746" xr:uid="{00000000-0005-0000-0000-0000FF060000}"/>
    <cellStyle name="Calculation 2 4" xfId="1747" xr:uid="{00000000-0005-0000-0000-000000070000}"/>
    <cellStyle name="Calculation 2 5" xfId="1748" xr:uid="{00000000-0005-0000-0000-000001070000}"/>
    <cellStyle name="Calculation 2 6" xfId="1749" xr:uid="{00000000-0005-0000-0000-000002070000}"/>
    <cellStyle name="Calculation 2 7" xfId="1750" xr:uid="{00000000-0005-0000-0000-000003070000}"/>
    <cellStyle name="Calculation 2 8" xfId="1751" xr:uid="{00000000-0005-0000-0000-000004070000}"/>
    <cellStyle name="Calculation 2 9" xfId="1752" xr:uid="{00000000-0005-0000-0000-000005070000}"/>
    <cellStyle name="Calculation 20" xfId="1753" xr:uid="{00000000-0005-0000-0000-000006070000}"/>
    <cellStyle name="Calculation 21" xfId="1754" xr:uid="{00000000-0005-0000-0000-000007070000}"/>
    <cellStyle name="Calculation 22" xfId="1755" xr:uid="{00000000-0005-0000-0000-000008070000}"/>
    <cellStyle name="Calculation 23" xfId="1756" xr:uid="{00000000-0005-0000-0000-000009070000}"/>
    <cellStyle name="Calculation 24" xfId="1757" xr:uid="{00000000-0005-0000-0000-00000A070000}"/>
    <cellStyle name="Calculation 25" xfId="1758" xr:uid="{00000000-0005-0000-0000-00000B070000}"/>
    <cellStyle name="Calculation 26" xfId="1759" xr:uid="{00000000-0005-0000-0000-00000C070000}"/>
    <cellStyle name="Calculation 27" xfId="1760" xr:uid="{00000000-0005-0000-0000-00000D070000}"/>
    <cellStyle name="Calculation 28" xfId="1761" xr:uid="{00000000-0005-0000-0000-00000E070000}"/>
    <cellStyle name="Calculation 29" xfId="1762" xr:uid="{00000000-0005-0000-0000-00000F070000}"/>
    <cellStyle name="Calculation 3" xfId="1763" xr:uid="{00000000-0005-0000-0000-000010070000}"/>
    <cellStyle name="Calculation 3 2" xfId="1764" xr:uid="{00000000-0005-0000-0000-000011070000}"/>
    <cellStyle name="Calculation 3 3" xfId="1765" xr:uid="{00000000-0005-0000-0000-000012070000}"/>
    <cellStyle name="Calculation 3 4" xfId="1766" xr:uid="{00000000-0005-0000-0000-000013070000}"/>
    <cellStyle name="Calculation 3 5" xfId="1767" xr:uid="{00000000-0005-0000-0000-000014070000}"/>
    <cellStyle name="Calculation 30" xfId="1768" xr:uid="{00000000-0005-0000-0000-000015070000}"/>
    <cellStyle name="Calculation 31" xfId="1769" xr:uid="{00000000-0005-0000-0000-000016070000}"/>
    <cellStyle name="Calculation 32" xfId="1770" xr:uid="{00000000-0005-0000-0000-000017070000}"/>
    <cellStyle name="Calculation 33" xfId="1771" xr:uid="{00000000-0005-0000-0000-000018070000}"/>
    <cellStyle name="Calculation 34" xfId="1772" xr:uid="{00000000-0005-0000-0000-000019070000}"/>
    <cellStyle name="Calculation 35" xfId="1773" xr:uid="{00000000-0005-0000-0000-00001A070000}"/>
    <cellStyle name="Calculation 36" xfId="1774" xr:uid="{00000000-0005-0000-0000-00001B070000}"/>
    <cellStyle name="Calculation 37" xfId="1775" xr:uid="{00000000-0005-0000-0000-00001C070000}"/>
    <cellStyle name="Calculation 38" xfId="1776" xr:uid="{00000000-0005-0000-0000-00001D070000}"/>
    <cellStyle name="Calculation 39" xfId="1777" xr:uid="{00000000-0005-0000-0000-00001E070000}"/>
    <cellStyle name="Calculation 4" xfId="1778" xr:uid="{00000000-0005-0000-0000-00001F070000}"/>
    <cellStyle name="Calculation 40" xfId="1779" xr:uid="{00000000-0005-0000-0000-000020070000}"/>
    <cellStyle name="Calculation 41" xfId="1780" xr:uid="{00000000-0005-0000-0000-000021070000}"/>
    <cellStyle name="Calculation 42" xfId="1781" xr:uid="{00000000-0005-0000-0000-000022070000}"/>
    <cellStyle name="Calculation 43" xfId="1782" xr:uid="{00000000-0005-0000-0000-000023070000}"/>
    <cellStyle name="Calculation 5" xfId="1783" xr:uid="{00000000-0005-0000-0000-000024070000}"/>
    <cellStyle name="Calculation 6" xfId="1784" xr:uid="{00000000-0005-0000-0000-000025070000}"/>
    <cellStyle name="Calculation 7" xfId="1785" xr:uid="{00000000-0005-0000-0000-000026070000}"/>
    <cellStyle name="Calculation 8" xfId="1786" xr:uid="{00000000-0005-0000-0000-000027070000}"/>
    <cellStyle name="Calculation 9" xfId="1787" xr:uid="{00000000-0005-0000-0000-000028070000}"/>
    <cellStyle name="Check Cell 10" xfId="1788" xr:uid="{00000000-0005-0000-0000-000029070000}"/>
    <cellStyle name="Check Cell 11" xfId="1789" xr:uid="{00000000-0005-0000-0000-00002A070000}"/>
    <cellStyle name="Check Cell 12" xfId="1790" xr:uid="{00000000-0005-0000-0000-00002B070000}"/>
    <cellStyle name="Check Cell 13" xfId="1791" xr:uid="{00000000-0005-0000-0000-00002C070000}"/>
    <cellStyle name="Check Cell 14" xfId="1792" xr:uid="{00000000-0005-0000-0000-00002D070000}"/>
    <cellStyle name="Check Cell 15" xfId="1793" xr:uid="{00000000-0005-0000-0000-00002E070000}"/>
    <cellStyle name="Check Cell 16" xfId="1794" xr:uid="{00000000-0005-0000-0000-00002F070000}"/>
    <cellStyle name="Check Cell 17" xfId="1795" xr:uid="{00000000-0005-0000-0000-000030070000}"/>
    <cellStyle name="Check Cell 18" xfId="1796" xr:uid="{00000000-0005-0000-0000-000031070000}"/>
    <cellStyle name="Check Cell 19" xfId="1797" xr:uid="{00000000-0005-0000-0000-000032070000}"/>
    <cellStyle name="Check Cell 2" xfId="1798" xr:uid="{00000000-0005-0000-0000-000033070000}"/>
    <cellStyle name="Check Cell 2 10" xfId="1799" xr:uid="{00000000-0005-0000-0000-000034070000}"/>
    <cellStyle name="Check Cell 2 2" xfId="1800" xr:uid="{00000000-0005-0000-0000-000035070000}"/>
    <cellStyle name="Check Cell 2 3" xfId="1801" xr:uid="{00000000-0005-0000-0000-000036070000}"/>
    <cellStyle name="Check Cell 2 4" xfId="1802" xr:uid="{00000000-0005-0000-0000-000037070000}"/>
    <cellStyle name="Check Cell 2 5" xfId="1803" xr:uid="{00000000-0005-0000-0000-000038070000}"/>
    <cellStyle name="Check Cell 2 6" xfId="1804" xr:uid="{00000000-0005-0000-0000-000039070000}"/>
    <cellStyle name="Check Cell 2 7" xfId="1805" xr:uid="{00000000-0005-0000-0000-00003A070000}"/>
    <cellStyle name="Check Cell 2 8" xfId="1806" xr:uid="{00000000-0005-0000-0000-00003B070000}"/>
    <cellStyle name="Check Cell 2 9" xfId="1807" xr:uid="{00000000-0005-0000-0000-00003C070000}"/>
    <cellStyle name="Check Cell 20" xfId="1808" xr:uid="{00000000-0005-0000-0000-00003D070000}"/>
    <cellStyle name="Check Cell 21" xfId="1809" xr:uid="{00000000-0005-0000-0000-00003E070000}"/>
    <cellStyle name="Check Cell 22" xfId="1810" xr:uid="{00000000-0005-0000-0000-00003F070000}"/>
    <cellStyle name="Check Cell 23" xfId="1811" xr:uid="{00000000-0005-0000-0000-000040070000}"/>
    <cellStyle name="Check Cell 24" xfId="1812" xr:uid="{00000000-0005-0000-0000-000041070000}"/>
    <cellStyle name="Check Cell 25" xfId="1813" xr:uid="{00000000-0005-0000-0000-000042070000}"/>
    <cellStyle name="Check Cell 26" xfId="1814" xr:uid="{00000000-0005-0000-0000-000043070000}"/>
    <cellStyle name="Check Cell 27" xfId="1815" xr:uid="{00000000-0005-0000-0000-000044070000}"/>
    <cellStyle name="Check Cell 28" xfId="1816" xr:uid="{00000000-0005-0000-0000-000045070000}"/>
    <cellStyle name="Check Cell 29" xfId="1817" xr:uid="{00000000-0005-0000-0000-000046070000}"/>
    <cellStyle name="Check Cell 3" xfId="1818" xr:uid="{00000000-0005-0000-0000-000047070000}"/>
    <cellStyle name="Check Cell 3 2" xfId="1819" xr:uid="{00000000-0005-0000-0000-000048070000}"/>
    <cellStyle name="Check Cell 30" xfId="1820" xr:uid="{00000000-0005-0000-0000-000049070000}"/>
    <cellStyle name="Check Cell 31" xfId="1821" xr:uid="{00000000-0005-0000-0000-00004A070000}"/>
    <cellStyle name="Check Cell 32" xfId="1822" xr:uid="{00000000-0005-0000-0000-00004B070000}"/>
    <cellStyle name="Check Cell 33" xfId="1823" xr:uid="{00000000-0005-0000-0000-00004C070000}"/>
    <cellStyle name="Check Cell 34" xfId="1824" xr:uid="{00000000-0005-0000-0000-00004D070000}"/>
    <cellStyle name="Check Cell 35" xfId="1825" xr:uid="{00000000-0005-0000-0000-00004E070000}"/>
    <cellStyle name="Check Cell 36" xfId="1826" xr:uid="{00000000-0005-0000-0000-00004F070000}"/>
    <cellStyle name="Check Cell 37" xfId="1827" xr:uid="{00000000-0005-0000-0000-000050070000}"/>
    <cellStyle name="Check Cell 38" xfId="1828" xr:uid="{00000000-0005-0000-0000-000051070000}"/>
    <cellStyle name="Check Cell 39" xfId="1829" xr:uid="{00000000-0005-0000-0000-000052070000}"/>
    <cellStyle name="Check Cell 4" xfId="1830" xr:uid="{00000000-0005-0000-0000-000053070000}"/>
    <cellStyle name="Check Cell 40" xfId="1831" xr:uid="{00000000-0005-0000-0000-000054070000}"/>
    <cellStyle name="Check Cell 41" xfId="1832" xr:uid="{00000000-0005-0000-0000-000055070000}"/>
    <cellStyle name="Check Cell 42" xfId="1833" xr:uid="{00000000-0005-0000-0000-000056070000}"/>
    <cellStyle name="Check Cell 43" xfId="1834" xr:uid="{00000000-0005-0000-0000-000057070000}"/>
    <cellStyle name="Check Cell 5" xfId="1835" xr:uid="{00000000-0005-0000-0000-000058070000}"/>
    <cellStyle name="Check Cell 6" xfId="1836" xr:uid="{00000000-0005-0000-0000-000059070000}"/>
    <cellStyle name="Check Cell 7" xfId="1837" xr:uid="{00000000-0005-0000-0000-00005A070000}"/>
    <cellStyle name="Check Cell 8" xfId="1838" xr:uid="{00000000-0005-0000-0000-00005B070000}"/>
    <cellStyle name="Check Cell 9" xfId="1839" xr:uid="{00000000-0005-0000-0000-00005C070000}"/>
    <cellStyle name="Cím" xfId="1840" xr:uid="{00000000-0005-0000-0000-00005D070000}"/>
    <cellStyle name="Címsor 1" xfId="1841" xr:uid="{00000000-0005-0000-0000-00005E070000}"/>
    <cellStyle name="Címsor 2" xfId="1842" xr:uid="{00000000-0005-0000-0000-00005F070000}"/>
    <cellStyle name="Címsor 3" xfId="1843" xr:uid="{00000000-0005-0000-0000-000060070000}"/>
    <cellStyle name="Címsor 4" xfId="1844" xr:uid="{00000000-0005-0000-0000-000061070000}"/>
    <cellStyle name="coin" xfId="1845" xr:uid="{00000000-0005-0000-0000-000062070000}"/>
    <cellStyle name="Comma [0] 2 10" xfId="1846" xr:uid="{00000000-0005-0000-0000-000063070000}"/>
    <cellStyle name="Comma [0] 2 10 2" xfId="1847" xr:uid="{00000000-0005-0000-0000-000064070000}"/>
    <cellStyle name="Comma [0] 2 10 3" xfId="1848" xr:uid="{00000000-0005-0000-0000-000065070000}"/>
    <cellStyle name="Comma [0] 2 10 4" xfId="1849" xr:uid="{00000000-0005-0000-0000-000066070000}"/>
    <cellStyle name="Comma [0] 2 10 5" xfId="1850" xr:uid="{00000000-0005-0000-0000-000067070000}"/>
    <cellStyle name="Comma [0] 2 2" xfId="1851" xr:uid="{00000000-0005-0000-0000-000068070000}"/>
    <cellStyle name="Comma [0] 2 2 2" xfId="1852" xr:uid="{00000000-0005-0000-0000-000069070000}"/>
    <cellStyle name="Comma [0] 2 2 3" xfId="1853" xr:uid="{00000000-0005-0000-0000-00006A070000}"/>
    <cellStyle name="Comma [0] 2 2 4" xfId="1854" xr:uid="{00000000-0005-0000-0000-00006B070000}"/>
    <cellStyle name="Comma [0] 2 2 5" xfId="1855" xr:uid="{00000000-0005-0000-0000-00006C070000}"/>
    <cellStyle name="Comma [0] 2 3" xfId="1856" xr:uid="{00000000-0005-0000-0000-00006D070000}"/>
    <cellStyle name="Comma [0] 2 3 2" xfId="1857" xr:uid="{00000000-0005-0000-0000-00006E070000}"/>
    <cellStyle name="Comma [0] 2 3 3" xfId="1858" xr:uid="{00000000-0005-0000-0000-00006F070000}"/>
    <cellStyle name="Comma [0] 2 3 4" xfId="1859" xr:uid="{00000000-0005-0000-0000-000070070000}"/>
    <cellStyle name="Comma [0] 2 3 5" xfId="1860" xr:uid="{00000000-0005-0000-0000-000071070000}"/>
    <cellStyle name="Comma [0] 2 4" xfId="1861" xr:uid="{00000000-0005-0000-0000-000072070000}"/>
    <cellStyle name="Comma [0] 2 4 2" xfId="1862" xr:uid="{00000000-0005-0000-0000-000073070000}"/>
    <cellStyle name="Comma [0] 2 4 3" xfId="1863" xr:uid="{00000000-0005-0000-0000-000074070000}"/>
    <cellStyle name="Comma [0] 2 4 4" xfId="1864" xr:uid="{00000000-0005-0000-0000-000075070000}"/>
    <cellStyle name="Comma [0] 2 4 5" xfId="1865" xr:uid="{00000000-0005-0000-0000-000076070000}"/>
    <cellStyle name="Comma [0] 2 5" xfId="1866" xr:uid="{00000000-0005-0000-0000-000077070000}"/>
    <cellStyle name="Comma [0] 2 5 2" xfId="1867" xr:uid="{00000000-0005-0000-0000-000078070000}"/>
    <cellStyle name="Comma [0] 2 5 3" xfId="1868" xr:uid="{00000000-0005-0000-0000-000079070000}"/>
    <cellStyle name="Comma [0] 2 5 4" xfId="1869" xr:uid="{00000000-0005-0000-0000-00007A070000}"/>
    <cellStyle name="Comma [0] 2 5 5" xfId="1870" xr:uid="{00000000-0005-0000-0000-00007B070000}"/>
    <cellStyle name="Comma [0] 2 6" xfId="1871" xr:uid="{00000000-0005-0000-0000-00007C070000}"/>
    <cellStyle name="Comma [0] 2 6 2" xfId="1872" xr:uid="{00000000-0005-0000-0000-00007D070000}"/>
    <cellStyle name="Comma [0] 2 6 3" xfId="1873" xr:uid="{00000000-0005-0000-0000-00007E070000}"/>
    <cellStyle name="Comma [0] 2 6 4" xfId="1874" xr:uid="{00000000-0005-0000-0000-00007F070000}"/>
    <cellStyle name="Comma [0] 2 6 5" xfId="1875" xr:uid="{00000000-0005-0000-0000-000080070000}"/>
    <cellStyle name="Comma [0] 2 7" xfId="1876" xr:uid="{00000000-0005-0000-0000-000081070000}"/>
    <cellStyle name="Comma [0] 2 7 2" xfId="1877" xr:uid="{00000000-0005-0000-0000-000082070000}"/>
    <cellStyle name="Comma [0] 2 7 3" xfId="1878" xr:uid="{00000000-0005-0000-0000-000083070000}"/>
    <cellStyle name="Comma [0] 2 7 4" xfId="1879" xr:uid="{00000000-0005-0000-0000-000084070000}"/>
    <cellStyle name="Comma [0] 2 7 5" xfId="1880" xr:uid="{00000000-0005-0000-0000-000085070000}"/>
    <cellStyle name="Comma [0] 2 8" xfId="1881" xr:uid="{00000000-0005-0000-0000-000086070000}"/>
    <cellStyle name="Comma [0] 2 8 2" xfId="1882" xr:uid="{00000000-0005-0000-0000-000087070000}"/>
    <cellStyle name="Comma [0] 2 8 3" xfId="1883" xr:uid="{00000000-0005-0000-0000-000088070000}"/>
    <cellStyle name="Comma [0] 2 8 4" xfId="1884" xr:uid="{00000000-0005-0000-0000-000089070000}"/>
    <cellStyle name="Comma [0] 2 8 5" xfId="1885" xr:uid="{00000000-0005-0000-0000-00008A070000}"/>
    <cellStyle name="Comma [0] 2 9" xfId="1886" xr:uid="{00000000-0005-0000-0000-00008B070000}"/>
    <cellStyle name="Comma [0] 2 9 2" xfId="1887" xr:uid="{00000000-0005-0000-0000-00008C070000}"/>
    <cellStyle name="Comma [0] 2 9 3" xfId="1888" xr:uid="{00000000-0005-0000-0000-00008D070000}"/>
    <cellStyle name="Comma [0] 2 9 4" xfId="1889" xr:uid="{00000000-0005-0000-0000-00008E070000}"/>
    <cellStyle name="Comma [0] 2 9 5" xfId="1890" xr:uid="{00000000-0005-0000-0000-00008F070000}"/>
    <cellStyle name="Comma 10" xfId="1891" xr:uid="{00000000-0005-0000-0000-000090070000}"/>
    <cellStyle name="Comma 10 10" xfId="1892" xr:uid="{00000000-0005-0000-0000-000091070000}"/>
    <cellStyle name="Comma 10 2" xfId="1893" xr:uid="{00000000-0005-0000-0000-000092070000}"/>
    <cellStyle name="Comma 10 2 10" xfId="1894" xr:uid="{00000000-0005-0000-0000-000093070000}"/>
    <cellStyle name="Comma 10 2 10 2" xfId="1895" xr:uid="{00000000-0005-0000-0000-000094070000}"/>
    <cellStyle name="Comma 10 2 10 3" xfId="1896" xr:uid="{00000000-0005-0000-0000-000095070000}"/>
    <cellStyle name="Comma 10 2 10 4" xfId="1897" xr:uid="{00000000-0005-0000-0000-000096070000}"/>
    <cellStyle name="Comma 10 2 10 5" xfId="1898" xr:uid="{00000000-0005-0000-0000-000097070000}"/>
    <cellStyle name="Comma 10 2 11" xfId="1899" xr:uid="{00000000-0005-0000-0000-000098070000}"/>
    <cellStyle name="Comma 10 2 11 2" xfId="1900" xr:uid="{00000000-0005-0000-0000-000099070000}"/>
    <cellStyle name="Comma 10 2 11 3" xfId="1901" xr:uid="{00000000-0005-0000-0000-00009A070000}"/>
    <cellStyle name="Comma 10 2 11 4" xfId="1902" xr:uid="{00000000-0005-0000-0000-00009B070000}"/>
    <cellStyle name="Comma 10 2 11 5" xfId="1903" xr:uid="{00000000-0005-0000-0000-00009C070000}"/>
    <cellStyle name="Comma 10 2 12" xfId="1904" xr:uid="{00000000-0005-0000-0000-00009D070000}"/>
    <cellStyle name="Comma 10 2 12 2" xfId="1905" xr:uid="{00000000-0005-0000-0000-00009E070000}"/>
    <cellStyle name="Comma 10 2 12 3" xfId="1906" xr:uid="{00000000-0005-0000-0000-00009F070000}"/>
    <cellStyle name="Comma 10 2 12 4" xfId="1907" xr:uid="{00000000-0005-0000-0000-0000A0070000}"/>
    <cellStyle name="Comma 10 2 12 5" xfId="1908" xr:uid="{00000000-0005-0000-0000-0000A1070000}"/>
    <cellStyle name="Comma 10 2 13" xfId="1909" xr:uid="{00000000-0005-0000-0000-0000A2070000}"/>
    <cellStyle name="Comma 10 2 13 2" xfId="1910" xr:uid="{00000000-0005-0000-0000-0000A3070000}"/>
    <cellStyle name="Comma 10 2 13 3" xfId="1911" xr:uid="{00000000-0005-0000-0000-0000A4070000}"/>
    <cellStyle name="Comma 10 2 13 4" xfId="1912" xr:uid="{00000000-0005-0000-0000-0000A5070000}"/>
    <cellStyle name="Comma 10 2 13 5" xfId="1913" xr:uid="{00000000-0005-0000-0000-0000A6070000}"/>
    <cellStyle name="Comma 10 2 14" xfId="1914" xr:uid="{00000000-0005-0000-0000-0000A7070000}"/>
    <cellStyle name="Comma 10 2 14 2" xfId="1915" xr:uid="{00000000-0005-0000-0000-0000A8070000}"/>
    <cellStyle name="Comma 10 2 14 3" xfId="1916" xr:uid="{00000000-0005-0000-0000-0000A9070000}"/>
    <cellStyle name="Comma 10 2 14 4" xfId="1917" xr:uid="{00000000-0005-0000-0000-0000AA070000}"/>
    <cellStyle name="Comma 10 2 14 5" xfId="1918" xr:uid="{00000000-0005-0000-0000-0000AB070000}"/>
    <cellStyle name="Comma 10 2 15" xfId="1919" xr:uid="{00000000-0005-0000-0000-0000AC070000}"/>
    <cellStyle name="Comma 10 2 15 2" xfId="1920" xr:uid="{00000000-0005-0000-0000-0000AD070000}"/>
    <cellStyle name="Comma 10 2 15 3" xfId="1921" xr:uid="{00000000-0005-0000-0000-0000AE070000}"/>
    <cellStyle name="Comma 10 2 15 4" xfId="1922" xr:uid="{00000000-0005-0000-0000-0000AF070000}"/>
    <cellStyle name="Comma 10 2 15 5" xfId="1923" xr:uid="{00000000-0005-0000-0000-0000B0070000}"/>
    <cellStyle name="Comma 10 2 16" xfId="1924" xr:uid="{00000000-0005-0000-0000-0000B1070000}"/>
    <cellStyle name="Comma 10 2 16 2" xfId="1925" xr:uid="{00000000-0005-0000-0000-0000B2070000}"/>
    <cellStyle name="Comma 10 2 16 3" xfId="1926" xr:uid="{00000000-0005-0000-0000-0000B3070000}"/>
    <cellStyle name="Comma 10 2 16 4" xfId="1927" xr:uid="{00000000-0005-0000-0000-0000B4070000}"/>
    <cellStyle name="Comma 10 2 16 5" xfId="1928" xr:uid="{00000000-0005-0000-0000-0000B5070000}"/>
    <cellStyle name="Comma 10 2 17" xfId="1929" xr:uid="{00000000-0005-0000-0000-0000B6070000}"/>
    <cellStyle name="Comma 10 2 17 2" xfId="1930" xr:uid="{00000000-0005-0000-0000-0000B7070000}"/>
    <cellStyle name="Comma 10 2 17 3" xfId="1931" xr:uid="{00000000-0005-0000-0000-0000B8070000}"/>
    <cellStyle name="Comma 10 2 17 4" xfId="1932" xr:uid="{00000000-0005-0000-0000-0000B9070000}"/>
    <cellStyle name="Comma 10 2 17 5" xfId="1933" xr:uid="{00000000-0005-0000-0000-0000BA070000}"/>
    <cellStyle name="Comma 10 2 18" xfId="1934" xr:uid="{00000000-0005-0000-0000-0000BB070000}"/>
    <cellStyle name="Comma 10 2 19" xfId="1935" xr:uid="{00000000-0005-0000-0000-0000BC070000}"/>
    <cellStyle name="Comma 10 2 2" xfId="1936" xr:uid="{00000000-0005-0000-0000-0000BD070000}"/>
    <cellStyle name="Comma 10 2 2 2" xfId="1937" xr:uid="{00000000-0005-0000-0000-0000BE070000}"/>
    <cellStyle name="Comma 10 2 2 3" xfId="1938" xr:uid="{00000000-0005-0000-0000-0000BF070000}"/>
    <cellStyle name="Comma 10 2 2 4" xfId="1939" xr:uid="{00000000-0005-0000-0000-0000C0070000}"/>
    <cellStyle name="Comma 10 2 2 5" xfId="1940" xr:uid="{00000000-0005-0000-0000-0000C1070000}"/>
    <cellStyle name="Comma 10 2 20" xfId="1941" xr:uid="{00000000-0005-0000-0000-0000C2070000}"/>
    <cellStyle name="Comma 10 2 21" xfId="1942" xr:uid="{00000000-0005-0000-0000-0000C3070000}"/>
    <cellStyle name="Comma 10 2 3" xfId="1943" xr:uid="{00000000-0005-0000-0000-0000C4070000}"/>
    <cellStyle name="Comma 10 2 3 2" xfId="1944" xr:uid="{00000000-0005-0000-0000-0000C5070000}"/>
    <cellStyle name="Comma 10 2 3 3" xfId="1945" xr:uid="{00000000-0005-0000-0000-0000C6070000}"/>
    <cellStyle name="Comma 10 2 3 4" xfId="1946" xr:uid="{00000000-0005-0000-0000-0000C7070000}"/>
    <cellStyle name="Comma 10 2 3 5" xfId="1947" xr:uid="{00000000-0005-0000-0000-0000C8070000}"/>
    <cellStyle name="Comma 10 2 4" xfId="1948" xr:uid="{00000000-0005-0000-0000-0000C9070000}"/>
    <cellStyle name="Comma 10 2 4 2" xfId="1949" xr:uid="{00000000-0005-0000-0000-0000CA070000}"/>
    <cellStyle name="Comma 10 2 4 3" xfId="1950" xr:uid="{00000000-0005-0000-0000-0000CB070000}"/>
    <cellStyle name="Comma 10 2 4 4" xfId="1951" xr:uid="{00000000-0005-0000-0000-0000CC070000}"/>
    <cellStyle name="Comma 10 2 4 5" xfId="1952" xr:uid="{00000000-0005-0000-0000-0000CD070000}"/>
    <cellStyle name="Comma 10 2 5" xfId="1953" xr:uid="{00000000-0005-0000-0000-0000CE070000}"/>
    <cellStyle name="Comma 10 2 5 2" xfId="1954" xr:uid="{00000000-0005-0000-0000-0000CF070000}"/>
    <cellStyle name="Comma 10 2 5 3" xfId="1955" xr:uid="{00000000-0005-0000-0000-0000D0070000}"/>
    <cellStyle name="Comma 10 2 5 4" xfId="1956" xr:uid="{00000000-0005-0000-0000-0000D1070000}"/>
    <cellStyle name="Comma 10 2 5 5" xfId="1957" xr:uid="{00000000-0005-0000-0000-0000D2070000}"/>
    <cellStyle name="Comma 10 2 6" xfId="1958" xr:uid="{00000000-0005-0000-0000-0000D3070000}"/>
    <cellStyle name="Comma 10 2 6 2" xfId="1959" xr:uid="{00000000-0005-0000-0000-0000D4070000}"/>
    <cellStyle name="Comma 10 2 6 3" xfId="1960" xr:uid="{00000000-0005-0000-0000-0000D5070000}"/>
    <cellStyle name="Comma 10 2 6 4" xfId="1961" xr:uid="{00000000-0005-0000-0000-0000D6070000}"/>
    <cellStyle name="Comma 10 2 6 5" xfId="1962" xr:uid="{00000000-0005-0000-0000-0000D7070000}"/>
    <cellStyle name="Comma 10 2 7" xfId="1963" xr:uid="{00000000-0005-0000-0000-0000D8070000}"/>
    <cellStyle name="Comma 10 2 7 2" xfId="1964" xr:uid="{00000000-0005-0000-0000-0000D9070000}"/>
    <cellStyle name="Comma 10 2 7 3" xfId="1965" xr:uid="{00000000-0005-0000-0000-0000DA070000}"/>
    <cellStyle name="Comma 10 2 7 4" xfId="1966" xr:uid="{00000000-0005-0000-0000-0000DB070000}"/>
    <cellStyle name="Comma 10 2 7 5" xfId="1967" xr:uid="{00000000-0005-0000-0000-0000DC070000}"/>
    <cellStyle name="Comma 10 2 8" xfId="1968" xr:uid="{00000000-0005-0000-0000-0000DD070000}"/>
    <cellStyle name="Comma 10 2 8 2" xfId="1969" xr:uid="{00000000-0005-0000-0000-0000DE070000}"/>
    <cellStyle name="Comma 10 2 8 3" xfId="1970" xr:uid="{00000000-0005-0000-0000-0000DF070000}"/>
    <cellStyle name="Comma 10 2 8 4" xfId="1971" xr:uid="{00000000-0005-0000-0000-0000E0070000}"/>
    <cellStyle name="Comma 10 2 8 5" xfId="1972" xr:uid="{00000000-0005-0000-0000-0000E1070000}"/>
    <cellStyle name="Comma 10 2 9" xfId="1973" xr:uid="{00000000-0005-0000-0000-0000E2070000}"/>
    <cellStyle name="Comma 10 2 9 2" xfId="1974" xr:uid="{00000000-0005-0000-0000-0000E3070000}"/>
    <cellStyle name="Comma 10 2 9 3" xfId="1975" xr:uid="{00000000-0005-0000-0000-0000E4070000}"/>
    <cellStyle name="Comma 10 2 9 4" xfId="1976" xr:uid="{00000000-0005-0000-0000-0000E5070000}"/>
    <cellStyle name="Comma 10 2 9 5" xfId="1977" xr:uid="{00000000-0005-0000-0000-0000E6070000}"/>
    <cellStyle name="Comma 10 3" xfId="1978" xr:uid="{00000000-0005-0000-0000-0000E7070000}"/>
    <cellStyle name="Comma 10 3 10" xfId="1979" xr:uid="{00000000-0005-0000-0000-0000E8070000}"/>
    <cellStyle name="Comma 10 3 10 2" xfId="1980" xr:uid="{00000000-0005-0000-0000-0000E9070000}"/>
    <cellStyle name="Comma 10 3 10 3" xfId="1981" xr:uid="{00000000-0005-0000-0000-0000EA070000}"/>
    <cellStyle name="Comma 10 3 10 4" xfId="1982" xr:uid="{00000000-0005-0000-0000-0000EB070000}"/>
    <cellStyle name="Comma 10 3 10 5" xfId="1983" xr:uid="{00000000-0005-0000-0000-0000EC070000}"/>
    <cellStyle name="Comma 10 3 11" xfId="1984" xr:uid="{00000000-0005-0000-0000-0000ED070000}"/>
    <cellStyle name="Comma 10 3 11 2" xfId="1985" xr:uid="{00000000-0005-0000-0000-0000EE070000}"/>
    <cellStyle name="Comma 10 3 11 3" xfId="1986" xr:uid="{00000000-0005-0000-0000-0000EF070000}"/>
    <cellStyle name="Comma 10 3 11 4" xfId="1987" xr:uid="{00000000-0005-0000-0000-0000F0070000}"/>
    <cellStyle name="Comma 10 3 11 5" xfId="1988" xr:uid="{00000000-0005-0000-0000-0000F1070000}"/>
    <cellStyle name="Comma 10 3 12" xfId="1989" xr:uid="{00000000-0005-0000-0000-0000F2070000}"/>
    <cellStyle name="Comma 10 3 12 2" xfId="1990" xr:uid="{00000000-0005-0000-0000-0000F3070000}"/>
    <cellStyle name="Comma 10 3 12 3" xfId="1991" xr:uid="{00000000-0005-0000-0000-0000F4070000}"/>
    <cellStyle name="Comma 10 3 12 4" xfId="1992" xr:uid="{00000000-0005-0000-0000-0000F5070000}"/>
    <cellStyle name="Comma 10 3 12 5" xfId="1993" xr:uid="{00000000-0005-0000-0000-0000F6070000}"/>
    <cellStyle name="Comma 10 3 13" xfId="1994" xr:uid="{00000000-0005-0000-0000-0000F7070000}"/>
    <cellStyle name="Comma 10 3 13 2" xfId="1995" xr:uid="{00000000-0005-0000-0000-0000F8070000}"/>
    <cellStyle name="Comma 10 3 13 3" xfId="1996" xr:uid="{00000000-0005-0000-0000-0000F9070000}"/>
    <cellStyle name="Comma 10 3 13 4" xfId="1997" xr:uid="{00000000-0005-0000-0000-0000FA070000}"/>
    <cellStyle name="Comma 10 3 13 5" xfId="1998" xr:uid="{00000000-0005-0000-0000-0000FB070000}"/>
    <cellStyle name="Comma 10 3 14" xfId="1999" xr:uid="{00000000-0005-0000-0000-0000FC070000}"/>
    <cellStyle name="Comma 10 3 14 2" xfId="2000" xr:uid="{00000000-0005-0000-0000-0000FD070000}"/>
    <cellStyle name="Comma 10 3 14 3" xfId="2001" xr:uid="{00000000-0005-0000-0000-0000FE070000}"/>
    <cellStyle name="Comma 10 3 14 4" xfId="2002" xr:uid="{00000000-0005-0000-0000-0000FF070000}"/>
    <cellStyle name="Comma 10 3 14 5" xfId="2003" xr:uid="{00000000-0005-0000-0000-000000080000}"/>
    <cellStyle name="Comma 10 3 15" xfId="2004" xr:uid="{00000000-0005-0000-0000-000001080000}"/>
    <cellStyle name="Comma 10 3 15 2" xfId="2005" xr:uid="{00000000-0005-0000-0000-000002080000}"/>
    <cellStyle name="Comma 10 3 15 3" xfId="2006" xr:uid="{00000000-0005-0000-0000-000003080000}"/>
    <cellStyle name="Comma 10 3 15 4" xfId="2007" xr:uid="{00000000-0005-0000-0000-000004080000}"/>
    <cellStyle name="Comma 10 3 15 5" xfId="2008" xr:uid="{00000000-0005-0000-0000-000005080000}"/>
    <cellStyle name="Comma 10 3 16" xfId="2009" xr:uid="{00000000-0005-0000-0000-000006080000}"/>
    <cellStyle name="Comma 10 3 16 2" xfId="2010" xr:uid="{00000000-0005-0000-0000-000007080000}"/>
    <cellStyle name="Comma 10 3 16 3" xfId="2011" xr:uid="{00000000-0005-0000-0000-000008080000}"/>
    <cellStyle name="Comma 10 3 16 4" xfId="2012" xr:uid="{00000000-0005-0000-0000-000009080000}"/>
    <cellStyle name="Comma 10 3 16 5" xfId="2013" xr:uid="{00000000-0005-0000-0000-00000A080000}"/>
    <cellStyle name="Comma 10 3 17" xfId="2014" xr:uid="{00000000-0005-0000-0000-00000B080000}"/>
    <cellStyle name="Comma 10 3 17 2" xfId="2015" xr:uid="{00000000-0005-0000-0000-00000C080000}"/>
    <cellStyle name="Comma 10 3 17 3" xfId="2016" xr:uid="{00000000-0005-0000-0000-00000D080000}"/>
    <cellStyle name="Comma 10 3 17 4" xfId="2017" xr:uid="{00000000-0005-0000-0000-00000E080000}"/>
    <cellStyle name="Comma 10 3 17 5" xfId="2018" xr:uid="{00000000-0005-0000-0000-00000F080000}"/>
    <cellStyle name="Comma 10 3 18" xfId="2019" xr:uid="{00000000-0005-0000-0000-000010080000}"/>
    <cellStyle name="Comma 10 3 19" xfId="2020" xr:uid="{00000000-0005-0000-0000-000011080000}"/>
    <cellStyle name="Comma 10 3 2" xfId="2021" xr:uid="{00000000-0005-0000-0000-000012080000}"/>
    <cellStyle name="Comma 10 3 2 2" xfId="2022" xr:uid="{00000000-0005-0000-0000-000013080000}"/>
    <cellStyle name="Comma 10 3 2 3" xfId="2023" xr:uid="{00000000-0005-0000-0000-000014080000}"/>
    <cellStyle name="Comma 10 3 2 4" xfId="2024" xr:uid="{00000000-0005-0000-0000-000015080000}"/>
    <cellStyle name="Comma 10 3 2 5" xfId="2025" xr:uid="{00000000-0005-0000-0000-000016080000}"/>
    <cellStyle name="Comma 10 3 20" xfId="2026" xr:uid="{00000000-0005-0000-0000-000017080000}"/>
    <cellStyle name="Comma 10 3 21" xfId="2027" xr:uid="{00000000-0005-0000-0000-000018080000}"/>
    <cellStyle name="Comma 10 3 3" xfId="2028" xr:uid="{00000000-0005-0000-0000-000019080000}"/>
    <cellStyle name="Comma 10 3 3 2" xfId="2029" xr:uid="{00000000-0005-0000-0000-00001A080000}"/>
    <cellStyle name="Comma 10 3 3 3" xfId="2030" xr:uid="{00000000-0005-0000-0000-00001B080000}"/>
    <cellStyle name="Comma 10 3 3 4" xfId="2031" xr:uid="{00000000-0005-0000-0000-00001C080000}"/>
    <cellStyle name="Comma 10 3 3 5" xfId="2032" xr:uid="{00000000-0005-0000-0000-00001D080000}"/>
    <cellStyle name="Comma 10 3 4" xfId="2033" xr:uid="{00000000-0005-0000-0000-00001E080000}"/>
    <cellStyle name="Comma 10 3 4 2" xfId="2034" xr:uid="{00000000-0005-0000-0000-00001F080000}"/>
    <cellStyle name="Comma 10 3 4 3" xfId="2035" xr:uid="{00000000-0005-0000-0000-000020080000}"/>
    <cellStyle name="Comma 10 3 4 4" xfId="2036" xr:uid="{00000000-0005-0000-0000-000021080000}"/>
    <cellStyle name="Comma 10 3 4 5" xfId="2037" xr:uid="{00000000-0005-0000-0000-000022080000}"/>
    <cellStyle name="Comma 10 3 5" xfId="2038" xr:uid="{00000000-0005-0000-0000-000023080000}"/>
    <cellStyle name="Comma 10 3 5 2" xfId="2039" xr:uid="{00000000-0005-0000-0000-000024080000}"/>
    <cellStyle name="Comma 10 3 5 3" xfId="2040" xr:uid="{00000000-0005-0000-0000-000025080000}"/>
    <cellStyle name="Comma 10 3 5 4" xfId="2041" xr:uid="{00000000-0005-0000-0000-000026080000}"/>
    <cellStyle name="Comma 10 3 5 5" xfId="2042" xr:uid="{00000000-0005-0000-0000-000027080000}"/>
    <cellStyle name="Comma 10 3 6" xfId="2043" xr:uid="{00000000-0005-0000-0000-000028080000}"/>
    <cellStyle name="Comma 10 3 6 2" xfId="2044" xr:uid="{00000000-0005-0000-0000-000029080000}"/>
    <cellStyle name="Comma 10 3 6 3" xfId="2045" xr:uid="{00000000-0005-0000-0000-00002A080000}"/>
    <cellStyle name="Comma 10 3 6 4" xfId="2046" xr:uid="{00000000-0005-0000-0000-00002B080000}"/>
    <cellStyle name="Comma 10 3 6 5" xfId="2047" xr:uid="{00000000-0005-0000-0000-00002C080000}"/>
    <cellStyle name="Comma 10 3 7" xfId="2048" xr:uid="{00000000-0005-0000-0000-00002D080000}"/>
    <cellStyle name="Comma 10 3 7 2" xfId="2049" xr:uid="{00000000-0005-0000-0000-00002E080000}"/>
    <cellStyle name="Comma 10 3 7 3" xfId="2050" xr:uid="{00000000-0005-0000-0000-00002F080000}"/>
    <cellStyle name="Comma 10 3 7 4" xfId="2051" xr:uid="{00000000-0005-0000-0000-000030080000}"/>
    <cellStyle name="Comma 10 3 7 5" xfId="2052" xr:uid="{00000000-0005-0000-0000-000031080000}"/>
    <cellStyle name="Comma 10 3 8" xfId="2053" xr:uid="{00000000-0005-0000-0000-000032080000}"/>
    <cellStyle name="Comma 10 3 8 2" xfId="2054" xr:uid="{00000000-0005-0000-0000-000033080000}"/>
    <cellStyle name="Comma 10 3 8 3" xfId="2055" xr:uid="{00000000-0005-0000-0000-000034080000}"/>
    <cellStyle name="Comma 10 3 8 4" xfId="2056" xr:uid="{00000000-0005-0000-0000-000035080000}"/>
    <cellStyle name="Comma 10 3 8 5" xfId="2057" xr:uid="{00000000-0005-0000-0000-000036080000}"/>
    <cellStyle name="Comma 10 3 9" xfId="2058" xr:uid="{00000000-0005-0000-0000-000037080000}"/>
    <cellStyle name="Comma 10 3 9 2" xfId="2059" xr:uid="{00000000-0005-0000-0000-000038080000}"/>
    <cellStyle name="Comma 10 3 9 3" xfId="2060" xr:uid="{00000000-0005-0000-0000-000039080000}"/>
    <cellStyle name="Comma 10 3 9 4" xfId="2061" xr:uid="{00000000-0005-0000-0000-00003A080000}"/>
    <cellStyle name="Comma 10 3 9 5" xfId="2062" xr:uid="{00000000-0005-0000-0000-00003B080000}"/>
    <cellStyle name="Comma 10 4" xfId="2063" xr:uid="{00000000-0005-0000-0000-00003C080000}"/>
    <cellStyle name="Comma 10 4 10" xfId="2064" xr:uid="{00000000-0005-0000-0000-00003D080000}"/>
    <cellStyle name="Comma 10 4 10 2" xfId="2065" xr:uid="{00000000-0005-0000-0000-00003E080000}"/>
    <cellStyle name="Comma 10 4 10 3" xfId="2066" xr:uid="{00000000-0005-0000-0000-00003F080000}"/>
    <cellStyle name="Comma 10 4 10 4" xfId="2067" xr:uid="{00000000-0005-0000-0000-000040080000}"/>
    <cellStyle name="Comma 10 4 10 5" xfId="2068" xr:uid="{00000000-0005-0000-0000-000041080000}"/>
    <cellStyle name="Comma 10 4 11" xfId="2069" xr:uid="{00000000-0005-0000-0000-000042080000}"/>
    <cellStyle name="Comma 10 4 11 2" xfId="2070" xr:uid="{00000000-0005-0000-0000-000043080000}"/>
    <cellStyle name="Comma 10 4 11 3" xfId="2071" xr:uid="{00000000-0005-0000-0000-000044080000}"/>
    <cellStyle name="Comma 10 4 11 4" xfId="2072" xr:uid="{00000000-0005-0000-0000-000045080000}"/>
    <cellStyle name="Comma 10 4 11 5" xfId="2073" xr:uid="{00000000-0005-0000-0000-000046080000}"/>
    <cellStyle name="Comma 10 4 12" xfId="2074" xr:uid="{00000000-0005-0000-0000-000047080000}"/>
    <cellStyle name="Comma 10 4 12 2" xfId="2075" xr:uid="{00000000-0005-0000-0000-000048080000}"/>
    <cellStyle name="Comma 10 4 12 3" xfId="2076" xr:uid="{00000000-0005-0000-0000-000049080000}"/>
    <cellStyle name="Comma 10 4 12 4" xfId="2077" xr:uid="{00000000-0005-0000-0000-00004A080000}"/>
    <cellStyle name="Comma 10 4 12 5" xfId="2078" xr:uid="{00000000-0005-0000-0000-00004B080000}"/>
    <cellStyle name="Comma 10 4 13" xfId="2079" xr:uid="{00000000-0005-0000-0000-00004C080000}"/>
    <cellStyle name="Comma 10 4 13 2" xfId="2080" xr:uid="{00000000-0005-0000-0000-00004D080000}"/>
    <cellStyle name="Comma 10 4 13 3" xfId="2081" xr:uid="{00000000-0005-0000-0000-00004E080000}"/>
    <cellStyle name="Comma 10 4 13 4" xfId="2082" xr:uid="{00000000-0005-0000-0000-00004F080000}"/>
    <cellStyle name="Comma 10 4 13 5" xfId="2083" xr:uid="{00000000-0005-0000-0000-000050080000}"/>
    <cellStyle name="Comma 10 4 14" xfId="2084" xr:uid="{00000000-0005-0000-0000-000051080000}"/>
    <cellStyle name="Comma 10 4 14 2" xfId="2085" xr:uid="{00000000-0005-0000-0000-000052080000}"/>
    <cellStyle name="Comma 10 4 14 3" xfId="2086" xr:uid="{00000000-0005-0000-0000-000053080000}"/>
    <cellStyle name="Comma 10 4 14 4" xfId="2087" xr:uid="{00000000-0005-0000-0000-000054080000}"/>
    <cellStyle name="Comma 10 4 14 5" xfId="2088" xr:uid="{00000000-0005-0000-0000-000055080000}"/>
    <cellStyle name="Comma 10 4 15" xfId="2089" xr:uid="{00000000-0005-0000-0000-000056080000}"/>
    <cellStyle name="Comma 10 4 15 2" xfId="2090" xr:uid="{00000000-0005-0000-0000-000057080000}"/>
    <cellStyle name="Comma 10 4 15 3" xfId="2091" xr:uid="{00000000-0005-0000-0000-000058080000}"/>
    <cellStyle name="Comma 10 4 15 4" xfId="2092" xr:uid="{00000000-0005-0000-0000-000059080000}"/>
    <cellStyle name="Comma 10 4 15 5" xfId="2093" xr:uid="{00000000-0005-0000-0000-00005A080000}"/>
    <cellStyle name="Comma 10 4 16" xfId="2094" xr:uid="{00000000-0005-0000-0000-00005B080000}"/>
    <cellStyle name="Comma 10 4 16 2" xfId="2095" xr:uid="{00000000-0005-0000-0000-00005C080000}"/>
    <cellStyle name="Comma 10 4 16 3" xfId="2096" xr:uid="{00000000-0005-0000-0000-00005D080000}"/>
    <cellStyle name="Comma 10 4 16 4" xfId="2097" xr:uid="{00000000-0005-0000-0000-00005E080000}"/>
    <cellStyle name="Comma 10 4 16 5" xfId="2098" xr:uid="{00000000-0005-0000-0000-00005F080000}"/>
    <cellStyle name="Comma 10 4 17" xfId="2099" xr:uid="{00000000-0005-0000-0000-000060080000}"/>
    <cellStyle name="Comma 10 4 17 2" xfId="2100" xr:uid="{00000000-0005-0000-0000-000061080000}"/>
    <cellStyle name="Comma 10 4 17 3" xfId="2101" xr:uid="{00000000-0005-0000-0000-000062080000}"/>
    <cellStyle name="Comma 10 4 17 4" xfId="2102" xr:uid="{00000000-0005-0000-0000-000063080000}"/>
    <cellStyle name="Comma 10 4 17 5" xfId="2103" xr:uid="{00000000-0005-0000-0000-000064080000}"/>
    <cellStyle name="Comma 10 4 18" xfId="2104" xr:uid="{00000000-0005-0000-0000-000065080000}"/>
    <cellStyle name="Comma 10 4 19" xfId="2105" xr:uid="{00000000-0005-0000-0000-000066080000}"/>
    <cellStyle name="Comma 10 4 2" xfId="2106" xr:uid="{00000000-0005-0000-0000-000067080000}"/>
    <cellStyle name="Comma 10 4 2 2" xfId="2107" xr:uid="{00000000-0005-0000-0000-000068080000}"/>
    <cellStyle name="Comma 10 4 2 3" xfId="2108" xr:uid="{00000000-0005-0000-0000-000069080000}"/>
    <cellStyle name="Comma 10 4 2 4" xfId="2109" xr:uid="{00000000-0005-0000-0000-00006A080000}"/>
    <cellStyle name="Comma 10 4 2 5" xfId="2110" xr:uid="{00000000-0005-0000-0000-00006B080000}"/>
    <cellStyle name="Comma 10 4 20" xfId="2111" xr:uid="{00000000-0005-0000-0000-00006C080000}"/>
    <cellStyle name="Comma 10 4 21" xfId="2112" xr:uid="{00000000-0005-0000-0000-00006D080000}"/>
    <cellStyle name="Comma 10 4 3" xfId="2113" xr:uid="{00000000-0005-0000-0000-00006E080000}"/>
    <cellStyle name="Comma 10 4 3 2" xfId="2114" xr:uid="{00000000-0005-0000-0000-00006F080000}"/>
    <cellStyle name="Comma 10 4 3 3" xfId="2115" xr:uid="{00000000-0005-0000-0000-000070080000}"/>
    <cellStyle name="Comma 10 4 3 4" xfId="2116" xr:uid="{00000000-0005-0000-0000-000071080000}"/>
    <cellStyle name="Comma 10 4 3 5" xfId="2117" xr:uid="{00000000-0005-0000-0000-000072080000}"/>
    <cellStyle name="Comma 10 4 4" xfId="2118" xr:uid="{00000000-0005-0000-0000-000073080000}"/>
    <cellStyle name="Comma 10 4 4 2" xfId="2119" xr:uid="{00000000-0005-0000-0000-000074080000}"/>
    <cellStyle name="Comma 10 4 4 3" xfId="2120" xr:uid="{00000000-0005-0000-0000-000075080000}"/>
    <cellStyle name="Comma 10 4 4 4" xfId="2121" xr:uid="{00000000-0005-0000-0000-000076080000}"/>
    <cellStyle name="Comma 10 4 4 5" xfId="2122" xr:uid="{00000000-0005-0000-0000-000077080000}"/>
    <cellStyle name="Comma 10 4 5" xfId="2123" xr:uid="{00000000-0005-0000-0000-000078080000}"/>
    <cellStyle name="Comma 10 4 5 2" xfId="2124" xr:uid="{00000000-0005-0000-0000-000079080000}"/>
    <cellStyle name="Comma 10 4 5 3" xfId="2125" xr:uid="{00000000-0005-0000-0000-00007A080000}"/>
    <cellStyle name="Comma 10 4 5 4" xfId="2126" xr:uid="{00000000-0005-0000-0000-00007B080000}"/>
    <cellStyle name="Comma 10 4 5 5" xfId="2127" xr:uid="{00000000-0005-0000-0000-00007C080000}"/>
    <cellStyle name="Comma 10 4 6" xfId="2128" xr:uid="{00000000-0005-0000-0000-00007D080000}"/>
    <cellStyle name="Comma 10 4 6 2" xfId="2129" xr:uid="{00000000-0005-0000-0000-00007E080000}"/>
    <cellStyle name="Comma 10 4 6 3" xfId="2130" xr:uid="{00000000-0005-0000-0000-00007F080000}"/>
    <cellStyle name="Comma 10 4 6 4" xfId="2131" xr:uid="{00000000-0005-0000-0000-000080080000}"/>
    <cellStyle name="Comma 10 4 6 5" xfId="2132" xr:uid="{00000000-0005-0000-0000-000081080000}"/>
    <cellStyle name="Comma 10 4 7" xfId="2133" xr:uid="{00000000-0005-0000-0000-000082080000}"/>
    <cellStyle name="Comma 10 4 7 2" xfId="2134" xr:uid="{00000000-0005-0000-0000-000083080000}"/>
    <cellStyle name="Comma 10 4 7 3" xfId="2135" xr:uid="{00000000-0005-0000-0000-000084080000}"/>
    <cellStyle name="Comma 10 4 7 4" xfId="2136" xr:uid="{00000000-0005-0000-0000-000085080000}"/>
    <cellStyle name="Comma 10 4 7 5" xfId="2137" xr:uid="{00000000-0005-0000-0000-000086080000}"/>
    <cellStyle name="Comma 10 4 8" xfId="2138" xr:uid="{00000000-0005-0000-0000-000087080000}"/>
    <cellStyle name="Comma 10 4 8 2" xfId="2139" xr:uid="{00000000-0005-0000-0000-000088080000}"/>
    <cellStyle name="Comma 10 4 8 3" xfId="2140" xr:uid="{00000000-0005-0000-0000-000089080000}"/>
    <cellStyle name="Comma 10 4 8 4" xfId="2141" xr:uid="{00000000-0005-0000-0000-00008A080000}"/>
    <cellStyle name="Comma 10 4 8 5" xfId="2142" xr:uid="{00000000-0005-0000-0000-00008B080000}"/>
    <cellStyle name="Comma 10 4 9" xfId="2143" xr:uid="{00000000-0005-0000-0000-00008C080000}"/>
    <cellStyle name="Comma 10 4 9 2" xfId="2144" xr:uid="{00000000-0005-0000-0000-00008D080000}"/>
    <cellStyle name="Comma 10 4 9 3" xfId="2145" xr:uid="{00000000-0005-0000-0000-00008E080000}"/>
    <cellStyle name="Comma 10 4 9 4" xfId="2146" xr:uid="{00000000-0005-0000-0000-00008F080000}"/>
    <cellStyle name="Comma 10 4 9 5" xfId="2147" xr:uid="{00000000-0005-0000-0000-000090080000}"/>
    <cellStyle name="Comma 10 5" xfId="2148" xr:uid="{00000000-0005-0000-0000-000091080000}"/>
    <cellStyle name="Comma 10 5 10" xfId="2149" xr:uid="{00000000-0005-0000-0000-000092080000}"/>
    <cellStyle name="Comma 10 5 10 2" xfId="2150" xr:uid="{00000000-0005-0000-0000-000093080000}"/>
    <cellStyle name="Comma 10 5 10 3" xfId="2151" xr:uid="{00000000-0005-0000-0000-000094080000}"/>
    <cellStyle name="Comma 10 5 10 4" xfId="2152" xr:uid="{00000000-0005-0000-0000-000095080000}"/>
    <cellStyle name="Comma 10 5 10 5" xfId="2153" xr:uid="{00000000-0005-0000-0000-000096080000}"/>
    <cellStyle name="Comma 10 5 11" xfId="2154" xr:uid="{00000000-0005-0000-0000-000097080000}"/>
    <cellStyle name="Comma 10 5 11 2" xfId="2155" xr:uid="{00000000-0005-0000-0000-000098080000}"/>
    <cellStyle name="Comma 10 5 11 3" xfId="2156" xr:uid="{00000000-0005-0000-0000-000099080000}"/>
    <cellStyle name="Comma 10 5 11 4" xfId="2157" xr:uid="{00000000-0005-0000-0000-00009A080000}"/>
    <cellStyle name="Comma 10 5 11 5" xfId="2158" xr:uid="{00000000-0005-0000-0000-00009B080000}"/>
    <cellStyle name="Comma 10 5 12" xfId="2159" xr:uid="{00000000-0005-0000-0000-00009C080000}"/>
    <cellStyle name="Comma 10 5 12 2" xfId="2160" xr:uid="{00000000-0005-0000-0000-00009D080000}"/>
    <cellStyle name="Comma 10 5 12 3" xfId="2161" xr:uid="{00000000-0005-0000-0000-00009E080000}"/>
    <cellStyle name="Comma 10 5 12 4" xfId="2162" xr:uid="{00000000-0005-0000-0000-00009F080000}"/>
    <cellStyle name="Comma 10 5 12 5" xfId="2163" xr:uid="{00000000-0005-0000-0000-0000A0080000}"/>
    <cellStyle name="Comma 10 5 13" xfId="2164" xr:uid="{00000000-0005-0000-0000-0000A1080000}"/>
    <cellStyle name="Comma 10 5 13 2" xfId="2165" xr:uid="{00000000-0005-0000-0000-0000A2080000}"/>
    <cellStyle name="Comma 10 5 13 3" xfId="2166" xr:uid="{00000000-0005-0000-0000-0000A3080000}"/>
    <cellStyle name="Comma 10 5 13 4" xfId="2167" xr:uid="{00000000-0005-0000-0000-0000A4080000}"/>
    <cellStyle name="Comma 10 5 13 5" xfId="2168" xr:uid="{00000000-0005-0000-0000-0000A5080000}"/>
    <cellStyle name="Comma 10 5 14" xfId="2169" xr:uid="{00000000-0005-0000-0000-0000A6080000}"/>
    <cellStyle name="Comma 10 5 14 2" xfId="2170" xr:uid="{00000000-0005-0000-0000-0000A7080000}"/>
    <cellStyle name="Comma 10 5 14 3" xfId="2171" xr:uid="{00000000-0005-0000-0000-0000A8080000}"/>
    <cellStyle name="Comma 10 5 14 4" xfId="2172" xr:uid="{00000000-0005-0000-0000-0000A9080000}"/>
    <cellStyle name="Comma 10 5 14 5" xfId="2173" xr:uid="{00000000-0005-0000-0000-0000AA080000}"/>
    <cellStyle name="Comma 10 5 15" xfId="2174" xr:uid="{00000000-0005-0000-0000-0000AB080000}"/>
    <cellStyle name="Comma 10 5 15 2" xfId="2175" xr:uid="{00000000-0005-0000-0000-0000AC080000}"/>
    <cellStyle name="Comma 10 5 15 3" xfId="2176" xr:uid="{00000000-0005-0000-0000-0000AD080000}"/>
    <cellStyle name="Comma 10 5 15 4" xfId="2177" xr:uid="{00000000-0005-0000-0000-0000AE080000}"/>
    <cellStyle name="Comma 10 5 15 5" xfId="2178" xr:uid="{00000000-0005-0000-0000-0000AF080000}"/>
    <cellStyle name="Comma 10 5 16" xfId="2179" xr:uid="{00000000-0005-0000-0000-0000B0080000}"/>
    <cellStyle name="Comma 10 5 16 2" xfId="2180" xr:uid="{00000000-0005-0000-0000-0000B1080000}"/>
    <cellStyle name="Comma 10 5 16 3" xfId="2181" xr:uid="{00000000-0005-0000-0000-0000B2080000}"/>
    <cellStyle name="Comma 10 5 16 4" xfId="2182" xr:uid="{00000000-0005-0000-0000-0000B3080000}"/>
    <cellStyle name="Comma 10 5 16 5" xfId="2183" xr:uid="{00000000-0005-0000-0000-0000B4080000}"/>
    <cellStyle name="Comma 10 5 17" xfId="2184" xr:uid="{00000000-0005-0000-0000-0000B5080000}"/>
    <cellStyle name="Comma 10 5 17 2" xfId="2185" xr:uid="{00000000-0005-0000-0000-0000B6080000}"/>
    <cellStyle name="Comma 10 5 17 3" xfId="2186" xr:uid="{00000000-0005-0000-0000-0000B7080000}"/>
    <cellStyle name="Comma 10 5 17 4" xfId="2187" xr:uid="{00000000-0005-0000-0000-0000B8080000}"/>
    <cellStyle name="Comma 10 5 17 5" xfId="2188" xr:uid="{00000000-0005-0000-0000-0000B9080000}"/>
    <cellStyle name="Comma 10 5 18" xfId="2189" xr:uid="{00000000-0005-0000-0000-0000BA080000}"/>
    <cellStyle name="Comma 10 5 19" xfId="2190" xr:uid="{00000000-0005-0000-0000-0000BB080000}"/>
    <cellStyle name="Comma 10 5 2" xfId="2191" xr:uid="{00000000-0005-0000-0000-0000BC080000}"/>
    <cellStyle name="Comma 10 5 2 2" xfId="2192" xr:uid="{00000000-0005-0000-0000-0000BD080000}"/>
    <cellStyle name="Comma 10 5 2 3" xfId="2193" xr:uid="{00000000-0005-0000-0000-0000BE080000}"/>
    <cellStyle name="Comma 10 5 2 4" xfId="2194" xr:uid="{00000000-0005-0000-0000-0000BF080000}"/>
    <cellStyle name="Comma 10 5 2 5" xfId="2195" xr:uid="{00000000-0005-0000-0000-0000C0080000}"/>
    <cellStyle name="Comma 10 5 20" xfId="2196" xr:uid="{00000000-0005-0000-0000-0000C1080000}"/>
    <cellStyle name="Comma 10 5 21" xfId="2197" xr:uid="{00000000-0005-0000-0000-0000C2080000}"/>
    <cellStyle name="Comma 10 5 3" xfId="2198" xr:uid="{00000000-0005-0000-0000-0000C3080000}"/>
    <cellStyle name="Comma 10 5 3 2" xfId="2199" xr:uid="{00000000-0005-0000-0000-0000C4080000}"/>
    <cellStyle name="Comma 10 5 3 3" xfId="2200" xr:uid="{00000000-0005-0000-0000-0000C5080000}"/>
    <cellStyle name="Comma 10 5 3 4" xfId="2201" xr:uid="{00000000-0005-0000-0000-0000C6080000}"/>
    <cellStyle name="Comma 10 5 3 5" xfId="2202" xr:uid="{00000000-0005-0000-0000-0000C7080000}"/>
    <cellStyle name="Comma 10 5 4" xfId="2203" xr:uid="{00000000-0005-0000-0000-0000C8080000}"/>
    <cellStyle name="Comma 10 5 4 2" xfId="2204" xr:uid="{00000000-0005-0000-0000-0000C9080000}"/>
    <cellStyle name="Comma 10 5 4 3" xfId="2205" xr:uid="{00000000-0005-0000-0000-0000CA080000}"/>
    <cellStyle name="Comma 10 5 4 4" xfId="2206" xr:uid="{00000000-0005-0000-0000-0000CB080000}"/>
    <cellStyle name="Comma 10 5 4 5" xfId="2207" xr:uid="{00000000-0005-0000-0000-0000CC080000}"/>
    <cellStyle name="Comma 10 5 5" xfId="2208" xr:uid="{00000000-0005-0000-0000-0000CD080000}"/>
    <cellStyle name="Comma 10 5 5 2" xfId="2209" xr:uid="{00000000-0005-0000-0000-0000CE080000}"/>
    <cellStyle name="Comma 10 5 5 3" xfId="2210" xr:uid="{00000000-0005-0000-0000-0000CF080000}"/>
    <cellStyle name="Comma 10 5 5 4" xfId="2211" xr:uid="{00000000-0005-0000-0000-0000D0080000}"/>
    <cellStyle name="Comma 10 5 5 5" xfId="2212" xr:uid="{00000000-0005-0000-0000-0000D1080000}"/>
    <cellStyle name="Comma 10 5 6" xfId="2213" xr:uid="{00000000-0005-0000-0000-0000D2080000}"/>
    <cellStyle name="Comma 10 5 6 2" xfId="2214" xr:uid="{00000000-0005-0000-0000-0000D3080000}"/>
    <cellStyle name="Comma 10 5 6 3" xfId="2215" xr:uid="{00000000-0005-0000-0000-0000D4080000}"/>
    <cellStyle name="Comma 10 5 6 4" xfId="2216" xr:uid="{00000000-0005-0000-0000-0000D5080000}"/>
    <cellStyle name="Comma 10 5 6 5" xfId="2217" xr:uid="{00000000-0005-0000-0000-0000D6080000}"/>
    <cellStyle name="Comma 10 5 7" xfId="2218" xr:uid="{00000000-0005-0000-0000-0000D7080000}"/>
    <cellStyle name="Comma 10 5 7 2" xfId="2219" xr:uid="{00000000-0005-0000-0000-0000D8080000}"/>
    <cellStyle name="Comma 10 5 7 3" xfId="2220" xr:uid="{00000000-0005-0000-0000-0000D9080000}"/>
    <cellStyle name="Comma 10 5 7 4" xfId="2221" xr:uid="{00000000-0005-0000-0000-0000DA080000}"/>
    <cellStyle name="Comma 10 5 7 5" xfId="2222" xr:uid="{00000000-0005-0000-0000-0000DB080000}"/>
    <cellStyle name="Comma 10 5 8" xfId="2223" xr:uid="{00000000-0005-0000-0000-0000DC080000}"/>
    <cellStyle name="Comma 10 5 8 2" xfId="2224" xr:uid="{00000000-0005-0000-0000-0000DD080000}"/>
    <cellStyle name="Comma 10 5 8 3" xfId="2225" xr:uid="{00000000-0005-0000-0000-0000DE080000}"/>
    <cellStyle name="Comma 10 5 8 4" xfId="2226" xr:uid="{00000000-0005-0000-0000-0000DF080000}"/>
    <cellStyle name="Comma 10 5 8 5" xfId="2227" xr:uid="{00000000-0005-0000-0000-0000E0080000}"/>
    <cellStyle name="Comma 10 5 9" xfId="2228" xr:uid="{00000000-0005-0000-0000-0000E1080000}"/>
    <cellStyle name="Comma 10 5 9 2" xfId="2229" xr:uid="{00000000-0005-0000-0000-0000E2080000}"/>
    <cellStyle name="Comma 10 5 9 3" xfId="2230" xr:uid="{00000000-0005-0000-0000-0000E3080000}"/>
    <cellStyle name="Comma 10 5 9 4" xfId="2231" xr:uid="{00000000-0005-0000-0000-0000E4080000}"/>
    <cellStyle name="Comma 10 5 9 5" xfId="2232" xr:uid="{00000000-0005-0000-0000-0000E5080000}"/>
    <cellStyle name="Comma 10 6" xfId="2233" xr:uid="{00000000-0005-0000-0000-0000E6080000}"/>
    <cellStyle name="Comma 10 6 10" xfId="2234" xr:uid="{00000000-0005-0000-0000-0000E7080000}"/>
    <cellStyle name="Comma 10 6 10 2" xfId="2235" xr:uid="{00000000-0005-0000-0000-0000E8080000}"/>
    <cellStyle name="Comma 10 6 10 3" xfId="2236" xr:uid="{00000000-0005-0000-0000-0000E9080000}"/>
    <cellStyle name="Comma 10 6 10 4" xfId="2237" xr:uid="{00000000-0005-0000-0000-0000EA080000}"/>
    <cellStyle name="Comma 10 6 10 5" xfId="2238" xr:uid="{00000000-0005-0000-0000-0000EB080000}"/>
    <cellStyle name="Comma 10 6 11" xfId="2239" xr:uid="{00000000-0005-0000-0000-0000EC080000}"/>
    <cellStyle name="Comma 10 6 11 2" xfId="2240" xr:uid="{00000000-0005-0000-0000-0000ED080000}"/>
    <cellStyle name="Comma 10 6 11 3" xfId="2241" xr:uid="{00000000-0005-0000-0000-0000EE080000}"/>
    <cellStyle name="Comma 10 6 11 4" xfId="2242" xr:uid="{00000000-0005-0000-0000-0000EF080000}"/>
    <cellStyle name="Comma 10 6 11 5" xfId="2243" xr:uid="{00000000-0005-0000-0000-0000F0080000}"/>
    <cellStyle name="Comma 10 6 12" xfId="2244" xr:uid="{00000000-0005-0000-0000-0000F1080000}"/>
    <cellStyle name="Comma 10 6 12 2" xfId="2245" xr:uid="{00000000-0005-0000-0000-0000F2080000}"/>
    <cellStyle name="Comma 10 6 12 3" xfId="2246" xr:uid="{00000000-0005-0000-0000-0000F3080000}"/>
    <cellStyle name="Comma 10 6 12 4" xfId="2247" xr:uid="{00000000-0005-0000-0000-0000F4080000}"/>
    <cellStyle name="Comma 10 6 12 5" xfId="2248" xr:uid="{00000000-0005-0000-0000-0000F5080000}"/>
    <cellStyle name="Comma 10 6 13" xfId="2249" xr:uid="{00000000-0005-0000-0000-0000F6080000}"/>
    <cellStyle name="Comma 10 6 13 2" xfId="2250" xr:uid="{00000000-0005-0000-0000-0000F7080000}"/>
    <cellStyle name="Comma 10 6 13 3" xfId="2251" xr:uid="{00000000-0005-0000-0000-0000F8080000}"/>
    <cellStyle name="Comma 10 6 13 4" xfId="2252" xr:uid="{00000000-0005-0000-0000-0000F9080000}"/>
    <cellStyle name="Comma 10 6 13 5" xfId="2253" xr:uid="{00000000-0005-0000-0000-0000FA080000}"/>
    <cellStyle name="Comma 10 6 14" xfId="2254" xr:uid="{00000000-0005-0000-0000-0000FB080000}"/>
    <cellStyle name="Comma 10 6 14 2" xfId="2255" xr:uid="{00000000-0005-0000-0000-0000FC080000}"/>
    <cellStyle name="Comma 10 6 14 3" xfId="2256" xr:uid="{00000000-0005-0000-0000-0000FD080000}"/>
    <cellStyle name="Comma 10 6 14 4" xfId="2257" xr:uid="{00000000-0005-0000-0000-0000FE080000}"/>
    <cellStyle name="Comma 10 6 14 5" xfId="2258" xr:uid="{00000000-0005-0000-0000-0000FF080000}"/>
    <cellStyle name="Comma 10 6 15" xfId="2259" xr:uid="{00000000-0005-0000-0000-000000090000}"/>
    <cellStyle name="Comma 10 6 15 2" xfId="2260" xr:uid="{00000000-0005-0000-0000-000001090000}"/>
    <cellStyle name="Comma 10 6 15 3" xfId="2261" xr:uid="{00000000-0005-0000-0000-000002090000}"/>
    <cellStyle name="Comma 10 6 15 4" xfId="2262" xr:uid="{00000000-0005-0000-0000-000003090000}"/>
    <cellStyle name="Comma 10 6 15 5" xfId="2263" xr:uid="{00000000-0005-0000-0000-000004090000}"/>
    <cellStyle name="Comma 10 6 16" xfId="2264" xr:uid="{00000000-0005-0000-0000-000005090000}"/>
    <cellStyle name="Comma 10 6 16 2" xfId="2265" xr:uid="{00000000-0005-0000-0000-000006090000}"/>
    <cellStyle name="Comma 10 6 16 3" xfId="2266" xr:uid="{00000000-0005-0000-0000-000007090000}"/>
    <cellStyle name="Comma 10 6 16 4" xfId="2267" xr:uid="{00000000-0005-0000-0000-000008090000}"/>
    <cellStyle name="Comma 10 6 16 5" xfId="2268" xr:uid="{00000000-0005-0000-0000-000009090000}"/>
    <cellStyle name="Comma 10 6 17" xfId="2269" xr:uid="{00000000-0005-0000-0000-00000A090000}"/>
    <cellStyle name="Comma 10 6 17 2" xfId="2270" xr:uid="{00000000-0005-0000-0000-00000B090000}"/>
    <cellStyle name="Comma 10 6 17 3" xfId="2271" xr:uid="{00000000-0005-0000-0000-00000C090000}"/>
    <cellStyle name="Comma 10 6 17 4" xfId="2272" xr:uid="{00000000-0005-0000-0000-00000D090000}"/>
    <cellStyle name="Comma 10 6 17 5" xfId="2273" xr:uid="{00000000-0005-0000-0000-00000E090000}"/>
    <cellStyle name="Comma 10 6 18" xfId="2274" xr:uid="{00000000-0005-0000-0000-00000F090000}"/>
    <cellStyle name="Comma 10 6 19" xfId="2275" xr:uid="{00000000-0005-0000-0000-000010090000}"/>
    <cellStyle name="Comma 10 6 2" xfId="2276" xr:uid="{00000000-0005-0000-0000-000011090000}"/>
    <cellStyle name="Comma 10 6 2 2" xfId="2277" xr:uid="{00000000-0005-0000-0000-000012090000}"/>
    <cellStyle name="Comma 10 6 2 3" xfId="2278" xr:uid="{00000000-0005-0000-0000-000013090000}"/>
    <cellStyle name="Comma 10 6 2 4" xfId="2279" xr:uid="{00000000-0005-0000-0000-000014090000}"/>
    <cellStyle name="Comma 10 6 2 5" xfId="2280" xr:uid="{00000000-0005-0000-0000-000015090000}"/>
    <cellStyle name="Comma 10 6 20" xfId="2281" xr:uid="{00000000-0005-0000-0000-000016090000}"/>
    <cellStyle name="Comma 10 6 21" xfId="2282" xr:uid="{00000000-0005-0000-0000-000017090000}"/>
    <cellStyle name="Comma 10 6 3" xfId="2283" xr:uid="{00000000-0005-0000-0000-000018090000}"/>
    <cellStyle name="Comma 10 6 3 2" xfId="2284" xr:uid="{00000000-0005-0000-0000-000019090000}"/>
    <cellStyle name="Comma 10 6 3 3" xfId="2285" xr:uid="{00000000-0005-0000-0000-00001A090000}"/>
    <cellStyle name="Comma 10 6 3 4" xfId="2286" xr:uid="{00000000-0005-0000-0000-00001B090000}"/>
    <cellStyle name="Comma 10 6 3 5" xfId="2287" xr:uid="{00000000-0005-0000-0000-00001C090000}"/>
    <cellStyle name="Comma 10 6 4" xfId="2288" xr:uid="{00000000-0005-0000-0000-00001D090000}"/>
    <cellStyle name="Comma 10 6 4 2" xfId="2289" xr:uid="{00000000-0005-0000-0000-00001E090000}"/>
    <cellStyle name="Comma 10 6 4 3" xfId="2290" xr:uid="{00000000-0005-0000-0000-00001F090000}"/>
    <cellStyle name="Comma 10 6 4 4" xfId="2291" xr:uid="{00000000-0005-0000-0000-000020090000}"/>
    <cellStyle name="Comma 10 6 4 5" xfId="2292" xr:uid="{00000000-0005-0000-0000-000021090000}"/>
    <cellStyle name="Comma 10 6 5" xfId="2293" xr:uid="{00000000-0005-0000-0000-000022090000}"/>
    <cellStyle name="Comma 10 6 5 2" xfId="2294" xr:uid="{00000000-0005-0000-0000-000023090000}"/>
    <cellStyle name="Comma 10 6 5 3" xfId="2295" xr:uid="{00000000-0005-0000-0000-000024090000}"/>
    <cellStyle name="Comma 10 6 5 4" xfId="2296" xr:uid="{00000000-0005-0000-0000-000025090000}"/>
    <cellStyle name="Comma 10 6 5 5" xfId="2297" xr:uid="{00000000-0005-0000-0000-000026090000}"/>
    <cellStyle name="Comma 10 6 6" xfId="2298" xr:uid="{00000000-0005-0000-0000-000027090000}"/>
    <cellStyle name="Comma 10 6 6 2" xfId="2299" xr:uid="{00000000-0005-0000-0000-000028090000}"/>
    <cellStyle name="Comma 10 6 6 3" xfId="2300" xr:uid="{00000000-0005-0000-0000-000029090000}"/>
    <cellStyle name="Comma 10 6 6 4" xfId="2301" xr:uid="{00000000-0005-0000-0000-00002A090000}"/>
    <cellStyle name="Comma 10 6 6 5" xfId="2302" xr:uid="{00000000-0005-0000-0000-00002B090000}"/>
    <cellStyle name="Comma 10 6 7" xfId="2303" xr:uid="{00000000-0005-0000-0000-00002C090000}"/>
    <cellStyle name="Comma 10 6 7 2" xfId="2304" xr:uid="{00000000-0005-0000-0000-00002D090000}"/>
    <cellStyle name="Comma 10 6 7 3" xfId="2305" xr:uid="{00000000-0005-0000-0000-00002E090000}"/>
    <cellStyle name="Comma 10 6 7 4" xfId="2306" xr:uid="{00000000-0005-0000-0000-00002F090000}"/>
    <cellStyle name="Comma 10 6 7 5" xfId="2307" xr:uid="{00000000-0005-0000-0000-000030090000}"/>
    <cellStyle name="Comma 10 6 8" xfId="2308" xr:uid="{00000000-0005-0000-0000-000031090000}"/>
    <cellStyle name="Comma 10 6 8 2" xfId="2309" xr:uid="{00000000-0005-0000-0000-000032090000}"/>
    <cellStyle name="Comma 10 6 8 3" xfId="2310" xr:uid="{00000000-0005-0000-0000-000033090000}"/>
    <cellStyle name="Comma 10 6 8 4" xfId="2311" xr:uid="{00000000-0005-0000-0000-000034090000}"/>
    <cellStyle name="Comma 10 6 8 5" xfId="2312" xr:uid="{00000000-0005-0000-0000-000035090000}"/>
    <cellStyle name="Comma 10 6 9" xfId="2313" xr:uid="{00000000-0005-0000-0000-000036090000}"/>
    <cellStyle name="Comma 10 6 9 2" xfId="2314" xr:uid="{00000000-0005-0000-0000-000037090000}"/>
    <cellStyle name="Comma 10 6 9 3" xfId="2315" xr:uid="{00000000-0005-0000-0000-000038090000}"/>
    <cellStyle name="Comma 10 6 9 4" xfId="2316" xr:uid="{00000000-0005-0000-0000-000039090000}"/>
    <cellStyle name="Comma 10 6 9 5" xfId="2317" xr:uid="{00000000-0005-0000-0000-00003A090000}"/>
    <cellStyle name="Comma 10 7" xfId="2318" xr:uid="{00000000-0005-0000-0000-00003B090000}"/>
    <cellStyle name="Comma 10 7 10" xfId="2319" xr:uid="{00000000-0005-0000-0000-00003C090000}"/>
    <cellStyle name="Comma 10 7 10 2" xfId="2320" xr:uid="{00000000-0005-0000-0000-00003D090000}"/>
    <cellStyle name="Comma 10 7 10 3" xfId="2321" xr:uid="{00000000-0005-0000-0000-00003E090000}"/>
    <cellStyle name="Comma 10 7 10 4" xfId="2322" xr:uid="{00000000-0005-0000-0000-00003F090000}"/>
    <cellStyle name="Comma 10 7 10 5" xfId="2323" xr:uid="{00000000-0005-0000-0000-000040090000}"/>
    <cellStyle name="Comma 10 7 11" xfId="2324" xr:uid="{00000000-0005-0000-0000-000041090000}"/>
    <cellStyle name="Comma 10 7 11 2" xfId="2325" xr:uid="{00000000-0005-0000-0000-000042090000}"/>
    <cellStyle name="Comma 10 7 11 3" xfId="2326" xr:uid="{00000000-0005-0000-0000-000043090000}"/>
    <cellStyle name="Comma 10 7 11 4" xfId="2327" xr:uid="{00000000-0005-0000-0000-000044090000}"/>
    <cellStyle name="Comma 10 7 11 5" xfId="2328" xr:uid="{00000000-0005-0000-0000-000045090000}"/>
    <cellStyle name="Comma 10 7 12" xfId="2329" xr:uid="{00000000-0005-0000-0000-000046090000}"/>
    <cellStyle name="Comma 10 7 12 2" xfId="2330" xr:uid="{00000000-0005-0000-0000-000047090000}"/>
    <cellStyle name="Comma 10 7 12 3" xfId="2331" xr:uid="{00000000-0005-0000-0000-000048090000}"/>
    <cellStyle name="Comma 10 7 12 4" xfId="2332" xr:uid="{00000000-0005-0000-0000-000049090000}"/>
    <cellStyle name="Comma 10 7 12 5" xfId="2333" xr:uid="{00000000-0005-0000-0000-00004A090000}"/>
    <cellStyle name="Comma 10 7 13" xfId="2334" xr:uid="{00000000-0005-0000-0000-00004B090000}"/>
    <cellStyle name="Comma 10 7 13 2" xfId="2335" xr:uid="{00000000-0005-0000-0000-00004C090000}"/>
    <cellStyle name="Comma 10 7 13 3" xfId="2336" xr:uid="{00000000-0005-0000-0000-00004D090000}"/>
    <cellStyle name="Comma 10 7 13 4" xfId="2337" xr:uid="{00000000-0005-0000-0000-00004E090000}"/>
    <cellStyle name="Comma 10 7 13 5" xfId="2338" xr:uid="{00000000-0005-0000-0000-00004F090000}"/>
    <cellStyle name="Comma 10 7 14" xfId="2339" xr:uid="{00000000-0005-0000-0000-000050090000}"/>
    <cellStyle name="Comma 10 7 14 2" xfId="2340" xr:uid="{00000000-0005-0000-0000-000051090000}"/>
    <cellStyle name="Comma 10 7 14 3" xfId="2341" xr:uid="{00000000-0005-0000-0000-000052090000}"/>
    <cellStyle name="Comma 10 7 14 4" xfId="2342" xr:uid="{00000000-0005-0000-0000-000053090000}"/>
    <cellStyle name="Comma 10 7 14 5" xfId="2343" xr:uid="{00000000-0005-0000-0000-000054090000}"/>
    <cellStyle name="Comma 10 7 15" xfId="2344" xr:uid="{00000000-0005-0000-0000-000055090000}"/>
    <cellStyle name="Comma 10 7 15 2" xfId="2345" xr:uid="{00000000-0005-0000-0000-000056090000}"/>
    <cellStyle name="Comma 10 7 15 3" xfId="2346" xr:uid="{00000000-0005-0000-0000-000057090000}"/>
    <cellStyle name="Comma 10 7 15 4" xfId="2347" xr:uid="{00000000-0005-0000-0000-000058090000}"/>
    <cellStyle name="Comma 10 7 15 5" xfId="2348" xr:uid="{00000000-0005-0000-0000-000059090000}"/>
    <cellStyle name="Comma 10 7 16" xfId="2349" xr:uid="{00000000-0005-0000-0000-00005A090000}"/>
    <cellStyle name="Comma 10 7 16 2" xfId="2350" xr:uid="{00000000-0005-0000-0000-00005B090000}"/>
    <cellStyle name="Comma 10 7 16 3" xfId="2351" xr:uid="{00000000-0005-0000-0000-00005C090000}"/>
    <cellStyle name="Comma 10 7 16 4" xfId="2352" xr:uid="{00000000-0005-0000-0000-00005D090000}"/>
    <cellStyle name="Comma 10 7 16 5" xfId="2353" xr:uid="{00000000-0005-0000-0000-00005E090000}"/>
    <cellStyle name="Comma 10 7 17" xfId="2354" xr:uid="{00000000-0005-0000-0000-00005F090000}"/>
    <cellStyle name="Comma 10 7 17 2" xfId="2355" xr:uid="{00000000-0005-0000-0000-000060090000}"/>
    <cellStyle name="Comma 10 7 17 3" xfId="2356" xr:uid="{00000000-0005-0000-0000-000061090000}"/>
    <cellStyle name="Comma 10 7 17 4" xfId="2357" xr:uid="{00000000-0005-0000-0000-000062090000}"/>
    <cellStyle name="Comma 10 7 17 5" xfId="2358" xr:uid="{00000000-0005-0000-0000-000063090000}"/>
    <cellStyle name="Comma 10 7 18" xfId="2359" xr:uid="{00000000-0005-0000-0000-000064090000}"/>
    <cellStyle name="Comma 10 7 19" xfId="2360" xr:uid="{00000000-0005-0000-0000-000065090000}"/>
    <cellStyle name="Comma 10 7 2" xfId="2361" xr:uid="{00000000-0005-0000-0000-000066090000}"/>
    <cellStyle name="Comma 10 7 2 2" xfId="2362" xr:uid="{00000000-0005-0000-0000-000067090000}"/>
    <cellStyle name="Comma 10 7 2 3" xfId="2363" xr:uid="{00000000-0005-0000-0000-000068090000}"/>
    <cellStyle name="Comma 10 7 2 4" xfId="2364" xr:uid="{00000000-0005-0000-0000-000069090000}"/>
    <cellStyle name="Comma 10 7 2 5" xfId="2365" xr:uid="{00000000-0005-0000-0000-00006A090000}"/>
    <cellStyle name="Comma 10 7 20" xfId="2366" xr:uid="{00000000-0005-0000-0000-00006B090000}"/>
    <cellStyle name="Comma 10 7 21" xfId="2367" xr:uid="{00000000-0005-0000-0000-00006C090000}"/>
    <cellStyle name="Comma 10 7 3" xfId="2368" xr:uid="{00000000-0005-0000-0000-00006D090000}"/>
    <cellStyle name="Comma 10 7 3 2" xfId="2369" xr:uid="{00000000-0005-0000-0000-00006E090000}"/>
    <cellStyle name="Comma 10 7 3 3" xfId="2370" xr:uid="{00000000-0005-0000-0000-00006F090000}"/>
    <cellStyle name="Comma 10 7 3 4" xfId="2371" xr:uid="{00000000-0005-0000-0000-000070090000}"/>
    <cellStyle name="Comma 10 7 3 5" xfId="2372" xr:uid="{00000000-0005-0000-0000-000071090000}"/>
    <cellStyle name="Comma 10 7 4" xfId="2373" xr:uid="{00000000-0005-0000-0000-000072090000}"/>
    <cellStyle name="Comma 10 7 4 2" xfId="2374" xr:uid="{00000000-0005-0000-0000-000073090000}"/>
    <cellStyle name="Comma 10 7 4 3" xfId="2375" xr:uid="{00000000-0005-0000-0000-000074090000}"/>
    <cellStyle name="Comma 10 7 4 4" xfId="2376" xr:uid="{00000000-0005-0000-0000-000075090000}"/>
    <cellStyle name="Comma 10 7 4 5" xfId="2377" xr:uid="{00000000-0005-0000-0000-000076090000}"/>
    <cellStyle name="Comma 10 7 5" xfId="2378" xr:uid="{00000000-0005-0000-0000-000077090000}"/>
    <cellStyle name="Comma 10 7 5 2" xfId="2379" xr:uid="{00000000-0005-0000-0000-000078090000}"/>
    <cellStyle name="Comma 10 7 5 3" xfId="2380" xr:uid="{00000000-0005-0000-0000-000079090000}"/>
    <cellStyle name="Comma 10 7 5 4" xfId="2381" xr:uid="{00000000-0005-0000-0000-00007A090000}"/>
    <cellStyle name="Comma 10 7 5 5" xfId="2382" xr:uid="{00000000-0005-0000-0000-00007B090000}"/>
    <cellStyle name="Comma 10 7 6" xfId="2383" xr:uid="{00000000-0005-0000-0000-00007C090000}"/>
    <cellStyle name="Comma 10 7 6 2" xfId="2384" xr:uid="{00000000-0005-0000-0000-00007D090000}"/>
    <cellStyle name="Comma 10 7 6 3" xfId="2385" xr:uid="{00000000-0005-0000-0000-00007E090000}"/>
    <cellStyle name="Comma 10 7 6 4" xfId="2386" xr:uid="{00000000-0005-0000-0000-00007F090000}"/>
    <cellStyle name="Comma 10 7 6 5" xfId="2387" xr:uid="{00000000-0005-0000-0000-000080090000}"/>
    <cellStyle name="Comma 10 7 7" xfId="2388" xr:uid="{00000000-0005-0000-0000-000081090000}"/>
    <cellStyle name="Comma 10 7 7 2" xfId="2389" xr:uid="{00000000-0005-0000-0000-000082090000}"/>
    <cellStyle name="Comma 10 7 7 3" xfId="2390" xr:uid="{00000000-0005-0000-0000-000083090000}"/>
    <cellStyle name="Comma 10 7 7 4" xfId="2391" xr:uid="{00000000-0005-0000-0000-000084090000}"/>
    <cellStyle name="Comma 10 7 7 5" xfId="2392" xr:uid="{00000000-0005-0000-0000-000085090000}"/>
    <cellStyle name="Comma 10 7 8" xfId="2393" xr:uid="{00000000-0005-0000-0000-000086090000}"/>
    <cellStyle name="Comma 10 7 8 2" xfId="2394" xr:uid="{00000000-0005-0000-0000-000087090000}"/>
    <cellStyle name="Comma 10 7 8 3" xfId="2395" xr:uid="{00000000-0005-0000-0000-000088090000}"/>
    <cellStyle name="Comma 10 7 8 4" xfId="2396" xr:uid="{00000000-0005-0000-0000-000089090000}"/>
    <cellStyle name="Comma 10 7 8 5" xfId="2397" xr:uid="{00000000-0005-0000-0000-00008A090000}"/>
    <cellStyle name="Comma 10 7 9" xfId="2398" xr:uid="{00000000-0005-0000-0000-00008B090000}"/>
    <cellStyle name="Comma 10 7 9 2" xfId="2399" xr:uid="{00000000-0005-0000-0000-00008C090000}"/>
    <cellStyle name="Comma 10 7 9 3" xfId="2400" xr:uid="{00000000-0005-0000-0000-00008D090000}"/>
    <cellStyle name="Comma 10 7 9 4" xfId="2401" xr:uid="{00000000-0005-0000-0000-00008E090000}"/>
    <cellStyle name="Comma 10 7 9 5" xfId="2402" xr:uid="{00000000-0005-0000-0000-00008F090000}"/>
    <cellStyle name="Comma 10 8" xfId="2403" xr:uid="{00000000-0005-0000-0000-000090090000}"/>
    <cellStyle name="Comma 10 8 10" xfId="2404" xr:uid="{00000000-0005-0000-0000-000091090000}"/>
    <cellStyle name="Comma 10 8 10 2" xfId="2405" xr:uid="{00000000-0005-0000-0000-000092090000}"/>
    <cellStyle name="Comma 10 8 10 3" xfId="2406" xr:uid="{00000000-0005-0000-0000-000093090000}"/>
    <cellStyle name="Comma 10 8 10 4" xfId="2407" xr:uid="{00000000-0005-0000-0000-000094090000}"/>
    <cellStyle name="Comma 10 8 10 5" xfId="2408" xr:uid="{00000000-0005-0000-0000-000095090000}"/>
    <cellStyle name="Comma 10 8 11" xfId="2409" xr:uid="{00000000-0005-0000-0000-000096090000}"/>
    <cellStyle name="Comma 10 8 11 2" xfId="2410" xr:uid="{00000000-0005-0000-0000-000097090000}"/>
    <cellStyle name="Comma 10 8 11 3" xfId="2411" xr:uid="{00000000-0005-0000-0000-000098090000}"/>
    <cellStyle name="Comma 10 8 11 4" xfId="2412" xr:uid="{00000000-0005-0000-0000-000099090000}"/>
    <cellStyle name="Comma 10 8 11 5" xfId="2413" xr:uid="{00000000-0005-0000-0000-00009A090000}"/>
    <cellStyle name="Comma 10 8 12" xfId="2414" xr:uid="{00000000-0005-0000-0000-00009B090000}"/>
    <cellStyle name="Comma 10 8 12 2" xfId="2415" xr:uid="{00000000-0005-0000-0000-00009C090000}"/>
    <cellStyle name="Comma 10 8 12 3" xfId="2416" xr:uid="{00000000-0005-0000-0000-00009D090000}"/>
    <cellStyle name="Comma 10 8 12 4" xfId="2417" xr:uid="{00000000-0005-0000-0000-00009E090000}"/>
    <cellStyle name="Comma 10 8 12 5" xfId="2418" xr:uid="{00000000-0005-0000-0000-00009F090000}"/>
    <cellStyle name="Comma 10 8 13" xfId="2419" xr:uid="{00000000-0005-0000-0000-0000A0090000}"/>
    <cellStyle name="Comma 10 8 13 2" xfId="2420" xr:uid="{00000000-0005-0000-0000-0000A1090000}"/>
    <cellStyle name="Comma 10 8 13 3" xfId="2421" xr:uid="{00000000-0005-0000-0000-0000A2090000}"/>
    <cellStyle name="Comma 10 8 13 4" xfId="2422" xr:uid="{00000000-0005-0000-0000-0000A3090000}"/>
    <cellStyle name="Comma 10 8 13 5" xfId="2423" xr:uid="{00000000-0005-0000-0000-0000A4090000}"/>
    <cellStyle name="Comma 10 8 14" xfId="2424" xr:uid="{00000000-0005-0000-0000-0000A5090000}"/>
    <cellStyle name="Comma 10 8 14 2" xfId="2425" xr:uid="{00000000-0005-0000-0000-0000A6090000}"/>
    <cellStyle name="Comma 10 8 14 3" xfId="2426" xr:uid="{00000000-0005-0000-0000-0000A7090000}"/>
    <cellStyle name="Comma 10 8 14 4" xfId="2427" xr:uid="{00000000-0005-0000-0000-0000A8090000}"/>
    <cellStyle name="Comma 10 8 14 5" xfId="2428" xr:uid="{00000000-0005-0000-0000-0000A9090000}"/>
    <cellStyle name="Comma 10 8 15" xfId="2429" xr:uid="{00000000-0005-0000-0000-0000AA090000}"/>
    <cellStyle name="Comma 10 8 15 2" xfId="2430" xr:uid="{00000000-0005-0000-0000-0000AB090000}"/>
    <cellStyle name="Comma 10 8 15 3" xfId="2431" xr:uid="{00000000-0005-0000-0000-0000AC090000}"/>
    <cellStyle name="Comma 10 8 15 4" xfId="2432" xr:uid="{00000000-0005-0000-0000-0000AD090000}"/>
    <cellStyle name="Comma 10 8 15 5" xfId="2433" xr:uid="{00000000-0005-0000-0000-0000AE090000}"/>
    <cellStyle name="Comma 10 8 16" xfId="2434" xr:uid="{00000000-0005-0000-0000-0000AF090000}"/>
    <cellStyle name="Comma 10 8 16 2" xfId="2435" xr:uid="{00000000-0005-0000-0000-0000B0090000}"/>
    <cellStyle name="Comma 10 8 16 3" xfId="2436" xr:uid="{00000000-0005-0000-0000-0000B1090000}"/>
    <cellStyle name="Comma 10 8 16 4" xfId="2437" xr:uid="{00000000-0005-0000-0000-0000B2090000}"/>
    <cellStyle name="Comma 10 8 16 5" xfId="2438" xr:uid="{00000000-0005-0000-0000-0000B3090000}"/>
    <cellStyle name="Comma 10 8 17" xfId="2439" xr:uid="{00000000-0005-0000-0000-0000B4090000}"/>
    <cellStyle name="Comma 10 8 17 2" xfId="2440" xr:uid="{00000000-0005-0000-0000-0000B5090000}"/>
    <cellStyle name="Comma 10 8 17 3" xfId="2441" xr:uid="{00000000-0005-0000-0000-0000B6090000}"/>
    <cellStyle name="Comma 10 8 17 4" xfId="2442" xr:uid="{00000000-0005-0000-0000-0000B7090000}"/>
    <cellStyle name="Comma 10 8 17 5" xfId="2443" xr:uid="{00000000-0005-0000-0000-0000B8090000}"/>
    <cellStyle name="Comma 10 8 18" xfId="2444" xr:uid="{00000000-0005-0000-0000-0000B9090000}"/>
    <cellStyle name="Comma 10 8 19" xfId="2445" xr:uid="{00000000-0005-0000-0000-0000BA090000}"/>
    <cellStyle name="Comma 10 8 2" xfId="2446" xr:uid="{00000000-0005-0000-0000-0000BB090000}"/>
    <cellStyle name="Comma 10 8 2 2" xfId="2447" xr:uid="{00000000-0005-0000-0000-0000BC090000}"/>
    <cellStyle name="Comma 10 8 2 3" xfId="2448" xr:uid="{00000000-0005-0000-0000-0000BD090000}"/>
    <cellStyle name="Comma 10 8 2 4" xfId="2449" xr:uid="{00000000-0005-0000-0000-0000BE090000}"/>
    <cellStyle name="Comma 10 8 2 5" xfId="2450" xr:uid="{00000000-0005-0000-0000-0000BF090000}"/>
    <cellStyle name="Comma 10 8 20" xfId="2451" xr:uid="{00000000-0005-0000-0000-0000C0090000}"/>
    <cellStyle name="Comma 10 8 21" xfId="2452" xr:uid="{00000000-0005-0000-0000-0000C1090000}"/>
    <cellStyle name="Comma 10 8 3" xfId="2453" xr:uid="{00000000-0005-0000-0000-0000C2090000}"/>
    <cellStyle name="Comma 10 8 3 2" xfId="2454" xr:uid="{00000000-0005-0000-0000-0000C3090000}"/>
    <cellStyle name="Comma 10 8 3 3" xfId="2455" xr:uid="{00000000-0005-0000-0000-0000C4090000}"/>
    <cellStyle name="Comma 10 8 3 4" xfId="2456" xr:uid="{00000000-0005-0000-0000-0000C5090000}"/>
    <cellStyle name="Comma 10 8 3 5" xfId="2457" xr:uid="{00000000-0005-0000-0000-0000C6090000}"/>
    <cellStyle name="Comma 10 8 4" xfId="2458" xr:uid="{00000000-0005-0000-0000-0000C7090000}"/>
    <cellStyle name="Comma 10 8 4 2" xfId="2459" xr:uid="{00000000-0005-0000-0000-0000C8090000}"/>
    <cellStyle name="Comma 10 8 4 3" xfId="2460" xr:uid="{00000000-0005-0000-0000-0000C9090000}"/>
    <cellStyle name="Comma 10 8 4 4" xfId="2461" xr:uid="{00000000-0005-0000-0000-0000CA090000}"/>
    <cellStyle name="Comma 10 8 4 5" xfId="2462" xr:uid="{00000000-0005-0000-0000-0000CB090000}"/>
    <cellStyle name="Comma 10 8 5" xfId="2463" xr:uid="{00000000-0005-0000-0000-0000CC090000}"/>
    <cellStyle name="Comma 10 8 5 2" xfId="2464" xr:uid="{00000000-0005-0000-0000-0000CD090000}"/>
    <cellStyle name="Comma 10 8 5 3" xfId="2465" xr:uid="{00000000-0005-0000-0000-0000CE090000}"/>
    <cellStyle name="Comma 10 8 5 4" xfId="2466" xr:uid="{00000000-0005-0000-0000-0000CF090000}"/>
    <cellStyle name="Comma 10 8 5 5" xfId="2467" xr:uid="{00000000-0005-0000-0000-0000D0090000}"/>
    <cellStyle name="Comma 10 8 6" xfId="2468" xr:uid="{00000000-0005-0000-0000-0000D1090000}"/>
    <cellStyle name="Comma 10 8 6 2" xfId="2469" xr:uid="{00000000-0005-0000-0000-0000D2090000}"/>
    <cellStyle name="Comma 10 8 6 3" xfId="2470" xr:uid="{00000000-0005-0000-0000-0000D3090000}"/>
    <cellStyle name="Comma 10 8 6 4" xfId="2471" xr:uid="{00000000-0005-0000-0000-0000D4090000}"/>
    <cellStyle name="Comma 10 8 6 5" xfId="2472" xr:uid="{00000000-0005-0000-0000-0000D5090000}"/>
    <cellStyle name="Comma 10 8 7" xfId="2473" xr:uid="{00000000-0005-0000-0000-0000D6090000}"/>
    <cellStyle name="Comma 10 8 7 2" xfId="2474" xr:uid="{00000000-0005-0000-0000-0000D7090000}"/>
    <cellStyle name="Comma 10 8 7 3" xfId="2475" xr:uid="{00000000-0005-0000-0000-0000D8090000}"/>
    <cellStyle name="Comma 10 8 7 4" xfId="2476" xr:uid="{00000000-0005-0000-0000-0000D9090000}"/>
    <cellStyle name="Comma 10 8 7 5" xfId="2477" xr:uid="{00000000-0005-0000-0000-0000DA090000}"/>
    <cellStyle name="Comma 10 8 8" xfId="2478" xr:uid="{00000000-0005-0000-0000-0000DB090000}"/>
    <cellStyle name="Comma 10 8 8 2" xfId="2479" xr:uid="{00000000-0005-0000-0000-0000DC090000}"/>
    <cellStyle name="Comma 10 8 8 3" xfId="2480" xr:uid="{00000000-0005-0000-0000-0000DD090000}"/>
    <cellStyle name="Comma 10 8 8 4" xfId="2481" xr:uid="{00000000-0005-0000-0000-0000DE090000}"/>
    <cellStyle name="Comma 10 8 8 5" xfId="2482" xr:uid="{00000000-0005-0000-0000-0000DF090000}"/>
    <cellStyle name="Comma 10 8 9" xfId="2483" xr:uid="{00000000-0005-0000-0000-0000E0090000}"/>
    <cellStyle name="Comma 10 8 9 2" xfId="2484" xr:uid="{00000000-0005-0000-0000-0000E1090000}"/>
    <cellStyle name="Comma 10 8 9 3" xfId="2485" xr:uid="{00000000-0005-0000-0000-0000E2090000}"/>
    <cellStyle name="Comma 10 8 9 4" xfId="2486" xr:uid="{00000000-0005-0000-0000-0000E3090000}"/>
    <cellStyle name="Comma 10 8 9 5" xfId="2487" xr:uid="{00000000-0005-0000-0000-0000E4090000}"/>
    <cellStyle name="Comma 10 9" xfId="2488" xr:uid="{00000000-0005-0000-0000-0000E5090000}"/>
    <cellStyle name="Comma 11" xfId="2489" xr:uid="{00000000-0005-0000-0000-0000E6090000}"/>
    <cellStyle name="Comma 11 2" xfId="2490" xr:uid="{00000000-0005-0000-0000-0000E7090000}"/>
    <cellStyle name="Comma 11 2 2" xfId="2491" xr:uid="{00000000-0005-0000-0000-0000E8090000}"/>
    <cellStyle name="Comma 11 2 3" xfId="2492" xr:uid="{00000000-0005-0000-0000-0000E9090000}"/>
    <cellStyle name="Comma 11 3" xfId="2493" xr:uid="{00000000-0005-0000-0000-0000EA090000}"/>
    <cellStyle name="Comma 11 4" xfId="2494" xr:uid="{00000000-0005-0000-0000-0000EB090000}"/>
    <cellStyle name="Comma 12" xfId="2495" xr:uid="{00000000-0005-0000-0000-0000EC090000}"/>
    <cellStyle name="Comma 12 2" xfId="2496" xr:uid="{00000000-0005-0000-0000-0000ED090000}"/>
    <cellStyle name="Comma 12 2 2" xfId="2497" xr:uid="{00000000-0005-0000-0000-0000EE090000}"/>
    <cellStyle name="Comma 12 2 3" xfId="2498" xr:uid="{00000000-0005-0000-0000-0000EF090000}"/>
    <cellStyle name="Comma 12 3" xfId="2499" xr:uid="{00000000-0005-0000-0000-0000F0090000}"/>
    <cellStyle name="Comma 12 4" xfId="2500" xr:uid="{00000000-0005-0000-0000-0000F1090000}"/>
    <cellStyle name="Comma 13" xfId="2501" xr:uid="{00000000-0005-0000-0000-0000F2090000}"/>
    <cellStyle name="Comma 13 2" xfId="2502" xr:uid="{00000000-0005-0000-0000-0000F3090000}"/>
    <cellStyle name="Comma 13 2 2" xfId="2503" xr:uid="{00000000-0005-0000-0000-0000F4090000}"/>
    <cellStyle name="Comma 13 2 3" xfId="2504" xr:uid="{00000000-0005-0000-0000-0000F5090000}"/>
    <cellStyle name="Comma 13 3" xfId="2505" xr:uid="{00000000-0005-0000-0000-0000F6090000}"/>
    <cellStyle name="Comma 13 4" xfId="2506" xr:uid="{00000000-0005-0000-0000-0000F7090000}"/>
    <cellStyle name="Comma 14" xfId="2507" xr:uid="{00000000-0005-0000-0000-0000F8090000}"/>
    <cellStyle name="Comma 14 2" xfId="2508" xr:uid="{00000000-0005-0000-0000-0000F9090000}"/>
    <cellStyle name="Comma 14 2 2" xfId="2509" xr:uid="{00000000-0005-0000-0000-0000FA090000}"/>
    <cellStyle name="Comma 14 2 3" xfId="2510" xr:uid="{00000000-0005-0000-0000-0000FB090000}"/>
    <cellStyle name="Comma 14 3" xfId="2511" xr:uid="{00000000-0005-0000-0000-0000FC090000}"/>
    <cellStyle name="Comma 14 4" xfId="2512" xr:uid="{00000000-0005-0000-0000-0000FD090000}"/>
    <cellStyle name="Comma 14 5" xfId="2513" xr:uid="{00000000-0005-0000-0000-0000FE090000}"/>
    <cellStyle name="Comma 15" xfId="2514" xr:uid="{00000000-0005-0000-0000-0000FF090000}"/>
    <cellStyle name="Comma 15 2" xfId="2515" xr:uid="{00000000-0005-0000-0000-0000000A0000}"/>
    <cellStyle name="Comma 15 2 2" xfId="2516" xr:uid="{00000000-0005-0000-0000-0000010A0000}"/>
    <cellStyle name="Comma 15 2 3" xfId="2517" xr:uid="{00000000-0005-0000-0000-0000020A0000}"/>
    <cellStyle name="Comma 15 3" xfId="2518" xr:uid="{00000000-0005-0000-0000-0000030A0000}"/>
    <cellStyle name="Comma 15 4" xfId="2519" xr:uid="{00000000-0005-0000-0000-0000040A0000}"/>
    <cellStyle name="Comma 16" xfId="2520" xr:uid="{00000000-0005-0000-0000-0000050A0000}"/>
    <cellStyle name="Comma 16 2" xfId="2521" xr:uid="{00000000-0005-0000-0000-0000060A0000}"/>
    <cellStyle name="Comma 16 2 2" xfId="2522" xr:uid="{00000000-0005-0000-0000-0000070A0000}"/>
    <cellStyle name="Comma 16 2 3" xfId="2523" xr:uid="{00000000-0005-0000-0000-0000080A0000}"/>
    <cellStyle name="Comma 16 3" xfId="2524" xr:uid="{00000000-0005-0000-0000-0000090A0000}"/>
    <cellStyle name="Comma 16 4" xfId="2525" xr:uid="{00000000-0005-0000-0000-00000A0A0000}"/>
    <cellStyle name="Comma 17" xfId="2526" xr:uid="{00000000-0005-0000-0000-00000B0A0000}"/>
    <cellStyle name="Comma 17 2" xfId="2527" xr:uid="{00000000-0005-0000-0000-00000C0A0000}"/>
    <cellStyle name="Comma 17 2 2" xfId="2528" xr:uid="{00000000-0005-0000-0000-00000D0A0000}"/>
    <cellStyle name="Comma 17 2 3" xfId="2529" xr:uid="{00000000-0005-0000-0000-00000E0A0000}"/>
    <cellStyle name="Comma 17 3" xfId="2530" xr:uid="{00000000-0005-0000-0000-00000F0A0000}"/>
    <cellStyle name="Comma 17 4" xfId="2531" xr:uid="{00000000-0005-0000-0000-0000100A0000}"/>
    <cellStyle name="Comma 18" xfId="2532" xr:uid="{00000000-0005-0000-0000-0000110A0000}"/>
    <cellStyle name="Comma 18 2" xfId="2533" xr:uid="{00000000-0005-0000-0000-0000120A0000}"/>
    <cellStyle name="Comma 18 2 2" xfId="2534" xr:uid="{00000000-0005-0000-0000-0000130A0000}"/>
    <cellStyle name="Comma 18 2 3" xfId="2535" xr:uid="{00000000-0005-0000-0000-0000140A0000}"/>
    <cellStyle name="Comma 18 3" xfId="2536" xr:uid="{00000000-0005-0000-0000-0000150A0000}"/>
    <cellStyle name="Comma 18 4" xfId="2537" xr:uid="{00000000-0005-0000-0000-0000160A0000}"/>
    <cellStyle name="Comma 19" xfId="2538" xr:uid="{00000000-0005-0000-0000-0000170A0000}"/>
    <cellStyle name="Comma 19 2" xfId="2539" xr:uid="{00000000-0005-0000-0000-0000180A0000}"/>
    <cellStyle name="Comma 19 2 2" xfId="2540" xr:uid="{00000000-0005-0000-0000-0000190A0000}"/>
    <cellStyle name="Comma 19 2 3" xfId="2541" xr:uid="{00000000-0005-0000-0000-00001A0A0000}"/>
    <cellStyle name="Comma 19 3" xfId="2542" xr:uid="{00000000-0005-0000-0000-00001B0A0000}"/>
    <cellStyle name="Comma 19 4" xfId="2543" xr:uid="{00000000-0005-0000-0000-00001C0A0000}"/>
    <cellStyle name="Comma 2" xfId="2544" xr:uid="{00000000-0005-0000-0000-00001D0A0000}"/>
    <cellStyle name="Comma 2 10" xfId="2545" xr:uid="{00000000-0005-0000-0000-00001E0A0000}"/>
    <cellStyle name="Comma 2 10 2" xfId="2546" xr:uid="{00000000-0005-0000-0000-00001F0A0000}"/>
    <cellStyle name="Comma 2 10 3" xfId="2547" xr:uid="{00000000-0005-0000-0000-0000200A0000}"/>
    <cellStyle name="Comma 2 10 3 2" xfId="2548" xr:uid="{00000000-0005-0000-0000-0000210A0000}"/>
    <cellStyle name="Comma 2 10 3 3" xfId="2549" xr:uid="{00000000-0005-0000-0000-0000220A0000}"/>
    <cellStyle name="Comma 2 11" xfId="2550" xr:uid="{00000000-0005-0000-0000-0000230A0000}"/>
    <cellStyle name="Comma 2 11 2" xfId="2551" xr:uid="{00000000-0005-0000-0000-0000240A0000}"/>
    <cellStyle name="Comma 2 11 3" xfId="2552" xr:uid="{00000000-0005-0000-0000-0000250A0000}"/>
    <cellStyle name="Comma 2 11 3 2" xfId="2553" xr:uid="{00000000-0005-0000-0000-0000260A0000}"/>
    <cellStyle name="Comma 2 11 3 3" xfId="2554" xr:uid="{00000000-0005-0000-0000-0000270A0000}"/>
    <cellStyle name="Comma 2 12" xfId="2555" xr:uid="{00000000-0005-0000-0000-0000280A0000}"/>
    <cellStyle name="Comma 2 12 2" xfId="2556" xr:uid="{00000000-0005-0000-0000-0000290A0000}"/>
    <cellStyle name="Comma 2 12 3" xfId="2557" xr:uid="{00000000-0005-0000-0000-00002A0A0000}"/>
    <cellStyle name="Comma 2 12 3 2" xfId="2558" xr:uid="{00000000-0005-0000-0000-00002B0A0000}"/>
    <cellStyle name="Comma 2 12 3 3" xfId="2559" xr:uid="{00000000-0005-0000-0000-00002C0A0000}"/>
    <cellStyle name="Comma 2 13" xfId="2560" xr:uid="{00000000-0005-0000-0000-00002D0A0000}"/>
    <cellStyle name="Comma 2 13 2" xfId="2561" xr:uid="{00000000-0005-0000-0000-00002E0A0000}"/>
    <cellStyle name="Comma 2 13 3" xfId="2562" xr:uid="{00000000-0005-0000-0000-00002F0A0000}"/>
    <cellStyle name="Comma 2 13 3 2" xfId="2563" xr:uid="{00000000-0005-0000-0000-0000300A0000}"/>
    <cellStyle name="Comma 2 13 3 3" xfId="2564" xr:uid="{00000000-0005-0000-0000-0000310A0000}"/>
    <cellStyle name="Comma 2 14" xfId="2565" xr:uid="{00000000-0005-0000-0000-0000320A0000}"/>
    <cellStyle name="Comma 2 15" xfId="2566" xr:uid="{00000000-0005-0000-0000-0000330A0000}"/>
    <cellStyle name="Comma 2 16" xfId="2567" xr:uid="{00000000-0005-0000-0000-0000340A0000}"/>
    <cellStyle name="Comma 2 17" xfId="2568" xr:uid="{00000000-0005-0000-0000-0000350A0000}"/>
    <cellStyle name="Comma 2 17 2" xfId="2569" xr:uid="{00000000-0005-0000-0000-0000360A0000}"/>
    <cellStyle name="Comma 2 17 2 2" xfId="2570" xr:uid="{00000000-0005-0000-0000-0000370A0000}"/>
    <cellStyle name="Comma 2 17 2 3" xfId="2571" xr:uid="{00000000-0005-0000-0000-0000380A0000}"/>
    <cellStyle name="Comma 2 17 3" xfId="2572" xr:uid="{00000000-0005-0000-0000-0000390A0000}"/>
    <cellStyle name="Comma 2 17 4" xfId="2573" xr:uid="{00000000-0005-0000-0000-00003A0A0000}"/>
    <cellStyle name="Comma 2 18" xfId="2574" xr:uid="{00000000-0005-0000-0000-00003B0A0000}"/>
    <cellStyle name="Comma 2 18 2" xfId="2575" xr:uid="{00000000-0005-0000-0000-00003C0A0000}"/>
    <cellStyle name="Comma 2 18 2 2" xfId="2576" xr:uid="{00000000-0005-0000-0000-00003D0A0000}"/>
    <cellStyle name="Comma 2 18 2 3" xfId="2577" xr:uid="{00000000-0005-0000-0000-00003E0A0000}"/>
    <cellStyle name="Comma 2 18 3" xfId="2578" xr:uid="{00000000-0005-0000-0000-00003F0A0000}"/>
    <cellStyle name="Comma 2 18 4" xfId="2579" xr:uid="{00000000-0005-0000-0000-0000400A0000}"/>
    <cellStyle name="Comma 2 19" xfId="2580" xr:uid="{00000000-0005-0000-0000-0000410A0000}"/>
    <cellStyle name="Comma 2 19 2" xfId="2581" xr:uid="{00000000-0005-0000-0000-0000420A0000}"/>
    <cellStyle name="Comma 2 19 2 2" xfId="2582" xr:uid="{00000000-0005-0000-0000-0000430A0000}"/>
    <cellStyle name="Comma 2 19 2 2 2" xfId="2583" xr:uid="{00000000-0005-0000-0000-0000440A0000}"/>
    <cellStyle name="Comma 2 19 2 2 3" xfId="2584" xr:uid="{00000000-0005-0000-0000-0000450A0000}"/>
    <cellStyle name="Comma 2 19 2 3" xfId="2585" xr:uid="{00000000-0005-0000-0000-0000460A0000}"/>
    <cellStyle name="Comma 2 19 2 4" xfId="2586" xr:uid="{00000000-0005-0000-0000-0000470A0000}"/>
    <cellStyle name="Comma 2 19 3" xfId="2587" xr:uid="{00000000-0005-0000-0000-0000480A0000}"/>
    <cellStyle name="Comma 2 19 3 2" xfId="2588" xr:uid="{00000000-0005-0000-0000-0000490A0000}"/>
    <cellStyle name="Comma 2 19 3 3" xfId="2589" xr:uid="{00000000-0005-0000-0000-00004A0A0000}"/>
    <cellStyle name="Comma 2 19 4" xfId="2590" xr:uid="{00000000-0005-0000-0000-00004B0A0000}"/>
    <cellStyle name="Comma 2 19 5" xfId="2591" xr:uid="{00000000-0005-0000-0000-00004C0A0000}"/>
    <cellStyle name="Comma 2 2" xfId="2592" xr:uid="{00000000-0005-0000-0000-00004D0A0000}"/>
    <cellStyle name="Comma 2 2 10" xfId="2593" xr:uid="{00000000-0005-0000-0000-00004E0A0000}"/>
    <cellStyle name="Comma 2 2 2" xfId="2594" xr:uid="{00000000-0005-0000-0000-00004F0A0000}"/>
    <cellStyle name="Comma 2 2 2 10" xfId="2595" xr:uid="{00000000-0005-0000-0000-0000500A0000}"/>
    <cellStyle name="Comma 2 2 2 2" xfId="2596" xr:uid="{00000000-0005-0000-0000-0000510A0000}"/>
    <cellStyle name="Comma 2 2 2 2 2" xfId="2597" xr:uid="{00000000-0005-0000-0000-0000520A0000}"/>
    <cellStyle name="Comma 2 2 2 2 2 2" xfId="2598" xr:uid="{00000000-0005-0000-0000-0000530A0000}"/>
    <cellStyle name="Comma 2 2 2 2 3" xfId="2599" xr:uid="{00000000-0005-0000-0000-0000540A0000}"/>
    <cellStyle name="Comma 2 2 2 2 4" xfId="2600" xr:uid="{00000000-0005-0000-0000-0000550A0000}"/>
    <cellStyle name="Comma 2 2 2 3" xfId="2601" xr:uid="{00000000-0005-0000-0000-0000560A0000}"/>
    <cellStyle name="Comma 2 2 2 3 2" xfId="2602" xr:uid="{00000000-0005-0000-0000-0000570A0000}"/>
    <cellStyle name="Comma 2 2 2 3 3" xfId="2603" xr:uid="{00000000-0005-0000-0000-0000580A0000}"/>
    <cellStyle name="Comma 2 2 2 4" xfId="2604" xr:uid="{00000000-0005-0000-0000-0000590A0000}"/>
    <cellStyle name="Comma 2 2 2 4 2" xfId="2605" xr:uid="{00000000-0005-0000-0000-00005A0A0000}"/>
    <cellStyle name="Comma 2 2 2 4 2 2" xfId="2606" xr:uid="{00000000-0005-0000-0000-00005B0A0000}"/>
    <cellStyle name="Comma 2 2 2 4 2 3" xfId="2607" xr:uid="{00000000-0005-0000-0000-00005C0A0000}"/>
    <cellStyle name="Comma 2 2 2 4 3" xfId="2608" xr:uid="{00000000-0005-0000-0000-00005D0A0000}"/>
    <cellStyle name="Comma 2 2 2 4 3 2" xfId="2609" xr:uid="{00000000-0005-0000-0000-00005E0A0000}"/>
    <cellStyle name="Comma 2 2 2 4 3 3" xfId="2610" xr:uid="{00000000-0005-0000-0000-00005F0A0000}"/>
    <cellStyle name="Comma 2 2 2 4 4" xfId="2611" xr:uid="{00000000-0005-0000-0000-0000600A0000}"/>
    <cellStyle name="Comma 2 2 2 4 5" xfId="2612" xr:uid="{00000000-0005-0000-0000-0000610A0000}"/>
    <cellStyle name="Comma 2 2 2 5" xfId="2613" xr:uid="{00000000-0005-0000-0000-0000620A0000}"/>
    <cellStyle name="Comma 2 2 2 5 2" xfId="2614" xr:uid="{00000000-0005-0000-0000-0000630A0000}"/>
    <cellStyle name="Comma 2 2 2 5 3" xfId="2615" xr:uid="{00000000-0005-0000-0000-0000640A0000}"/>
    <cellStyle name="Comma 2 2 2 6" xfId="2616" xr:uid="{00000000-0005-0000-0000-0000650A0000}"/>
    <cellStyle name="Comma 2 2 2 7" xfId="2617" xr:uid="{00000000-0005-0000-0000-0000660A0000}"/>
    <cellStyle name="Comma 2 2 2 7 2" xfId="2618" xr:uid="{00000000-0005-0000-0000-0000670A0000}"/>
    <cellStyle name="Comma 2 2 2 7 3" xfId="2619" xr:uid="{00000000-0005-0000-0000-0000680A0000}"/>
    <cellStyle name="Comma 2 2 2 8" xfId="2620" xr:uid="{00000000-0005-0000-0000-0000690A0000}"/>
    <cellStyle name="Comma 2 2 2 9" xfId="2621" xr:uid="{00000000-0005-0000-0000-00006A0A0000}"/>
    <cellStyle name="Comma 2 2 3" xfId="2622" xr:uid="{00000000-0005-0000-0000-00006B0A0000}"/>
    <cellStyle name="Comma 2 2 3 2" xfId="2623" xr:uid="{00000000-0005-0000-0000-00006C0A0000}"/>
    <cellStyle name="Comma 2 2 3 2 2" xfId="2624" xr:uid="{00000000-0005-0000-0000-00006D0A0000}"/>
    <cellStyle name="Comma 2 2 3 2 3" xfId="2625" xr:uid="{00000000-0005-0000-0000-00006E0A0000}"/>
    <cellStyle name="Comma 2 2 3 3" xfId="2626" xr:uid="{00000000-0005-0000-0000-00006F0A0000}"/>
    <cellStyle name="Comma 2 2 3 3 2" xfId="2627" xr:uid="{00000000-0005-0000-0000-0000700A0000}"/>
    <cellStyle name="Comma 2 2 3 3 3" xfId="2628" xr:uid="{00000000-0005-0000-0000-0000710A0000}"/>
    <cellStyle name="Comma 2 2 3 4" xfId="2629" xr:uid="{00000000-0005-0000-0000-0000720A0000}"/>
    <cellStyle name="Comma 2 2 3 4 2" xfId="2630" xr:uid="{00000000-0005-0000-0000-0000730A0000}"/>
    <cellStyle name="Comma 2 2 3 4 2 2" xfId="2631" xr:uid="{00000000-0005-0000-0000-0000740A0000}"/>
    <cellStyle name="Comma 2 2 3 4 2 3" xfId="2632" xr:uid="{00000000-0005-0000-0000-0000750A0000}"/>
    <cellStyle name="Comma 2 2 3 4 3" xfId="2633" xr:uid="{00000000-0005-0000-0000-0000760A0000}"/>
    <cellStyle name="Comma 2 2 3 4 4" xfId="2634" xr:uid="{00000000-0005-0000-0000-0000770A0000}"/>
    <cellStyle name="Comma 2 2 3 5" xfId="2635" xr:uid="{00000000-0005-0000-0000-0000780A0000}"/>
    <cellStyle name="Comma 2 2 3 5 2" xfId="2636" xr:uid="{00000000-0005-0000-0000-0000790A0000}"/>
    <cellStyle name="Comma 2 2 3 5 3" xfId="2637" xr:uid="{00000000-0005-0000-0000-00007A0A0000}"/>
    <cellStyle name="Comma 2 2 3 6" xfId="2638" xr:uid="{00000000-0005-0000-0000-00007B0A0000}"/>
    <cellStyle name="Comma 2 2 3 6 2" xfId="2639" xr:uid="{00000000-0005-0000-0000-00007C0A0000}"/>
    <cellStyle name="Comma 2 2 3 6 3" xfId="2640" xr:uid="{00000000-0005-0000-0000-00007D0A0000}"/>
    <cellStyle name="Comma 2 2 3 7" xfId="2641" xr:uid="{00000000-0005-0000-0000-00007E0A0000}"/>
    <cellStyle name="Comma 2 2 3 8" xfId="2642" xr:uid="{00000000-0005-0000-0000-00007F0A0000}"/>
    <cellStyle name="Comma 2 2 3 9" xfId="2643" xr:uid="{00000000-0005-0000-0000-0000800A0000}"/>
    <cellStyle name="Comma 2 2 4" xfId="2644" xr:uid="{00000000-0005-0000-0000-0000810A0000}"/>
    <cellStyle name="Comma 2 2 4 2" xfId="2645" xr:uid="{00000000-0005-0000-0000-0000820A0000}"/>
    <cellStyle name="Comma 2 2 4 2 2" xfId="2646" xr:uid="{00000000-0005-0000-0000-0000830A0000}"/>
    <cellStyle name="Comma 2 2 4 2 3" xfId="2647" xr:uid="{00000000-0005-0000-0000-0000840A0000}"/>
    <cellStyle name="Comma 2 2 4 3" xfId="2648" xr:uid="{00000000-0005-0000-0000-0000850A0000}"/>
    <cellStyle name="Comma 2 2 4 4" xfId="2649" xr:uid="{00000000-0005-0000-0000-0000860A0000}"/>
    <cellStyle name="Comma 2 2 5" xfId="2650" xr:uid="{00000000-0005-0000-0000-0000870A0000}"/>
    <cellStyle name="Comma 2 2 5 2" xfId="2651" xr:uid="{00000000-0005-0000-0000-0000880A0000}"/>
    <cellStyle name="Comma 2 2 5 3" xfId="2652" xr:uid="{00000000-0005-0000-0000-0000890A0000}"/>
    <cellStyle name="Comma 2 2 6" xfId="2653" xr:uid="{00000000-0005-0000-0000-00008A0A0000}"/>
    <cellStyle name="Comma 2 2 6 2" xfId="2654" xr:uid="{00000000-0005-0000-0000-00008B0A0000}"/>
    <cellStyle name="Comma 2 2 6 2 2" xfId="2655" xr:uid="{00000000-0005-0000-0000-00008C0A0000}"/>
    <cellStyle name="Comma 2 2 6 2 3" xfId="2656" xr:uid="{00000000-0005-0000-0000-00008D0A0000}"/>
    <cellStyle name="Comma 2 2 6 3" xfId="2657" xr:uid="{00000000-0005-0000-0000-00008E0A0000}"/>
    <cellStyle name="Comma 2 2 6 3 2" xfId="2658" xr:uid="{00000000-0005-0000-0000-00008F0A0000}"/>
    <cellStyle name="Comma 2 2 6 3 3" xfId="2659" xr:uid="{00000000-0005-0000-0000-0000900A0000}"/>
    <cellStyle name="Comma 2 2 6 4" xfId="2660" xr:uid="{00000000-0005-0000-0000-0000910A0000}"/>
    <cellStyle name="Comma 2 2 6 5" xfId="2661" xr:uid="{00000000-0005-0000-0000-0000920A0000}"/>
    <cellStyle name="Comma 2 2 7" xfId="2662" xr:uid="{00000000-0005-0000-0000-0000930A0000}"/>
    <cellStyle name="Comma 2 2 7 2" xfId="2663" xr:uid="{00000000-0005-0000-0000-0000940A0000}"/>
    <cellStyle name="Comma 2 2 7 3" xfId="2664" xr:uid="{00000000-0005-0000-0000-0000950A0000}"/>
    <cellStyle name="Comma 2 2 8" xfId="2665" xr:uid="{00000000-0005-0000-0000-0000960A0000}"/>
    <cellStyle name="Comma 2 2 9" xfId="2666" xr:uid="{00000000-0005-0000-0000-0000970A0000}"/>
    <cellStyle name="Comma 2 20" xfId="2667" xr:uid="{00000000-0005-0000-0000-0000980A0000}"/>
    <cellStyle name="Comma 2 20 2" xfId="2668" xr:uid="{00000000-0005-0000-0000-0000990A0000}"/>
    <cellStyle name="Comma 2 20 2 2" xfId="2669" xr:uid="{00000000-0005-0000-0000-00009A0A0000}"/>
    <cellStyle name="Comma 2 20 2 3" xfId="2670" xr:uid="{00000000-0005-0000-0000-00009B0A0000}"/>
    <cellStyle name="Comma 2 20 3" xfId="2671" xr:uid="{00000000-0005-0000-0000-00009C0A0000}"/>
    <cellStyle name="Comma 2 20 4" xfId="2672" xr:uid="{00000000-0005-0000-0000-00009D0A0000}"/>
    <cellStyle name="Comma 2 21" xfId="2673" xr:uid="{00000000-0005-0000-0000-00009E0A0000}"/>
    <cellStyle name="Comma 2 21 2" xfId="2674" xr:uid="{00000000-0005-0000-0000-00009F0A0000}"/>
    <cellStyle name="Comma 2 21 2 2" xfId="2675" xr:uid="{00000000-0005-0000-0000-0000A00A0000}"/>
    <cellStyle name="Comma 2 21 2 3" xfId="2676" xr:uid="{00000000-0005-0000-0000-0000A10A0000}"/>
    <cellStyle name="Comma 2 21 3" xfId="2677" xr:uid="{00000000-0005-0000-0000-0000A20A0000}"/>
    <cellStyle name="Comma 2 21 4" xfId="2678" xr:uid="{00000000-0005-0000-0000-0000A30A0000}"/>
    <cellStyle name="Comma 2 22" xfId="2679" xr:uid="{00000000-0005-0000-0000-0000A40A0000}"/>
    <cellStyle name="Comma 2 22 2" xfId="2680" xr:uid="{00000000-0005-0000-0000-0000A50A0000}"/>
    <cellStyle name="Comma 2 22 3" xfId="2681" xr:uid="{00000000-0005-0000-0000-0000A60A0000}"/>
    <cellStyle name="Comma 2 23" xfId="2682" xr:uid="{00000000-0005-0000-0000-0000A70A0000}"/>
    <cellStyle name="Comma 2 24" xfId="2683" xr:uid="{00000000-0005-0000-0000-0000A80A0000}"/>
    <cellStyle name="Comma 2 3" xfId="2684" xr:uid="{00000000-0005-0000-0000-0000A90A0000}"/>
    <cellStyle name="Comma 2 3 2" xfId="2685" xr:uid="{00000000-0005-0000-0000-0000AA0A0000}"/>
    <cellStyle name="Comma 2 3 2 2" xfId="2686" xr:uid="{00000000-0005-0000-0000-0000AB0A0000}"/>
    <cellStyle name="Comma 2 3 2 2 2" xfId="2687" xr:uid="{00000000-0005-0000-0000-0000AC0A0000}"/>
    <cellStyle name="Comma 2 3 2 2 2 2" xfId="2688" xr:uid="{00000000-0005-0000-0000-0000AD0A0000}"/>
    <cellStyle name="Comma 2 3 2 2 2 3" xfId="2689" xr:uid="{00000000-0005-0000-0000-0000AE0A0000}"/>
    <cellStyle name="Comma 2 3 2 2 3" xfId="2690" xr:uid="{00000000-0005-0000-0000-0000AF0A0000}"/>
    <cellStyle name="Comma 2 3 2 2 3 2" xfId="2691" xr:uid="{00000000-0005-0000-0000-0000B00A0000}"/>
    <cellStyle name="Comma 2 3 2 2 4" xfId="2692" xr:uid="{00000000-0005-0000-0000-0000B10A0000}"/>
    <cellStyle name="Comma 2 3 2 2 5" xfId="2693" xr:uid="{00000000-0005-0000-0000-0000B20A0000}"/>
    <cellStyle name="Comma 2 3 2 3" xfId="2694" xr:uid="{00000000-0005-0000-0000-0000B30A0000}"/>
    <cellStyle name="Comma 2 3 2 3 2" xfId="2695" xr:uid="{00000000-0005-0000-0000-0000B40A0000}"/>
    <cellStyle name="Comma 2 3 2 3 3" xfId="2696" xr:uid="{00000000-0005-0000-0000-0000B50A0000}"/>
    <cellStyle name="Comma 2 3 2 4" xfId="2697" xr:uid="{00000000-0005-0000-0000-0000B60A0000}"/>
    <cellStyle name="Comma 2 3 2 4 2" xfId="2698" xr:uid="{00000000-0005-0000-0000-0000B70A0000}"/>
    <cellStyle name="Comma 2 3 2 4 2 2" xfId="2699" xr:uid="{00000000-0005-0000-0000-0000B80A0000}"/>
    <cellStyle name="Comma 2 3 2 4 2 3" xfId="2700" xr:uid="{00000000-0005-0000-0000-0000B90A0000}"/>
    <cellStyle name="Comma 2 3 2 4 3" xfId="2701" xr:uid="{00000000-0005-0000-0000-0000BA0A0000}"/>
    <cellStyle name="Comma 2 3 2 4 3 2" xfId="2702" xr:uid="{00000000-0005-0000-0000-0000BB0A0000}"/>
    <cellStyle name="Comma 2 3 2 4 3 3" xfId="2703" xr:uid="{00000000-0005-0000-0000-0000BC0A0000}"/>
    <cellStyle name="Comma 2 3 2 4 4" xfId="2704" xr:uid="{00000000-0005-0000-0000-0000BD0A0000}"/>
    <cellStyle name="Comma 2 3 2 4 4 2" xfId="2705" xr:uid="{00000000-0005-0000-0000-0000BE0A0000}"/>
    <cellStyle name="Comma 2 3 2 4 4 3" xfId="2706" xr:uid="{00000000-0005-0000-0000-0000BF0A0000}"/>
    <cellStyle name="Comma 2 3 2 4 5" xfId="2707" xr:uid="{00000000-0005-0000-0000-0000C00A0000}"/>
    <cellStyle name="Comma 2 3 2 4 6" xfId="2708" xr:uid="{00000000-0005-0000-0000-0000C10A0000}"/>
    <cellStyle name="Comma 2 3 2 5" xfId="2709" xr:uid="{00000000-0005-0000-0000-0000C20A0000}"/>
    <cellStyle name="Comma 2 3 2 5 2" xfId="2710" xr:uid="{00000000-0005-0000-0000-0000C30A0000}"/>
    <cellStyle name="Comma 2 3 2 5 3" xfId="2711" xr:uid="{00000000-0005-0000-0000-0000C40A0000}"/>
    <cellStyle name="Comma 2 3 2 6" xfId="2712" xr:uid="{00000000-0005-0000-0000-0000C50A0000}"/>
    <cellStyle name="Comma 2 3 2 6 2" xfId="2713" xr:uid="{00000000-0005-0000-0000-0000C60A0000}"/>
    <cellStyle name="Comma 2 3 2 6 3" xfId="2714" xr:uid="{00000000-0005-0000-0000-0000C70A0000}"/>
    <cellStyle name="Comma 2 3 2 7" xfId="2715" xr:uid="{00000000-0005-0000-0000-0000C80A0000}"/>
    <cellStyle name="Comma 2 3 2 8" xfId="2716" xr:uid="{00000000-0005-0000-0000-0000C90A0000}"/>
    <cellStyle name="Comma 2 3 3" xfId="2717" xr:uid="{00000000-0005-0000-0000-0000CA0A0000}"/>
    <cellStyle name="Comma 2 3 3 2" xfId="2718" xr:uid="{00000000-0005-0000-0000-0000CB0A0000}"/>
    <cellStyle name="Comma 2 3 3 2 2" xfId="2719" xr:uid="{00000000-0005-0000-0000-0000CC0A0000}"/>
    <cellStyle name="Comma 2 3 3 2 2 2" xfId="2720" xr:uid="{00000000-0005-0000-0000-0000CD0A0000}"/>
    <cellStyle name="Comma 2 3 3 2 3" xfId="2721" xr:uid="{00000000-0005-0000-0000-0000CE0A0000}"/>
    <cellStyle name="Comma 2 3 3 2 4" xfId="2722" xr:uid="{00000000-0005-0000-0000-0000CF0A0000}"/>
    <cellStyle name="Comma 2 3 3 3" xfId="2723" xr:uid="{00000000-0005-0000-0000-0000D00A0000}"/>
    <cellStyle name="Comma 2 3 3 3 2" xfId="2724" xr:uid="{00000000-0005-0000-0000-0000D10A0000}"/>
    <cellStyle name="Comma 2 3 3 3 3" xfId="2725" xr:uid="{00000000-0005-0000-0000-0000D20A0000}"/>
    <cellStyle name="Comma 2 3 3 4" xfId="2726" xr:uid="{00000000-0005-0000-0000-0000D30A0000}"/>
    <cellStyle name="Comma 2 3 3 4 2" xfId="2727" xr:uid="{00000000-0005-0000-0000-0000D40A0000}"/>
    <cellStyle name="Comma 2 3 3 4 2 2" xfId="2728" xr:uid="{00000000-0005-0000-0000-0000D50A0000}"/>
    <cellStyle name="Comma 2 3 3 4 2 3" xfId="2729" xr:uid="{00000000-0005-0000-0000-0000D60A0000}"/>
    <cellStyle name="Comma 2 3 3 4 3" xfId="2730" xr:uid="{00000000-0005-0000-0000-0000D70A0000}"/>
    <cellStyle name="Comma 2 3 3 4 4" xfId="2731" xr:uid="{00000000-0005-0000-0000-0000D80A0000}"/>
    <cellStyle name="Comma 2 3 3 5" xfId="2732" xr:uid="{00000000-0005-0000-0000-0000D90A0000}"/>
    <cellStyle name="Comma 2 3 3 5 2" xfId="2733" xr:uid="{00000000-0005-0000-0000-0000DA0A0000}"/>
    <cellStyle name="Comma 2 3 3 5 3" xfId="2734" xr:uid="{00000000-0005-0000-0000-0000DB0A0000}"/>
    <cellStyle name="Comma 2 3 3 6" xfId="2735" xr:uid="{00000000-0005-0000-0000-0000DC0A0000}"/>
    <cellStyle name="Comma 2 3 3 7" xfId="2736" xr:uid="{00000000-0005-0000-0000-0000DD0A0000}"/>
    <cellStyle name="Comma 2 3 4" xfId="2737" xr:uid="{00000000-0005-0000-0000-0000DE0A0000}"/>
    <cellStyle name="Comma 2 3 4 2" xfId="2738" xr:uid="{00000000-0005-0000-0000-0000DF0A0000}"/>
    <cellStyle name="Comma 2 3 4 2 2" xfId="2739" xr:uid="{00000000-0005-0000-0000-0000E00A0000}"/>
    <cellStyle name="Comma 2 3 4 2 3" xfId="2740" xr:uid="{00000000-0005-0000-0000-0000E10A0000}"/>
    <cellStyle name="Comma 2 3 4 3" xfId="2741" xr:uid="{00000000-0005-0000-0000-0000E20A0000}"/>
    <cellStyle name="Comma 2 3 4 4" xfId="2742" xr:uid="{00000000-0005-0000-0000-0000E30A0000}"/>
    <cellStyle name="Comma 2 3 4 5" xfId="2743" xr:uid="{00000000-0005-0000-0000-0000E40A0000}"/>
    <cellStyle name="Comma 2 3 5" xfId="2744" xr:uid="{00000000-0005-0000-0000-0000E50A0000}"/>
    <cellStyle name="Comma 2 3 5 2" xfId="2745" xr:uid="{00000000-0005-0000-0000-0000E60A0000}"/>
    <cellStyle name="Comma 2 3 5 3" xfId="2746" xr:uid="{00000000-0005-0000-0000-0000E70A0000}"/>
    <cellStyle name="Comma 2 3 6" xfId="2747" xr:uid="{00000000-0005-0000-0000-0000E80A0000}"/>
    <cellStyle name="Comma 2 3 6 2" xfId="2748" xr:uid="{00000000-0005-0000-0000-0000E90A0000}"/>
    <cellStyle name="Comma 2 3 6 2 2" xfId="2749" xr:uid="{00000000-0005-0000-0000-0000EA0A0000}"/>
    <cellStyle name="Comma 2 3 6 2 3" xfId="2750" xr:uid="{00000000-0005-0000-0000-0000EB0A0000}"/>
    <cellStyle name="Comma 2 3 6 3" xfId="2751" xr:uid="{00000000-0005-0000-0000-0000EC0A0000}"/>
    <cellStyle name="Comma 2 3 6 4" xfId="2752" xr:uid="{00000000-0005-0000-0000-0000ED0A0000}"/>
    <cellStyle name="Comma 2 3 7" xfId="2753" xr:uid="{00000000-0005-0000-0000-0000EE0A0000}"/>
    <cellStyle name="Comma 2 3 8" xfId="2754" xr:uid="{00000000-0005-0000-0000-0000EF0A0000}"/>
    <cellStyle name="Comma 2 3 9" xfId="2755" xr:uid="{00000000-0005-0000-0000-0000F00A0000}"/>
    <cellStyle name="Comma 2 4" xfId="2756" xr:uid="{00000000-0005-0000-0000-0000F10A0000}"/>
    <cellStyle name="Comma 2 4 2" xfId="2757" xr:uid="{00000000-0005-0000-0000-0000F20A0000}"/>
    <cellStyle name="Comma 2 4 2 2" xfId="2758" xr:uid="{00000000-0005-0000-0000-0000F30A0000}"/>
    <cellStyle name="Comma 2 4 2 2 2" xfId="2759" xr:uid="{00000000-0005-0000-0000-0000F40A0000}"/>
    <cellStyle name="Comma 2 4 2 2 2 2" xfId="2760" xr:uid="{00000000-0005-0000-0000-0000F50A0000}"/>
    <cellStyle name="Comma 2 4 2 2 3" xfId="2761" xr:uid="{00000000-0005-0000-0000-0000F60A0000}"/>
    <cellStyle name="Comma 2 4 2 2 4" xfId="2762" xr:uid="{00000000-0005-0000-0000-0000F70A0000}"/>
    <cellStyle name="Comma 2 4 2 3" xfId="2763" xr:uid="{00000000-0005-0000-0000-0000F80A0000}"/>
    <cellStyle name="Comma 2 4 2 3 2" xfId="2764" xr:uid="{00000000-0005-0000-0000-0000F90A0000}"/>
    <cellStyle name="Comma 2 4 2 3 3" xfId="2765" xr:uid="{00000000-0005-0000-0000-0000FA0A0000}"/>
    <cellStyle name="Comma 2 4 2 4" xfId="2766" xr:uid="{00000000-0005-0000-0000-0000FB0A0000}"/>
    <cellStyle name="Comma 2 4 2 5" xfId="2767" xr:uid="{00000000-0005-0000-0000-0000FC0A0000}"/>
    <cellStyle name="Comma 2 4 3" xfId="2768" xr:uid="{00000000-0005-0000-0000-0000FD0A0000}"/>
    <cellStyle name="Comma 2 4 3 2" xfId="2769" xr:uid="{00000000-0005-0000-0000-0000FE0A0000}"/>
    <cellStyle name="Comma 2 4 3 2 2" xfId="2770" xr:uid="{00000000-0005-0000-0000-0000FF0A0000}"/>
    <cellStyle name="Comma 2 4 3 2 2 2" xfId="2771" xr:uid="{00000000-0005-0000-0000-0000000B0000}"/>
    <cellStyle name="Comma 2 4 3 2 3" xfId="2772" xr:uid="{00000000-0005-0000-0000-0000010B0000}"/>
    <cellStyle name="Comma 2 4 3 2 4" xfId="2773" xr:uid="{00000000-0005-0000-0000-0000020B0000}"/>
    <cellStyle name="Comma 2 4 3 3" xfId="2774" xr:uid="{00000000-0005-0000-0000-0000030B0000}"/>
    <cellStyle name="Comma 2 4 3 3 2" xfId="2775" xr:uid="{00000000-0005-0000-0000-0000040B0000}"/>
    <cellStyle name="Comma 2 4 3 3 3" xfId="2776" xr:uid="{00000000-0005-0000-0000-0000050B0000}"/>
    <cellStyle name="Comma 2 4 3 4" xfId="2777" xr:uid="{00000000-0005-0000-0000-0000060B0000}"/>
    <cellStyle name="Comma 2 4 3 5" xfId="2778" xr:uid="{00000000-0005-0000-0000-0000070B0000}"/>
    <cellStyle name="Comma 2 4 4" xfId="2779" xr:uid="{00000000-0005-0000-0000-0000080B0000}"/>
    <cellStyle name="Comma 2 4 4 2" xfId="2780" xr:uid="{00000000-0005-0000-0000-0000090B0000}"/>
    <cellStyle name="Comma 2 4 4 2 2" xfId="2781" xr:uid="{00000000-0005-0000-0000-00000A0B0000}"/>
    <cellStyle name="Comma 2 4 4 2 2 2" xfId="2782" xr:uid="{00000000-0005-0000-0000-00000B0B0000}"/>
    <cellStyle name="Comma 2 4 4 2 3" xfId="2783" xr:uid="{00000000-0005-0000-0000-00000C0B0000}"/>
    <cellStyle name="Comma 2 4 4 2 4" xfId="2784" xr:uid="{00000000-0005-0000-0000-00000D0B0000}"/>
    <cellStyle name="Comma 2 4 4 3" xfId="2785" xr:uid="{00000000-0005-0000-0000-00000E0B0000}"/>
    <cellStyle name="Comma 2 4 4 3 2" xfId="2786" xr:uid="{00000000-0005-0000-0000-00000F0B0000}"/>
    <cellStyle name="Comma 2 4 4 3 3" xfId="2787" xr:uid="{00000000-0005-0000-0000-0000100B0000}"/>
    <cellStyle name="Comma 2 4 4 4" xfId="2788" xr:uid="{00000000-0005-0000-0000-0000110B0000}"/>
    <cellStyle name="Comma 2 4 4 4 2" xfId="2789" xr:uid="{00000000-0005-0000-0000-0000120B0000}"/>
    <cellStyle name="Comma 2 4 4 4 3" xfId="2790" xr:uid="{00000000-0005-0000-0000-0000130B0000}"/>
    <cellStyle name="Comma 2 4 4 5" xfId="2791" xr:uid="{00000000-0005-0000-0000-0000140B0000}"/>
    <cellStyle name="Comma 2 4 4 5 2" xfId="2792" xr:uid="{00000000-0005-0000-0000-0000150B0000}"/>
    <cellStyle name="Comma 2 4 4 5 3" xfId="2793" xr:uid="{00000000-0005-0000-0000-0000160B0000}"/>
    <cellStyle name="Comma 2 4 4 6" xfId="2794" xr:uid="{00000000-0005-0000-0000-0000170B0000}"/>
    <cellStyle name="Comma 2 4 4 7" xfId="2795" xr:uid="{00000000-0005-0000-0000-0000180B0000}"/>
    <cellStyle name="Comma 2 4 5" xfId="2796" xr:uid="{00000000-0005-0000-0000-0000190B0000}"/>
    <cellStyle name="Comma 2 4 5 2" xfId="2797" xr:uid="{00000000-0005-0000-0000-00001A0B0000}"/>
    <cellStyle name="Comma 2 4 5 3" xfId="2798" xr:uid="{00000000-0005-0000-0000-00001B0B0000}"/>
    <cellStyle name="Comma 2 4 5 4" xfId="2799" xr:uid="{00000000-0005-0000-0000-00001C0B0000}"/>
    <cellStyle name="Comma 2 4 6" xfId="2800" xr:uid="{00000000-0005-0000-0000-00001D0B0000}"/>
    <cellStyle name="Comma 2 4 7" xfId="2801" xr:uid="{00000000-0005-0000-0000-00001E0B0000}"/>
    <cellStyle name="Comma 2 4 7 2" xfId="2802" xr:uid="{00000000-0005-0000-0000-00001F0B0000}"/>
    <cellStyle name="Comma 2 4 7 3" xfId="2803" xr:uid="{00000000-0005-0000-0000-0000200B0000}"/>
    <cellStyle name="Comma 2 4 8" xfId="2804" xr:uid="{00000000-0005-0000-0000-0000210B0000}"/>
    <cellStyle name="Comma 2 4 9" xfId="2805" xr:uid="{00000000-0005-0000-0000-0000220B0000}"/>
    <cellStyle name="Comma 2 5" xfId="2806" xr:uid="{00000000-0005-0000-0000-0000230B0000}"/>
    <cellStyle name="Comma 2 5 2" xfId="2807" xr:uid="{00000000-0005-0000-0000-0000240B0000}"/>
    <cellStyle name="Comma 2 5 2 2" xfId="2808" xr:uid="{00000000-0005-0000-0000-0000250B0000}"/>
    <cellStyle name="Comma 2 5 2 2 2" xfId="2809" xr:uid="{00000000-0005-0000-0000-0000260B0000}"/>
    <cellStyle name="Comma 2 5 2 2 3" xfId="2810" xr:uid="{00000000-0005-0000-0000-0000270B0000}"/>
    <cellStyle name="Comma 2 5 2 3" xfId="2811" xr:uid="{00000000-0005-0000-0000-0000280B0000}"/>
    <cellStyle name="Comma 2 5 2 4" xfId="2812" xr:uid="{00000000-0005-0000-0000-0000290B0000}"/>
    <cellStyle name="Comma 2 5 3" xfId="2813" xr:uid="{00000000-0005-0000-0000-00002A0B0000}"/>
    <cellStyle name="Comma 2 5 3 2" xfId="2814" xr:uid="{00000000-0005-0000-0000-00002B0B0000}"/>
    <cellStyle name="Comma 2 5 3 3" xfId="2815" xr:uid="{00000000-0005-0000-0000-00002C0B0000}"/>
    <cellStyle name="Comma 2 5 4" xfId="2816" xr:uid="{00000000-0005-0000-0000-00002D0B0000}"/>
    <cellStyle name="Comma 2 5 4 2" xfId="2817" xr:uid="{00000000-0005-0000-0000-00002E0B0000}"/>
    <cellStyle name="Comma 2 5 4 2 2" xfId="2818" xr:uid="{00000000-0005-0000-0000-00002F0B0000}"/>
    <cellStyle name="Comma 2 5 4 2 3" xfId="2819" xr:uid="{00000000-0005-0000-0000-0000300B0000}"/>
    <cellStyle name="Comma 2 5 4 3" xfId="2820" xr:uid="{00000000-0005-0000-0000-0000310B0000}"/>
    <cellStyle name="Comma 2 5 4 4" xfId="2821" xr:uid="{00000000-0005-0000-0000-0000320B0000}"/>
    <cellStyle name="Comma 2 5 5" xfId="2822" xr:uid="{00000000-0005-0000-0000-0000330B0000}"/>
    <cellStyle name="Comma 2 5 6" xfId="2823" xr:uid="{00000000-0005-0000-0000-0000340B0000}"/>
    <cellStyle name="Comma 2 5 6 2" xfId="2824" xr:uid="{00000000-0005-0000-0000-0000350B0000}"/>
    <cellStyle name="Comma 2 5 6 3" xfId="2825" xr:uid="{00000000-0005-0000-0000-0000360B0000}"/>
    <cellStyle name="Comma 2 5 7" xfId="2826" xr:uid="{00000000-0005-0000-0000-0000370B0000}"/>
    <cellStyle name="Comma 2 5 8" xfId="2827" xr:uid="{00000000-0005-0000-0000-0000380B0000}"/>
    <cellStyle name="Comma 2 6" xfId="2828" xr:uid="{00000000-0005-0000-0000-0000390B0000}"/>
    <cellStyle name="Comma 2 6 2" xfId="2829" xr:uid="{00000000-0005-0000-0000-00003A0B0000}"/>
    <cellStyle name="Comma 2 6 2 2" xfId="2830" xr:uid="{00000000-0005-0000-0000-00003B0B0000}"/>
    <cellStyle name="Comma 2 6 2 2 2" xfId="2831" xr:uid="{00000000-0005-0000-0000-00003C0B0000}"/>
    <cellStyle name="Comma 2 6 2 2 3" xfId="2832" xr:uid="{00000000-0005-0000-0000-00003D0B0000}"/>
    <cellStyle name="Comma 2 6 2 3" xfId="2833" xr:uid="{00000000-0005-0000-0000-00003E0B0000}"/>
    <cellStyle name="Comma 2 6 2 3 2" xfId="2834" xr:uid="{00000000-0005-0000-0000-00003F0B0000}"/>
    <cellStyle name="Comma 2 6 2 3 3" xfId="2835" xr:uid="{00000000-0005-0000-0000-0000400B0000}"/>
    <cellStyle name="Comma 2 6 2 4" xfId="2836" xr:uid="{00000000-0005-0000-0000-0000410B0000}"/>
    <cellStyle name="Comma 2 6 2 5" xfId="2837" xr:uid="{00000000-0005-0000-0000-0000420B0000}"/>
    <cellStyle name="Comma 2 6 3" xfId="2838" xr:uid="{00000000-0005-0000-0000-0000430B0000}"/>
    <cellStyle name="Comma 2 6 4" xfId="2839" xr:uid="{00000000-0005-0000-0000-0000440B0000}"/>
    <cellStyle name="Comma 2 6 4 2" xfId="2840" xr:uid="{00000000-0005-0000-0000-0000450B0000}"/>
    <cellStyle name="Comma 2 6 4 3" xfId="2841" xr:uid="{00000000-0005-0000-0000-0000460B0000}"/>
    <cellStyle name="Comma 2 6 5" xfId="2842" xr:uid="{00000000-0005-0000-0000-0000470B0000}"/>
    <cellStyle name="Comma 2 6 6" xfId="2843" xr:uid="{00000000-0005-0000-0000-0000480B0000}"/>
    <cellStyle name="Comma 2 7" xfId="2844" xr:uid="{00000000-0005-0000-0000-0000490B0000}"/>
    <cellStyle name="Comma 2 7 2" xfId="2845" xr:uid="{00000000-0005-0000-0000-00004A0B0000}"/>
    <cellStyle name="Comma 2 7 2 2" xfId="2846" xr:uid="{00000000-0005-0000-0000-00004B0B0000}"/>
    <cellStyle name="Comma 2 7 2 2 2" xfId="2847" xr:uid="{00000000-0005-0000-0000-00004C0B0000}"/>
    <cellStyle name="Comma 2 7 2 2 3" xfId="2848" xr:uid="{00000000-0005-0000-0000-00004D0B0000}"/>
    <cellStyle name="Comma 2 7 2 3" xfId="2849" xr:uid="{00000000-0005-0000-0000-00004E0B0000}"/>
    <cellStyle name="Comma 2 7 2 4" xfId="2850" xr:uid="{00000000-0005-0000-0000-00004F0B0000}"/>
    <cellStyle name="Comma 2 7 3" xfId="2851" xr:uid="{00000000-0005-0000-0000-0000500B0000}"/>
    <cellStyle name="Comma 2 7 4" xfId="2852" xr:uid="{00000000-0005-0000-0000-0000510B0000}"/>
    <cellStyle name="Comma 2 7 4 2" xfId="2853" xr:uid="{00000000-0005-0000-0000-0000520B0000}"/>
    <cellStyle name="Comma 2 7 4 3" xfId="2854" xr:uid="{00000000-0005-0000-0000-0000530B0000}"/>
    <cellStyle name="Comma 2 8" xfId="2855" xr:uid="{00000000-0005-0000-0000-0000540B0000}"/>
    <cellStyle name="Comma 2 8 2" xfId="2856" xr:uid="{00000000-0005-0000-0000-0000550B0000}"/>
    <cellStyle name="Comma 2 8 2 2" xfId="2857" xr:uid="{00000000-0005-0000-0000-0000560B0000}"/>
    <cellStyle name="Comma 2 8 2 3" xfId="2858" xr:uid="{00000000-0005-0000-0000-0000570B0000}"/>
    <cellStyle name="Comma 2 8 3" xfId="2859" xr:uid="{00000000-0005-0000-0000-0000580B0000}"/>
    <cellStyle name="Comma 2 8 3 2" xfId="2860" xr:uid="{00000000-0005-0000-0000-0000590B0000}"/>
    <cellStyle name="Comma 2 8 3 3" xfId="2861" xr:uid="{00000000-0005-0000-0000-00005A0B0000}"/>
    <cellStyle name="Comma 2 8 4" xfId="2862" xr:uid="{00000000-0005-0000-0000-00005B0B0000}"/>
    <cellStyle name="Comma 2 8 4 2" xfId="2863" xr:uid="{00000000-0005-0000-0000-00005C0B0000}"/>
    <cellStyle name="Comma 2 8 4 3" xfId="2864" xr:uid="{00000000-0005-0000-0000-00005D0B0000}"/>
    <cellStyle name="Comma 2 8 5" xfId="2865" xr:uid="{00000000-0005-0000-0000-00005E0B0000}"/>
    <cellStyle name="Comma 2 8 6" xfId="2866" xr:uid="{00000000-0005-0000-0000-00005F0B0000}"/>
    <cellStyle name="Comma 2 8 6 2" xfId="2867" xr:uid="{00000000-0005-0000-0000-0000600B0000}"/>
    <cellStyle name="Comma 2 8 6 3" xfId="2868" xr:uid="{00000000-0005-0000-0000-0000610B0000}"/>
    <cellStyle name="Comma 2 9" xfId="2869" xr:uid="{00000000-0005-0000-0000-0000620B0000}"/>
    <cellStyle name="Comma 2 9 2" xfId="2870" xr:uid="{00000000-0005-0000-0000-0000630B0000}"/>
    <cellStyle name="Comma 2 9 3" xfId="2871" xr:uid="{00000000-0005-0000-0000-0000640B0000}"/>
    <cellStyle name="Comma 2 9 3 2" xfId="2872" xr:uid="{00000000-0005-0000-0000-0000650B0000}"/>
    <cellStyle name="Comma 2 9 3 3" xfId="2873" xr:uid="{00000000-0005-0000-0000-0000660B0000}"/>
    <cellStyle name="Comma 3" xfId="2874" xr:uid="{00000000-0005-0000-0000-0000670B0000}"/>
    <cellStyle name="Comma 3 10" xfId="2875" xr:uid="{00000000-0005-0000-0000-0000680B0000}"/>
    <cellStyle name="Comma 3 10 2" xfId="2876" xr:uid="{00000000-0005-0000-0000-0000690B0000}"/>
    <cellStyle name="Comma 3 10 2 2" xfId="2877" xr:uid="{00000000-0005-0000-0000-00006A0B0000}"/>
    <cellStyle name="Comma 3 10 2 3" xfId="2878" xr:uid="{00000000-0005-0000-0000-00006B0B0000}"/>
    <cellStyle name="Comma 3 10 3" xfId="2879" xr:uid="{00000000-0005-0000-0000-00006C0B0000}"/>
    <cellStyle name="Comma 3 10 4" xfId="2880" xr:uid="{00000000-0005-0000-0000-00006D0B0000}"/>
    <cellStyle name="Comma 3 11" xfId="2881" xr:uid="{00000000-0005-0000-0000-00006E0B0000}"/>
    <cellStyle name="Comma 3 11 2" xfId="2882" xr:uid="{00000000-0005-0000-0000-00006F0B0000}"/>
    <cellStyle name="Comma 3 11 3" xfId="2883" xr:uid="{00000000-0005-0000-0000-0000700B0000}"/>
    <cellStyle name="Comma 3 12" xfId="2884" xr:uid="{00000000-0005-0000-0000-0000710B0000}"/>
    <cellStyle name="Comma 3 13" xfId="2885" xr:uid="{00000000-0005-0000-0000-0000720B0000}"/>
    <cellStyle name="Comma 3 14" xfId="2886" xr:uid="{00000000-0005-0000-0000-0000730B0000}"/>
    <cellStyle name="Comma 3 15" xfId="2887" xr:uid="{00000000-0005-0000-0000-0000740B0000}"/>
    <cellStyle name="Comma 3 2" xfId="2888" xr:uid="{00000000-0005-0000-0000-0000750B0000}"/>
    <cellStyle name="Comma 3 2 2" xfId="2889" xr:uid="{00000000-0005-0000-0000-0000760B0000}"/>
    <cellStyle name="Comma 3 2 2 2" xfId="2890" xr:uid="{00000000-0005-0000-0000-0000770B0000}"/>
    <cellStyle name="Comma 3 2 2 3" xfId="2891" xr:uid="{00000000-0005-0000-0000-0000780B0000}"/>
    <cellStyle name="Comma 3 2 2 4" xfId="2892" xr:uid="{00000000-0005-0000-0000-0000790B0000}"/>
    <cellStyle name="Comma 3 2 3" xfId="2893" xr:uid="{00000000-0005-0000-0000-00007A0B0000}"/>
    <cellStyle name="Comma 3 2 3 2" xfId="2894" xr:uid="{00000000-0005-0000-0000-00007B0B0000}"/>
    <cellStyle name="Comma 3 2 3 3" xfId="2895" xr:uid="{00000000-0005-0000-0000-00007C0B0000}"/>
    <cellStyle name="Comma 3 2 4" xfId="2896" xr:uid="{00000000-0005-0000-0000-00007D0B0000}"/>
    <cellStyle name="Comma 3 2 5" xfId="2897" xr:uid="{00000000-0005-0000-0000-00007E0B0000}"/>
    <cellStyle name="Comma 3 2 6" xfId="2898" xr:uid="{00000000-0005-0000-0000-00007F0B0000}"/>
    <cellStyle name="Comma 3 2 7" xfId="2899" xr:uid="{00000000-0005-0000-0000-0000800B0000}"/>
    <cellStyle name="Comma 3 3" xfId="2900" xr:uid="{00000000-0005-0000-0000-0000810B0000}"/>
    <cellStyle name="Comma 3 3 2" xfId="2901" xr:uid="{00000000-0005-0000-0000-0000820B0000}"/>
    <cellStyle name="Comma 3 3 2 2" xfId="2902" xr:uid="{00000000-0005-0000-0000-0000830B0000}"/>
    <cellStyle name="Comma 3 3 2 3" xfId="2903" xr:uid="{00000000-0005-0000-0000-0000840B0000}"/>
    <cellStyle name="Comma 3 3 2 4" xfId="2904" xr:uid="{00000000-0005-0000-0000-0000850B0000}"/>
    <cellStyle name="Comma 3 3 3" xfId="2905" xr:uid="{00000000-0005-0000-0000-0000860B0000}"/>
    <cellStyle name="Comma 3 3 3 2" xfId="2906" xr:uid="{00000000-0005-0000-0000-0000870B0000}"/>
    <cellStyle name="Comma 3 3 3 3" xfId="2907" xr:uid="{00000000-0005-0000-0000-0000880B0000}"/>
    <cellStyle name="Comma 3 3 4" xfId="2908" xr:uid="{00000000-0005-0000-0000-0000890B0000}"/>
    <cellStyle name="Comma 3 3 4 2" xfId="2909" xr:uid="{00000000-0005-0000-0000-00008A0B0000}"/>
    <cellStyle name="Comma 3 3 4 3" xfId="2910" xr:uid="{00000000-0005-0000-0000-00008B0B0000}"/>
    <cellStyle name="Comma 3 3 5" xfId="2911" xr:uid="{00000000-0005-0000-0000-00008C0B0000}"/>
    <cellStyle name="Comma 3 3 6" xfId="2912" xr:uid="{00000000-0005-0000-0000-00008D0B0000}"/>
    <cellStyle name="Comma 3 3 7" xfId="2913" xr:uid="{00000000-0005-0000-0000-00008E0B0000}"/>
    <cellStyle name="Comma 3 4" xfId="2914" xr:uid="{00000000-0005-0000-0000-00008F0B0000}"/>
    <cellStyle name="Comma 3 4 2" xfId="2915" xr:uid="{00000000-0005-0000-0000-0000900B0000}"/>
    <cellStyle name="Comma 3 4 2 2" xfId="2916" xr:uid="{00000000-0005-0000-0000-0000910B0000}"/>
    <cellStyle name="Comma 3 4 2 3" xfId="2917" xr:uid="{00000000-0005-0000-0000-0000920B0000}"/>
    <cellStyle name="Comma 3 4 2 4" xfId="2918" xr:uid="{00000000-0005-0000-0000-0000930B0000}"/>
    <cellStyle name="Comma 3 4 3" xfId="2919" xr:uid="{00000000-0005-0000-0000-0000940B0000}"/>
    <cellStyle name="Comma 3 4 4" xfId="2920" xr:uid="{00000000-0005-0000-0000-0000950B0000}"/>
    <cellStyle name="Comma 3 4 5" xfId="2921" xr:uid="{00000000-0005-0000-0000-0000960B0000}"/>
    <cellStyle name="Comma 3 5" xfId="2922" xr:uid="{00000000-0005-0000-0000-0000970B0000}"/>
    <cellStyle name="Comma 3 5 2" xfId="2923" xr:uid="{00000000-0005-0000-0000-0000980B0000}"/>
    <cellStyle name="Comma 3 5 3" xfId="2924" xr:uid="{00000000-0005-0000-0000-0000990B0000}"/>
    <cellStyle name="Comma 3 5 4" xfId="2925" xr:uid="{00000000-0005-0000-0000-00009A0B0000}"/>
    <cellStyle name="Comma 3 5 5" xfId="2926" xr:uid="{00000000-0005-0000-0000-00009B0B0000}"/>
    <cellStyle name="Comma 3 6" xfId="2927" xr:uid="{00000000-0005-0000-0000-00009C0B0000}"/>
    <cellStyle name="Comma 3 6 2" xfId="2928" xr:uid="{00000000-0005-0000-0000-00009D0B0000}"/>
    <cellStyle name="Comma 3 6 3" xfId="2929" xr:uid="{00000000-0005-0000-0000-00009E0B0000}"/>
    <cellStyle name="Comma 3 6 4" xfId="2930" xr:uid="{00000000-0005-0000-0000-00009F0B0000}"/>
    <cellStyle name="Comma 3 6 5" xfId="2931" xr:uid="{00000000-0005-0000-0000-0000A00B0000}"/>
    <cellStyle name="Comma 3 7" xfId="2932" xr:uid="{00000000-0005-0000-0000-0000A10B0000}"/>
    <cellStyle name="Comma 3 7 2" xfId="2933" xr:uid="{00000000-0005-0000-0000-0000A20B0000}"/>
    <cellStyle name="Comma 3 7 3" xfId="2934" xr:uid="{00000000-0005-0000-0000-0000A30B0000}"/>
    <cellStyle name="Comma 3 7 4" xfId="2935" xr:uid="{00000000-0005-0000-0000-0000A40B0000}"/>
    <cellStyle name="Comma 3 7 5" xfId="2936" xr:uid="{00000000-0005-0000-0000-0000A50B0000}"/>
    <cellStyle name="Comma 3 8" xfId="2937" xr:uid="{00000000-0005-0000-0000-0000A60B0000}"/>
    <cellStyle name="Comma 3 8 2" xfId="2938" xr:uid="{00000000-0005-0000-0000-0000A70B0000}"/>
    <cellStyle name="Comma 3 8 3" xfId="2939" xr:uid="{00000000-0005-0000-0000-0000A80B0000}"/>
    <cellStyle name="Comma 3 8 4" xfId="2940" xr:uid="{00000000-0005-0000-0000-0000A90B0000}"/>
    <cellStyle name="Comma 3 8 5" xfId="2941" xr:uid="{00000000-0005-0000-0000-0000AA0B0000}"/>
    <cellStyle name="Comma 3 9" xfId="2942" xr:uid="{00000000-0005-0000-0000-0000AB0B0000}"/>
    <cellStyle name="Comma 3 9 2" xfId="2943" xr:uid="{00000000-0005-0000-0000-0000AC0B0000}"/>
    <cellStyle name="Comma 3 9 3" xfId="2944" xr:uid="{00000000-0005-0000-0000-0000AD0B0000}"/>
    <cellStyle name="Comma 3 9 4" xfId="2945" xr:uid="{00000000-0005-0000-0000-0000AE0B0000}"/>
    <cellStyle name="Comma 4" xfId="2946" xr:uid="{00000000-0005-0000-0000-0000AF0B0000}"/>
    <cellStyle name="Comma 4 10" xfId="2947" xr:uid="{00000000-0005-0000-0000-0000B00B0000}"/>
    <cellStyle name="Comma 4 10 2" xfId="2948" xr:uid="{00000000-0005-0000-0000-0000B10B0000}"/>
    <cellStyle name="Comma 4 10 3" xfId="2949" xr:uid="{00000000-0005-0000-0000-0000B20B0000}"/>
    <cellStyle name="Comma 4 11" xfId="2950" xr:uid="{00000000-0005-0000-0000-0000B30B0000}"/>
    <cellStyle name="Comma 4 12" xfId="2951" xr:uid="{00000000-0005-0000-0000-0000B40B0000}"/>
    <cellStyle name="Comma 4 13" xfId="2952" xr:uid="{00000000-0005-0000-0000-0000B50B0000}"/>
    <cellStyle name="Comma 4 2" xfId="2953" xr:uid="{00000000-0005-0000-0000-0000B60B0000}"/>
    <cellStyle name="Comma 4 2 2" xfId="2954" xr:uid="{00000000-0005-0000-0000-0000B70B0000}"/>
    <cellStyle name="Comma 4 2 2 2" xfId="2955" xr:uid="{00000000-0005-0000-0000-0000B80B0000}"/>
    <cellStyle name="Comma 4 2 2 3" xfId="2956" xr:uid="{00000000-0005-0000-0000-0000B90B0000}"/>
    <cellStyle name="Comma 4 2 2 4" xfId="2957" xr:uid="{00000000-0005-0000-0000-0000BA0B0000}"/>
    <cellStyle name="Comma 4 2 3" xfId="2958" xr:uid="{00000000-0005-0000-0000-0000BB0B0000}"/>
    <cellStyle name="Comma 4 2 4" xfId="2959" xr:uid="{00000000-0005-0000-0000-0000BC0B0000}"/>
    <cellStyle name="Comma 4 2 5" xfId="2960" xr:uid="{00000000-0005-0000-0000-0000BD0B0000}"/>
    <cellStyle name="Comma 4 2 6" xfId="2961" xr:uid="{00000000-0005-0000-0000-0000BE0B0000}"/>
    <cellStyle name="Comma 4 3" xfId="2962" xr:uid="{00000000-0005-0000-0000-0000BF0B0000}"/>
    <cellStyle name="Comma 4 3 2" xfId="2963" xr:uid="{00000000-0005-0000-0000-0000C00B0000}"/>
    <cellStyle name="Comma 4 3 3" xfId="2964" xr:uid="{00000000-0005-0000-0000-0000C10B0000}"/>
    <cellStyle name="Comma 4 3 4" xfId="2965" xr:uid="{00000000-0005-0000-0000-0000C20B0000}"/>
    <cellStyle name="Comma 4 3 5" xfId="2966" xr:uid="{00000000-0005-0000-0000-0000C30B0000}"/>
    <cellStyle name="Comma 4 4" xfId="2967" xr:uid="{00000000-0005-0000-0000-0000C40B0000}"/>
    <cellStyle name="Comma 4 4 2" xfId="2968" xr:uid="{00000000-0005-0000-0000-0000C50B0000}"/>
    <cellStyle name="Comma 4 4 3" xfId="2969" xr:uid="{00000000-0005-0000-0000-0000C60B0000}"/>
    <cellStyle name="Comma 4 4 4" xfId="2970" xr:uid="{00000000-0005-0000-0000-0000C70B0000}"/>
    <cellStyle name="Comma 4 4 5" xfId="2971" xr:uid="{00000000-0005-0000-0000-0000C80B0000}"/>
    <cellStyle name="Comma 4 5" xfId="2972" xr:uid="{00000000-0005-0000-0000-0000C90B0000}"/>
    <cellStyle name="Comma 4 5 2" xfId="2973" xr:uid="{00000000-0005-0000-0000-0000CA0B0000}"/>
    <cellStyle name="Comma 4 5 3" xfId="2974" xr:uid="{00000000-0005-0000-0000-0000CB0B0000}"/>
    <cellStyle name="Comma 4 5 4" xfId="2975" xr:uid="{00000000-0005-0000-0000-0000CC0B0000}"/>
    <cellStyle name="Comma 4 5 5" xfId="2976" xr:uid="{00000000-0005-0000-0000-0000CD0B0000}"/>
    <cellStyle name="Comma 4 6" xfId="2977" xr:uid="{00000000-0005-0000-0000-0000CE0B0000}"/>
    <cellStyle name="Comma 4 6 2" xfId="2978" xr:uid="{00000000-0005-0000-0000-0000CF0B0000}"/>
    <cellStyle name="Comma 4 6 3" xfId="2979" xr:uid="{00000000-0005-0000-0000-0000D00B0000}"/>
    <cellStyle name="Comma 4 6 4" xfId="2980" xr:uid="{00000000-0005-0000-0000-0000D10B0000}"/>
    <cellStyle name="Comma 4 6 5" xfId="2981" xr:uid="{00000000-0005-0000-0000-0000D20B0000}"/>
    <cellStyle name="Comma 4 7" xfId="2982" xr:uid="{00000000-0005-0000-0000-0000D30B0000}"/>
    <cellStyle name="Comma 4 7 2" xfId="2983" xr:uid="{00000000-0005-0000-0000-0000D40B0000}"/>
    <cellStyle name="Comma 4 7 3" xfId="2984" xr:uid="{00000000-0005-0000-0000-0000D50B0000}"/>
    <cellStyle name="Comma 4 7 4" xfId="2985" xr:uid="{00000000-0005-0000-0000-0000D60B0000}"/>
    <cellStyle name="Comma 4 7 5" xfId="2986" xr:uid="{00000000-0005-0000-0000-0000D70B0000}"/>
    <cellStyle name="Comma 4 8" xfId="2987" xr:uid="{00000000-0005-0000-0000-0000D80B0000}"/>
    <cellStyle name="Comma 4 8 2" xfId="2988" xr:uid="{00000000-0005-0000-0000-0000D90B0000}"/>
    <cellStyle name="Comma 4 8 3" xfId="2989" xr:uid="{00000000-0005-0000-0000-0000DA0B0000}"/>
    <cellStyle name="Comma 4 8 4" xfId="2990" xr:uid="{00000000-0005-0000-0000-0000DB0B0000}"/>
    <cellStyle name="Comma 4 8 5" xfId="2991" xr:uid="{00000000-0005-0000-0000-0000DC0B0000}"/>
    <cellStyle name="Comma 4 9" xfId="2992" xr:uid="{00000000-0005-0000-0000-0000DD0B0000}"/>
    <cellStyle name="Comma 4 9 2" xfId="2993" xr:uid="{00000000-0005-0000-0000-0000DE0B0000}"/>
    <cellStyle name="Comma 4 9 3" xfId="2994" xr:uid="{00000000-0005-0000-0000-0000DF0B0000}"/>
    <cellStyle name="Comma 4 9 4" xfId="2995" xr:uid="{00000000-0005-0000-0000-0000E00B0000}"/>
    <cellStyle name="Comma 5" xfId="2996" xr:uid="{00000000-0005-0000-0000-0000E10B0000}"/>
    <cellStyle name="Comma 5 10" xfId="2997" xr:uid="{00000000-0005-0000-0000-0000E20B0000}"/>
    <cellStyle name="Comma 5 11" xfId="2998" xr:uid="{00000000-0005-0000-0000-0000E30B0000}"/>
    <cellStyle name="Comma 5 12" xfId="2999" xr:uid="{00000000-0005-0000-0000-0000E40B0000}"/>
    <cellStyle name="Comma 5 2" xfId="3000" xr:uid="{00000000-0005-0000-0000-0000E50B0000}"/>
    <cellStyle name="Comma 5 2 2" xfId="3001" xr:uid="{00000000-0005-0000-0000-0000E60B0000}"/>
    <cellStyle name="Comma 5 2 3" xfId="3002" xr:uid="{00000000-0005-0000-0000-0000E70B0000}"/>
    <cellStyle name="Comma 5 2 4" xfId="3003" xr:uid="{00000000-0005-0000-0000-0000E80B0000}"/>
    <cellStyle name="Comma 5 2 5" xfId="3004" xr:uid="{00000000-0005-0000-0000-0000E90B0000}"/>
    <cellStyle name="Comma 5 3" xfId="3005" xr:uid="{00000000-0005-0000-0000-0000EA0B0000}"/>
    <cellStyle name="Comma 5 3 2" xfId="3006" xr:uid="{00000000-0005-0000-0000-0000EB0B0000}"/>
    <cellStyle name="Comma 5 3 2 2" xfId="3007" xr:uid="{00000000-0005-0000-0000-0000EC0B0000}"/>
    <cellStyle name="Comma 5 3 2 3" xfId="3008" xr:uid="{00000000-0005-0000-0000-0000ED0B0000}"/>
    <cellStyle name="Comma 5 3 2 4" xfId="3009" xr:uid="{00000000-0005-0000-0000-0000EE0B0000}"/>
    <cellStyle name="Comma 5 3 3" xfId="3010" xr:uid="{00000000-0005-0000-0000-0000EF0B0000}"/>
    <cellStyle name="Comma 5 3 4" xfId="3011" xr:uid="{00000000-0005-0000-0000-0000F00B0000}"/>
    <cellStyle name="Comma 5 3 5" xfId="3012" xr:uid="{00000000-0005-0000-0000-0000F10B0000}"/>
    <cellStyle name="Comma 5 4" xfId="3013" xr:uid="{00000000-0005-0000-0000-0000F20B0000}"/>
    <cellStyle name="Comma 5 4 2" xfId="3014" xr:uid="{00000000-0005-0000-0000-0000F30B0000}"/>
    <cellStyle name="Comma 5 4 3" xfId="3015" xr:uid="{00000000-0005-0000-0000-0000F40B0000}"/>
    <cellStyle name="Comma 5 4 4" xfId="3016" xr:uid="{00000000-0005-0000-0000-0000F50B0000}"/>
    <cellStyle name="Comma 5 4 5" xfId="3017" xr:uid="{00000000-0005-0000-0000-0000F60B0000}"/>
    <cellStyle name="Comma 5 5" xfId="3018" xr:uid="{00000000-0005-0000-0000-0000F70B0000}"/>
    <cellStyle name="Comma 5 5 2" xfId="3019" xr:uid="{00000000-0005-0000-0000-0000F80B0000}"/>
    <cellStyle name="Comma 5 5 3" xfId="3020" xr:uid="{00000000-0005-0000-0000-0000F90B0000}"/>
    <cellStyle name="Comma 5 5 4" xfId="3021" xr:uid="{00000000-0005-0000-0000-0000FA0B0000}"/>
    <cellStyle name="Comma 5 5 5" xfId="3022" xr:uid="{00000000-0005-0000-0000-0000FB0B0000}"/>
    <cellStyle name="Comma 5 6" xfId="3023" xr:uid="{00000000-0005-0000-0000-0000FC0B0000}"/>
    <cellStyle name="Comma 5 6 2" xfId="3024" xr:uid="{00000000-0005-0000-0000-0000FD0B0000}"/>
    <cellStyle name="Comma 5 6 3" xfId="3025" xr:uid="{00000000-0005-0000-0000-0000FE0B0000}"/>
    <cellStyle name="Comma 5 6 4" xfId="3026" xr:uid="{00000000-0005-0000-0000-0000FF0B0000}"/>
    <cellStyle name="Comma 5 6 5" xfId="3027" xr:uid="{00000000-0005-0000-0000-0000000C0000}"/>
    <cellStyle name="Comma 5 7" xfId="3028" xr:uid="{00000000-0005-0000-0000-0000010C0000}"/>
    <cellStyle name="Comma 5 7 2" xfId="3029" xr:uid="{00000000-0005-0000-0000-0000020C0000}"/>
    <cellStyle name="Comma 5 7 3" xfId="3030" xr:uid="{00000000-0005-0000-0000-0000030C0000}"/>
    <cellStyle name="Comma 5 7 4" xfId="3031" xr:uid="{00000000-0005-0000-0000-0000040C0000}"/>
    <cellStyle name="Comma 5 7 5" xfId="3032" xr:uid="{00000000-0005-0000-0000-0000050C0000}"/>
    <cellStyle name="Comma 5 8" xfId="3033" xr:uid="{00000000-0005-0000-0000-0000060C0000}"/>
    <cellStyle name="Comma 5 8 2" xfId="3034" xr:uid="{00000000-0005-0000-0000-0000070C0000}"/>
    <cellStyle name="Comma 5 8 3" xfId="3035" xr:uid="{00000000-0005-0000-0000-0000080C0000}"/>
    <cellStyle name="Comma 5 8 4" xfId="3036" xr:uid="{00000000-0005-0000-0000-0000090C0000}"/>
    <cellStyle name="Comma 5 8 5" xfId="3037" xr:uid="{00000000-0005-0000-0000-00000A0C0000}"/>
    <cellStyle name="Comma 5 9" xfId="3038" xr:uid="{00000000-0005-0000-0000-00000B0C0000}"/>
    <cellStyle name="Comma 6" xfId="3039" xr:uid="{00000000-0005-0000-0000-00000C0C0000}"/>
    <cellStyle name="Comma 6 10" xfId="3040" xr:uid="{00000000-0005-0000-0000-00000D0C0000}"/>
    <cellStyle name="Comma 6 11" xfId="3041" xr:uid="{00000000-0005-0000-0000-00000E0C0000}"/>
    <cellStyle name="Comma 6 12" xfId="3042" xr:uid="{00000000-0005-0000-0000-00000F0C0000}"/>
    <cellStyle name="Comma 6 2" xfId="3043" xr:uid="{00000000-0005-0000-0000-0000100C0000}"/>
    <cellStyle name="Comma 6 2 2" xfId="3044" xr:uid="{00000000-0005-0000-0000-0000110C0000}"/>
    <cellStyle name="Comma 6 2 3" xfId="3045" xr:uid="{00000000-0005-0000-0000-0000120C0000}"/>
    <cellStyle name="Comma 6 2 4" xfId="3046" xr:uid="{00000000-0005-0000-0000-0000130C0000}"/>
    <cellStyle name="Comma 6 2 5" xfId="3047" xr:uid="{00000000-0005-0000-0000-0000140C0000}"/>
    <cellStyle name="Comma 6 3" xfId="3048" xr:uid="{00000000-0005-0000-0000-0000150C0000}"/>
    <cellStyle name="Comma 6 3 2" xfId="3049" xr:uid="{00000000-0005-0000-0000-0000160C0000}"/>
    <cellStyle name="Comma 6 3 3" xfId="3050" xr:uid="{00000000-0005-0000-0000-0000170C0000}"/>
    <cellStyle name="Comma 6 3 4" xfId="3051" xr:uid="{00000000-0005-0000-0000-0000180C0000}"/>
    <cellStyle name="Comma 6 3 5" xfId="3052" xr:uid="{00000000-0005-0000-0000-0000190C0000}"/>
    <cellStyle name="Comma 6 4" xfId="3053" xr:uid="{00000000-0005-0000-0000-00001A0C0000}"/>
    <cellStyle name="Comma 6 4 2" xfId="3054" xr:uid="{00000000-0005-0000-0000-00001B0C0000}"/>
    <cellStyle name="Comma 6 4 3" xfId="3055" xr:uid="{00000000-0005-0000-0000-00001C0C0000}"/>
    <cellStyle name="Comma 6 4 4" xfId="3056" xr:uid="{00000000-0005-0000-0000-00001D0C0000}"/>
    <cellStyle name="Comma 6 4 5" xfId="3057" xr:uid="{00000000-0005-0000-0000-00001E0C0000}"/>
    <cellStyle name="Comma 6 5" xfId="3058" xr:uid="{00000000-0005-0000-0000-00001F0C0000}"/>
    <cellStyle name="Comma 6 5 2" xfId="3059" xr:uid="{00000000-0005-0000-0000-0000200C0000}"/>
    <cellStyle name="Comma 6 5 3" xfId="3060" xr:uid="{00000000-0005-0000-0000-0000210C0000}"/>
    <cellStyle name="Comma 6 5 4" xfId="3061" xr:uid="{00000000-0005-0000-0000-0000220C0000}"/>
    <cellStyle name="Comma 6 5 5" xfId="3062" xr:uid="{00000000-0005-0000-0000-0000230C0000}"/>
    <cellStyle name="Comma 6 6" xfId="3063" xr:uid="{00000000-0005-0000-0000-0000240C0000}"/>
    <cellStyle name="Comma 6 6 2" xfId="3064" xr:uid="{00000000-0005-0000-0000-0000250C0000}"/>
    <cellStyle name="Comma 6 6 3" xfId="3065" xr:uid="{00000000-0005-0000-0000-0000260C0000}"/>
    <cellStyle name="Comma 6 6 4" xfId="3066" xr:uid="{00000000-0005-0000-0000-0000270C0000}"/>
    <cellStyle name="Comma 6 6 5" xfId="3067" xr:uid="{00000000-0005-0000-0000-0000280C0000}"/>
    <cellStyle name="Comma 6 7" xfId="3068" xr:uid="{00000000-0005-0000-0000-0000290C0000}"/>
    <cellStyle name="Comma 6 7 2" xfId="3069" xr:uid="{00000000-0005-0000-0000-00002A0C0000}"/>
    <cellStyle name="Comma 6 7 3" xfId="3070" xr:uid="{00000000-0005-0000-0000-00002B0C0000}"/>
    <cellStyle name="Comma 6 7 4" xfId="3071" xr:uid="{00000000-0005-0000-0000-00002C0C0000}"/>
    <cellStyle name="Comma 6 7 5" xfId="3072" xr:uid="{00000000-0005-0000-0000-00002D0C0000}"/>
    <cellStyle name="Comma 6 8" xfId="3073" xr:uid="{00000000-0005-0000-0000-00002E0C0000}"/>
    <cellStyle name="Comma 6 8 2" xfId="3074" xr:uid="{00000000-0005-0000-0000-00002F0C0000}"/>
    <cellStyle name="Comma 6 8 3" xfId="3075" xr:uid="{00000000-0005-0000-0000-0000300C0000}"/>
    <cellStyle name="Comma 6 8 4" xfId="3076" xr:uid="{00000000-0005-0000-0000-0000310C0000}"/>
    <cellStyle name="Comma 6 8 5" xfId="3077" xr:uid="{00000000-0005-0000-0000-0000320C0000}"/>
    <cellStyle name="Comma 6 9" xfId="3078" xr:uid="{00000000-0005-0000-0000-0000330C0000}"/>
    <cellStyle name="Comma 7" xfId="3079" xr:uid="{00000000-0005-0000-0000-0000340C0000}"/>
    <cellStyle name="Comma 7 10" xfId="3080" xr:uid="{00000000-0005-0000-0000-0000350C0000}"/>
    <cellStyle name="Comma 7 10 2" xfId="3081" xr:uid="{00000000-0005-0000-0000-0000360C0000}"/>
    <cellStyle name="Comma 7 10 3" xfId="3082" xr:uid="{00000000-0005-0000-0000-0000370C0000}"/>
    <cellStyle name="Comma 7 10 4" xfId="3083" xr:uid="{00000000-0005-0000-0000-0000380C0000}"/>
    <cellStyle name="Comma 7 10 5" xfId="3084" xr:uid="{00000000-0005-0000-0000-0000390C0000}"/>
    <cellStyle name="Comma 7 11" xfId="3085" xr:uid="{00000000-0005-0000-0000-00003A0C0000}"/>
    <cellStyle name="Comma 7 11 2" xfId="3086" xr:uid="{00000000-0005-0000-0000-00003B0C0000}"/>
    <cellStyle name="Comma 7 11 2 2" xfId="3087" xr:uid="{00000000-0005-0000-0000-00003C0C0000}"/>
    <cellStyle name="Comma 7 11 2 3" xfId="3088" xr:uid="{00000000-0005-0000-0000-00003D0C0000}"/>
    <cellStyle name="Comma 7 11 3" xfId="3089" xr:uid="{00000000-0005-0000-0000-00003E0C0000}"/>
    <cellStyle name="Comma 7 11 4" xfId="3090" xr:uid="{00000000-0005-0000-0000-00003F0C0000}"/>
    <cellStyle name="Comma 7 11 5" xfId="3091" xr:uid="{00000000-0005-0000-0000-0000400C0000}"/>
    <cellStyle name="Comma 7 12" xfId="3092" xr:uid="{00000000-0005-0000-0000-0000410C0000}"/>
    <cellStyle name="Comma 7 12 2" xfId="3093" xr:uid="{00000000-0005-0000-0000-0000420C0000}"/>
    <cellStyle name="Comma 7 12 3" xfId="3094" xr:uid="{00000000-0005-0000-0000-0000430C0000}"/>
    <cellStyle name="Comma 7 12 4" xfId="3095" xr:uid="{00000000-0005-0000-0000-0000440C0000}"/>
    <cellStyle name="Comma 7 12 5" xfId="3096" xr:uid="{00000000-0005-0000-0000-0000450C0000}"/>
    <cellStyle name="Comma 7 13" xfId="3097" xr:uid="{00000000-0005-0000-0000-0000460C0000}"/>
    <cellStyle name="Comma 7 13 2" xfId="3098" xr:uid="{00000000-0005-0000-0000-0000470C0000}"/>
    <cellStyle name="Comma 7 13 3" xfId="3099" xr:uid="{00000000-0005-0000-0000-0000480C0000}"/>
    <cellStyle name="Comma 7 13 4" xfId="3100" xr:uid="{00000000-0005-0000-0000-0000490C0000}"/>
    <cellStyle name="Comma 7 13 5" xfId="3101" xr:uid="{00000000-0005-0000-0000-00004A0C0000}"/>
    <cellStyle name="Comma 7 14" xfId="3102" xr:uid="{00000000-0005-0000-0000-00004B0C0000}"/>
    <cellStyle name="Comma 7 14 2" xfId="3103" xr:uid="{00000000-0005-0000-0000-00004C0C0000}"/>
    <cellStyle name="Comma 7 14 3" xfId="3104" xr:uid="{00000000-0005-0000-0000-00004D0C0000}"/>
    <cellStyle name="Comma 7 14 4" xfId="3105" xr:uid="{00000000-0005-0000-0000-00004E0C0000}"/>
    <cellStyle name="Comma 7 14 5" xfId="3106" xr:uid="{00000000-0005-0000-0000-00004F0C0000}"/>
    <cellStyle name="Comma 7 15" xfId="3107" xr:uid="{00000000-0005-0000-0000-0000500C0000}"/>
    <cellStyle name="Comma 7 15 2" xfId="3108" xr:uid="{00000000-0005-0000-0000-0000510C0000}"/>
    <cellStyle name="Comma 7 15 3" xfId="3109" xr:uid="{00000000-0005-0000-0000-0000520C0000}"/>
    <cellStyle name="Comma 7 15 4" xfId="3110" xr:uid="{00000000-0005-0000-0000-0000530C0000}"/>
    <cellStyle name="Comma 7 15 5" xfId="3111" xr:uid="{00000000-0005-0000-0000-0000540C0000}"/>
    <cellStyle name="Comma 7 16" xfId="3112" xr:uid="{00000000-0005-0000-0000-0000550C0000}"/>
    <cellStyle name="Comma 7 16 2" xfId="3113" xr:uid="{00000000-0005-0000-0000-0000560C0000}"/>
    <cellStyle name="Comma 7 16 2 2" xfId="3114" xr:uid="{00000000-0005-0000-0000-0000570C0000}"/>
    <cellStyle name="Comma 7 16 2 3" xfId="3115" xr:uid="{00000000-0005-0000-0000-0000580C0000}"/>
    <cellStyle name="Comma 7 16 3" xfId="3116" xr:uid="{00000000-0005-0000-0000-0000590C0000}"/>
    <cellStyle name="Comma 7 16 4" xfId="3117" xr:uid="{00000000-0005-0000-0000-00005A0C0000}"/>
    <cellStyle name="Comma 7 16 5" xfId="3118" xr:uid="{00000000-0005-0000-0000-00005B0C0000}"/>
    <cellStyle name="Comma 7 17" xfId="3119" xr:uid="{00000000-0005-0000-0000-00005C0C0000}"/>
    <cellStyle name="Comma 7 17 2" xfId="3120" xr:uid="{00000000-0005-0000-0000-00005D0C0000}"/>
    <cellStyle name="Comma 7 17 2 2" xfId="3121" xr:uid="{00000000-0005-0000-0000-00005E0C0000}"/>
    <cellStyle name="Comma 7 17 2 3" xfId="3122" xr:uid="{00000000-0005-0000-0000-00005F0C0000}"/>
    <cellStyle name="Comma 7 17 3" xfId="3123" xr:uid="{00000000-0005-0000-0000-0000600C0000}"/>
    <cellStyle name="Comma 7 17 4" xfId="3124" xr:uid="{00000000-0005-0000-0000-0000610C0000}"/>
    <cellStyle name="Comma 7 17 5" xfId="3125" xr:uid="{00000000-0005-0000-0000-0000620C0000}"/>
    <cellStyle name="Comma 7 18" xfId="3126" xr:uid="{00000000-0005-0000-0000-0000630C0000}"/>
    <cellStyle name="Comma 7 18 2" xfId="3127" xr:uid="{00000000-0005-0000-0000-0000640C0000}"/>
    <cellStyle name="Comma 7 18 2 2" xfId="3128" xr:uid="{00000000-0005-0000-0000-0000650C0000}"/>
    <cellStyle name="Comma 7 18 2 3" xfId="3129" xr:uid="{00000000-0005-0000-0000-0000660C0000}"/>
    <cellStyle name="Comma 7 18 3" xfId="3130" xr:uid="{00000000-0005-0000-0000-0000670C0000}"/>
    <cellStyle name="Comma 7 18 4" xfId="3131" xr:uid="{00000000-0005-0000-0000-0000680C0000}"/>
    <cellStyle name="Comma 7 18 5" xfId="3132" xr:uid="{00000000-0005-0000-0000-0000690C0000}"/>
    <cellStyle name="Comma 7 19" xfId="3133" xr:uid="{00000000-0005-0000-0000-00006A0C0000}"/>
    <cellStyle name="Comma 7 19 2" xfId="3134" xr:uid="{00000000-0005-0000-0000-00006B0C0000}"/>
    <cellStyle name="Comma 7 19 2 2" xfId="3135" xr:uid="{00000000-0005-0000-0000-00006C0C0000}"/>
    <cellStyle name="Comma 7 19 2 3" xfId="3136" xr:uid="{00000000-0005-0000-0000-00006D0C0000}"/>
    <cellStyle name="Comma 7 19 3" xfId="3137" xr:uid="{00000000-0005-0000-0000-00006E0C0000}"/>
    <cellStyle name="Comma 7 19 4" xfId="3138" xr:uid="{00000000-0005-0000-0000-00006F0C0000}"/>
    <cellStyle name="Comma 7 19 5" xfId="3139" xr:uid="{00000000-0005-0000-0000-0000700C0000}"/>
    <cellStyle name="Comma 7 2" xfId="3140" xr:uid="{00000000-0005-0000-0000-0000710C0000}"/>
    <cellStyle name="Comma 7 2 2" xfId="3141" xr:uid="{00000000-0005-0000-0000-0000720C0000}"/>
    <cellStyle name="Comma 7 2 3" xfId="3142" xr:uid="{00000000-0005-0000-0000-0000730C0000}"/>
    <cellStyle name="Comma 7 2 4" xfId="3143" xr:uid="{00000000-0005-0000-0000-0000740C0000}"/>
    <cellStyle name="Comma 7 2 5" xfId="3144" xr:uid="{00000000-0005-0000-0000-0000750C0000}"/>
    <cellStyle name="Comma 7 20" xfId="3145" xr:uid="{00000000-0005-0000-0000-0000760C0000}"/>
    <cellStyle name="Comma 7 20 2" xfId="3146" xr:uid="{00000000-0005-0000-0000-0000770C0000}"/>
    <cellStyle name="Comma 7 20 2 2" xfId="3147" xr:uid="{00000000-0005-0000-0000-0000780C0000}"/>
    <cellStyle name="Comma 7 20 2 3" xfId="3148" xr:uid="{00000000-0005-0000-0000-0000790C0000}"/>
    <cellStyle name="Comma 7 20 3" xfId="3149" xr:uid="{00000000-0005-0000-0000-00007A0C0000}"/>
    <cellStyle name="Comma 7 20 4" xfId="3150" xr:uid="{00000000-0005-0000-0000-00007B0C0000}"/>
    <cellStyle name="Comma 7 20 5" xfId="3151" xr:uid="{00000000-0005-0000-0000-00007C0C0000}"/>
    <cellStyle name="Comma 7 21" xfId="3152" xr:uid="{00000000-0005-0000-0000-00007D0C0000}"/>
    <cellStyle name="Comma 7 21 2" xfId="3153" xr:uid="{00000000-0005-0000-0000-00007E0C0000}"/>
    <cellStyle name="Comma 7 21 2 2" xfId="3154" xr:uid="{00000000-0005-0000-0000-00007F0C0000}"/>
    <cellStyle name="Comma 7 21 2 3" xfId="3155" xr:uid="{00000000-0005-0000-0000-0000800C0000}"/>
    <cellStyle name="Comma 7 21 3" xfId="3156" xr:uid="{00000000-0005-0000-0000-0000810C0000}"/>
    <cellStyle name="Comma 7 21 4" xfId="3157" xr:uid="{00000000-0005-0000-0000-0000820C0000}"/>
    <cellStyle name="Comma 7 21 5" xfId="3158" xr:uid="{00000000-0005-0000-0000-0000830C0000}"/>
    <cellStyle name="Comma 7 3" xfId="3159" xr:uid="{00000000-0005-0000-0000-0000840C0000}"/>
    <cellStyle name="Comma 7 3 10" xfId="3160" xr:uid="{00000000-0005-0000-0000-0000850C0000}"/>
    <cellStyle name="Comma 7 3 10 2" xfId="3161" xr:uid="{00000000-0005-0000-0000-0000860C0000}"/>
    <cellStyle name="Comma 7 3 10 3" xfId="3162" xr:uid="{00000000-0005-0000-0000-0000870C0000}"/>
    <cellStyle name="Comma 7 3 10 4" xfId="3163" xr:uid="{00000000-0005-0000-0000-0000880C0000}"/>
    <cellStyle name="Comma 7 3 10 5" xfId="3164" xr:uid="{00000000-0005-0000-0000-0000890C0000}"/>
    <cellStyle name="Comma 7 3 11" xfId="3165" xr:uid="{00000000-0005-0000-0000-00008A0C0000}"/>
    <cellStyle name="Comma 7 3 11 2" xfId="3166" xr:uid="{00000000-0005-0000-0000-00008B0C0000}"/>
    <cellStyle name="Comma 7 3 11 3" xfId="3167" xr:uid="{00000000-0005-0000-0000-00008C0C0000}"/>
    <cellStyle name="Comma 7 3 11 4" xfId="3168" xr:uid="{00000000-0005-0000-0000-00008D0C0000}"/>
    <cellStyle name="Comma 7 3 11 5" xfId="3169" xr:uid="{00000000-0005-0000-0000-00008E0C0000}"/>
    <cellStyle name="Comma 7 3 12" xfId="3170" xr:uid="{00000000-0005-0000-0000-00008F0C0000}"/>
    <cellStyle name="Comma 7 3 12 2" xfId="3171" xr:uid="{00000000-0005-0000-0000-0000900C0000}"/>
    <cellStyle name="Comma 7 3 12 3" xfId="3172" xr:uid="{00000000-0005-0000-0000-0000910C0000}"/>
    <cellStyle name="Comma 7 3 12 4" xfId="3173" xr:uid="{00000000-0005-0000-0000-0000920C0000}"/>
    <cellStyle name="Comma 7 3 12 5" xfId="3174" xr:uid="{00000000-0005-0000-0000-0000930C0000}"/>
    <cellStyle name="Comma 7 3 13" xfId="3175" xr:uid="{00000000-0005-0000-0000-0000940C0000}"/>
    <cellStyle name="Comma 7 3 13 2" xfId="3176" xr:uid="{00000000-0005-0000-0000-0000950C0000}"/>
    <cellStyle name="Comma 7 3 13 3" xfId="3177" xr:uid="{00000000-0005-0000-0000-0000960C0000}"/>
    <cellStyle name="Comma 7 3 13 4" xfId="3178" xr:uid="{00000000-0005-0000-0000-0000970C0000}"/>
    <cellStyle name="Comma 7 3 13 5" xfId="3179" xr:uid="{00000000-0005-0000-0000-0000980C0000}"/>
    <cellStyle name="Comma 7 3 14" xfId="3180" xr:uid="{00000000-0005-0000-0000-0000990C0000}"/>
    <cellStyle name="Comma 7 3 14 2" xfId="3181" xr:uid="{00000000-0005-0000-0000-00009A0C0000}"/>
    <cellStyle name="Comma 7 3 14 3" xfId="3182" xr:uid="{00000000-0005-0000-0000-00009B0C0000}"/>
    <cellStyle name="Comma 7 3 14 4" xfId="3183" xr:uid="{00000000-0005-0000-0000-00009C0C0000}"/>
    <cellStyle name="Comma 7 3 14 5" xfId="3184" xr:uid="{00000000-0005-0000-0000-00009D0C0000}"/>
    <cellStyle name="Comma 7 3 15" xfId="3185" xr:uid="{00000000-0005-0000-0000-00009E0C0000}"/>
    <cellStyle name="Comma 7 3 15 2" xfId="3186" xr:uid="{00000000-0005-0000-0000-00009F0C0000}"/>
    <cellStyle name="Comma 7 3 15 3" xfId="3187" xr:uid="{00000000-0005-0000-0000-0000A00C0000}"/>
    <cellStyle name="Comma 7 3 15 4" xfId="3188" xr:uid="{00000000-0005-0000-0000-0000A10C0000}"/>
    <cellStyle name="Comma 7 3 15 5" xfId="3189" xr:uid="{00000000-0005-0000-0000-0000A20C0000}"/>
    <cellStyle name="Comma 7 3 16" xfId="3190" xr:uid="{00000000-0005-0000-0000-0000A30C0000}"/>
    <cellStyle name="Comma 7 3 17" xfId="3191" xr:uid="{00000000-0005-0000-0000-0000A40C0000}"/>
    <cellStyle name="Comma 7 3 18" xfId="3192" xr:uid="{00000000-0005-0000-0000-0000A50C0000}"/>
    <cellStyle name="Comma 7 3 2" xfId="3193" xr:uid="{00000000-0005-0000-0000-0000A60C0000}"/>
    <cellStyle name="Comma 7 3 2 2" xfId="3194" xr:uid="{00000000-0005-0000-0000-0000A70C0000}"/>
    <cellStyle name="Comma 7 3 2 3" xfId="3195" xr:uid="{00000000-0005-0000-0000-0000A80C0000}"/>
    <cellStyle name="Comma 7 3 2 4" xfId="3196" xr:uid="{00000000-0005-0000-0000-0000A90C0000}"/>
    <cellStyle name="Comma 7 3 2 5" xfId="3197" xr:uid="{00000000-0005-0000-0000-0000AA0C0000}"/>
    <cellStyle name="Comma 7 3 3" xfId="3198" xr:uid="{00000000-0005-0000-0000-0000AB0C0000}"/>
    <cellStyle name="Comma 7 3 3 2" xfId="3199" xr:uid="{00000000-0005-0000-0000-0000AC0C0000}"/>
    <cellStyle name="Comma 7 3 3 3" xfId="3200" xr:uid="{00000000-0005-0000-0000-0000AD0C0000}"/>
    <cellStyle name="Comma 7 3 3 4" xfId="3201" xr:uid="{00000000-0005-0000-0000-0000AE0C0000}"/>
    <cellStyle name="Comma 7 3 3 5" xfId="3202" xr:uid="{00000000-0005-0000-0000-0000AF0C0000}"/>
    <cellStyle name="Comma 7 3 4" xfId="3203" xr:uid="{00000000-0005-0000-0000-0000B00C0000}"/>
    <cellStyle name="Comma 7 3 4 2" xfId="3204" xr:uid="{00000000-0005-0000-0000-0000B10C0000}"/>
    <cellStyle name="Comma 7 3 4 3" xfId="3205" xr:uid="{00000000-0005-0000-0000-0000B20C0000}"/>
    <cellStyle name="Comma 7 3 4 4" xfId="3206" xr:uid="{00000000-0005-0000-0000-0000B30C0000}"/>
    <cellStyle name="Comma 7 3 4 5" xfId="3207" xr:uid="{00000000-0005-0000-0000-0000B40C0000}"/>
    <cellStyle name="Comma 7 3 5" xfId="3208" xr:uid="{00000000-0005-0000-0000-0000B50C0000}"/>
    <cellStyle name="Comma 7 3 5 2" xfId="3209" xr:uid="{00000000-0005-0000-0000-0000B60C0000}"/>
    <cellStyle name="Comma 7 3 5 3" xfId="3210" xr:uid="{00000000-0005-0000-0000-0000B70C0000}"/>
    <cellStyle name="Comma 7 3 5 4" xfId="3211" xr:uid="{00000000-0005-0000-0000-0000B80C0000}"/>
    <cellStyle name="Comma 7 3 5 5" xfId="3212" xr:uid="{00000000-0005-0000-0000-0000B90C0000}"/>
    <cellStyle name="Comma 7 3 6" xfId="3213" xr:uid="{00000000-0005-0000-0000-0000BA0C0000}"/>
    <cellStyle name="Comma 7 3 6 2" xfId="3214" xr:uid="{00000000-0005-0000-0000-0000BB0C0000}"/>
    <cellStyle name="Comma 7 3 6 3" xfId="3215" xr:uid="{00000000-0005-0000-0000-0000BC0C0000}"/>
    <cellStyle name="Comma 7 3 6 4" xfId="3216" xr:uid="{00000000-0005-0000-0000-0000BD0C0000}"/>
    <cellStyle name="Comma 7 3 6 5" xfId="3217" xr:uid="{00000000-0005-0000-0000-0000BE0C0000}"/>
    <cellStyle name="Comma 7 3 7" xfId="3218" xr:uid="{00000000-0005-0000-0000-0000BF0C0000}"/>
    <cellStyle name="Comma 7 3 7 2" xfId="3219" xr:uid="{00000000-0005-0000-0000-0000C00C0000}"/>
    <cellStyle name="Comma 7 3 7 3" xfId="3220" xr:uid="{00000000-0005-0000-0000-0000C10C0000}"/>
    <cellStyle name="Comma 7 3 7 4" xfId="3221" xr:uid="{00000000-0005-0000-0000-0000C20C0000}"/>
    <cellStyle name="Comma 7 3 7 5" xfId="3222" xr:uid="{00000000-0005-0000-0000-0000C30C0000}"/>
    <cellStyle name="Comma 7 3 8" xfId="3223" xr:uid="{00000000-0005-0000-0000-0000C40C0000}"/>
    <cellStyle name="Comma 7 3 8 2" xfId="3224" xr:uid="{00000000-0005-0000-0000-0000C50C0000}"/>
    <cellStyle name="Comma 7 3 8 3" xfId="3225" xr:uid="{00000000-0005-0000-0000-0000C60C0000}"/>
    <cellStyle name="Comma 7 3 8 4" xfId="3226" xr:uid="{00000000-0005-0000-0000-0000C70C0000}"/>
    <cellStyle name="Comma 7 3 8 5" xfId="3227" xr:uid="{00000000-0005-0000-0000-0000C80C0000}"/>
    <cellStyle name="Comma 7 3 9" xfId="3228" xr:uid="{00000000-0005-0000-0000-0000C90C0000}"/>
    <cellStyle name="Comma 7 3 9 2" xfId="3229" xr:uid="{00000000-0005-0000-0000-0000CA0C0000}"/>
    <cellStyle name="Comma 7 3 9 3" xfId="3230" xr:uid="{00000000-0005-0000-0000-0000CB0C0000}"/>
    <cellStyle name="Comma 7 3 9 4" xfId="3231" xr:uid="{00000000-0005-0000-0000-0000CC0C0000}"/>
    <cellStyle name="Comma 7 3 9 5" xfId="3232" xr:uid="{00000000-0005-0000-0000-0000CD0C0000}"/>
    <cellStyle name="Comma 7 4" xfId="3233" xr:uid="{00000000-0005-0000-0000-0000CE0C0000}"/>
    <cellStyle name="Comma 7 4 2" xfId="3234" xr:uid="{00000000-0005-0000-0000-0000CF0C0000}"/>
    <cellStyle name="Comma 7 4 3" xfId="3235" xr:uid="{00000000-0005-0000-0000-0000D00C0000}"/>
    <cellStyle name="Comma 7 4 4" xfId="3236" xr:uid="{00000000-0005-0000-0000-0000D10C0000}"/>
    <cellStyle name="Comma 7 4 5" xfId="3237" xr:uid="{00000000-0005-0000-0000-0000D20C0000}"/>
    <cellStyle name="Comma 7 5" xfId="3238" xr:uid="{00000000-0005-0000-0000-0000D30C0000}"/>
    <cellStyle name="Comma 7 5 2" xfId="3239" xr:uid="{00000000-0005-0000-0000-0000D40C0000}"/>
    <cellStyle name="Comma 7 5 3" xfId="3240" xr:uid="{00000000-0005-0000-0000-0000D50C0000}"/>
    <cellStyle name="Comma 7 5 4" xfId="3241" xr:uid="{00000000-0005-0000-0000-0000D60C0000}"/>
    <cellStyle name="Comma 7 5 5" xfId="3242" xr:uid="{00000000-0005-0000-0000-0000D70C0000}"/>
    <cellStyle name="Comma 7 6" xfId="3243" xr:uid="{00000000-0005-0000-0000-0000D80C0000}"/>
    <cellStyle name="Comma 7 6 2" xfId="3244" xr:uid="{00000000-0005-0000-0000-0000D90C0000}"/>
    <cellStyle name="Comma 7 6 3" xfId="3245" xr:uid="{00000000-0005-0000-0000-0000DA0C0000}"/>
    <cellStyle name="Comma 7 6 4" xfId="3246" xr:uid="{00000000-0005-0000-0000-0000DB0C0000}"/>
    <cellStyle name="Comma 7 6 5" xfId="3247" xr:uid="{00000000-0005-0000-0000-0000DC0C0000}"/>
    <cellStyle name="Comma 7 7" xfId="3248" xr:uid="{00000000-0005-0000-0000-0000DD0C0000}"/>
    <cellStyle name="Comma 7 7 2" xfId="3249" xr:uid="{00000000-0005-0000-0000-0000DE0C0000}"/>
    <cellStyle name="Comma 7 7 3" xfId="3250" xr:uid="{00000000-0005-0000-0000-0000DF0C0000}"/>
    <cellStyle name="Comma 7 7 4" xfId="3251" xr:uid="{00000000-0005-0000-0000-0000E00C0000}"/>
    <cellStyle name="Comma 7 7 5" xfId="3252" xr:uid="{00000000-0005-0000-0000-0000E10C0000}"/>
    <cellStyle name="Comma 7 8" xfId="3253" xr:uid="{00000000-0005-0000-0000-0000E20C0000}"/>
    <cellStyle name="Comma 7 8 2" xfId="3254" xr:uid="{00000000-0005-0000-0000-0000E30C0000}"/>
    <cellStyle name="Comma 7 8 3" xfId="3255" xr:uid="{00000000-0005-0000-0000-0000E40C0000}"/>
    <cellStyle name="Comma 7 8 4" xfId="3256" xr:uid="{00000000-0005-0000-0000-0000E50C0000}"/>
    <cellStyle name="Comma 7 8 5" xfId="3257" xr:uid="{00000000-0005-0000-0000-0000E60C0000}"/>
    <cellStyle name="Comma 7 9" xfId="3258" xr:uid="{00000000-0005-0000-0000-0000E70C0000}"/>
    <cellStyle name="Comma 7 9 2" xfId="3259" xr:uid="{00000000-0005-0000-0000-0000E80C0000}"/>
    <cellStyle name="Comma 7 9 3" xfId="3260" xr:uid="{00000000-0005-0000-0000-0000E90C0000}"/>
    <cellStyle name="Comma 7 9 4" xfId="3261" xr:uid="{00000000-0005-0000-0000-0000EA0C0000}"/>
    <cellStyle name="Comma 7 9 5" xfId="3262" xr:uid="{00000000-0005-0000-0000-0000EB0C0000}"/>
    <cellStyle name="Comma 8" xfId="3263" xr:uid="{00000000-0005-0000-0000-0000EC0C0000}"/>
    <cellStyle name="Comma 8 2" xfId="3264" xr:uid="{00000000-0005-0000-0000-0000ED0C0000}"/>
    <cellStyle name="Comma 8 2 2" xfId="3265" xr:uid="{00000000-0005-0000-0000-0000EE0C0000}"/>
    <cellStyle name="Comma 8 2 2 2" xfId="3266" xr:uid="{00000000-0005-0000-0000-0000EF0C0000}"/>
    <cellStyle name="Comma 8 2 2 3" xfId="3267" xr:uid="{00000000-0005-0000-0000-0000F00C0000}"/>
    <cellStyle name="Comma 8 2 3" xfId="3268" xr:uid="{00000000-0005-0000-0000-0000F10C0000}"/>
    <cellStyle name="Comma 8 2 3 2" xfId="3269" xr:uid="{00000000-0005-0000-0000-0000F20C0000}"/>
    <cellStyle name="Comma 8 2 3 3" xfId="3270" xr:uid="{00000000-0005-0000-0000-0000F30C0000}"/>
    <cellStyle name="Comma 8 2 4" xfId="3271" xr:uid="{00000000-0005-0000-0000-0000F40C0000}"/>
    <cellStyle name="Comma 8 2 5" xfId="3272" xr:uid="{00000000-0005-0000-0000-0000F50C0000}"/>
    <cellStyle name="Comma 8 2 6" xfId="3273" xr:uid="{00000000-0005-0000-0000-0000F60C0000}"/>
    <cellStyle name="Comma 8 3" xfId="3274" xr:uid="{00000000-0005-0000-0000-0000F70C0000}"/>
    <cellStyle name="Comma 8 3 2" xfId="3275" xr:uid="{00000000-0005-0000-0000-0000F80C0000}"/>
    <cellStyle name="Comma 8 3 2 2" xfId="3276" xr:uid="{00000000-0005-0000-0000-0000F90C0000}"/>
    <cellStyle name="Comma 8 3 2 3" xfId="3277" xr:uid="{00000000-0005-0000-0000-0000FA0C0000}"/>
    <cellStyle name="Comma 8 3 3" xfId="3278" xr:uid="{00000000-0005-0000-0000-0000FB0C0000}"/>
    <cellStyle name="Comma 8 3 4" xfId="3279" xr:uid="{00000000-0005-0000-0000-0000FC0C0000}"/>
    <cellStyle name="Comma 8 3 5" xfId="3280" xr:uid="{00000000-0005-0000-0000-0000FD0C0000}"/>
    <cellStyle name="Comma 8 4" xfId="3281" xr:uid="{00000000-0005-0000-0000-0000FE0C0000}"/>
    <cellStyle name="Comma 8 4 2" xfId="3282" xr:uid="{00000000-0005-0000-0000-0000FF0C0000}"/>
    <cellStyle name="Comma 8 4 2 2" xfId="3283" xr:uid="{00000000-0005-0000-0000-0000000D0000}"/>
    <cellStyle name="Comma 8 4 2 3" xfId="3284" xr:uid="{00000000-0005-0000-0000-0000010D0000}"/>
    <cellStyle name="Comma 8 4 3" xfId="3285" xr:uid="{00000000-0005-0000-0000-0000020D0000}"/>
    <cellStyle name="Comma 8 4 4" xfId="3286" xr:uid="{00000000-0005-0000-0000-0000030D0000}"/>
    <cellStyle name="Comma 8 4 5" xfId="3287" xr:uid="{00000000-0005-0000-0000-0000040D0000}"/>
    <cellStyle name="Comma 8 5" xfId="3288" xr:uid="{00000000-0005-0000-0000-0000050D0000}"/>
    <cellStyle name="Comma 8 5 2" xfId="3289" xr:uid="{00000000-0005-0000-0000-0000060D0000}"/>
    <cellStyle name="Comma 8 5 2 2" xfId="3290" xr:uid="{00000000-0005-0000-0000-0000070D0000}"/>
    <cellStyle name="Comma 8 5 2 3" xfId="3291" xr:uid="{00000000-0005-0000-0000-0000080D0000}"/>
    <cellStyle name="Comma 8 5 3" xfId="3292" xr:uid="{00000000-0005-0000-0000-0000090D0000}"/>
    <cellStyle name="Comma 8 5 4" xfId="3293" xr:uid="{00000000-0005-0000-0000-00000A0D0000}"/>
    <cellStyle name="Comma 8 5 5" xfId="3294" xr:uid="{00000000-0005-0000-0000-00000B0D0000}"/>
    <cellStyle name="Comma 8 6" xfId="3295" xr:uid="{00000000-0005-0000-0000-00000C0D0000}"/>
    <cellStyle name="Comma 8 6 2" xfId="3296" xr:uid="{00000000-0005-0000-0000-00000D0D0000}"/>
    <cellStyle name="Comma 8 6 2 2" xfId="3297" xr:uid="{00000000-0005-0000-0000-00000E0D0000}"/>
    <cellStyle name="Comma 8 6 2 3" xfId="3298" xr:uid="{00000000-0005-0000-0000-00000F0D0000}"/>
    <cellStyle name="Comma 8 6 3" xfId="3299" xr:uid="{00000000-0005-0000-0000-0000100D0000}"/>
    <cellStyle name="Comma 8 6 4" xfId="3300" xr:uid="{00000000-0005-0000-0000-0000110D0000}"/>
    <cellStyle name="Comma 8 6 5" xfId="3301" xr:uid="{00000000-0005-0000-0000-0000120D0000}"/>
    <cellStyle name="Comma 8 7" xfId="3302" xr:uid="{00000000-0005-0000-0000-0000130D0000}"/>
    <cellStyle name="Comma 8 7 2" xfId="3303" xr:uid="{00000000-0005-0000-0000-0000140D0000}"/>
    <cellStyle name="Comma 8 7 2 2" xfId="3304" xr:uid="{00000000-0005-0000-0000-0000150D0000}"/>
    <cellStyle name="Comma 8 7 2 3" xfId="3305" xr:uid="{00000000-0005-0000-0000-0000160D0000}"/>
    <cellStyle name="Comma 8 7 3" xfId="3306" xr:uid="{00000000-0005-0000-0000-0000170D0000}"/>
    <cellStyle name="Comma 8 7 4" xfId="3307" xr:uid="{00000000-0005-0000-0000-0000180D0000}"/>
    <cellStyle name="Comma 8 7 5" xfId="3308" xr:uid="{00000000-0005-0000-0000-0000190D0000}"/>
    <cellStyle name="Comma 8 8" xfId="3309" xr:uid="{00000000-0005-0000-0000-00001A0D0000}"/>
    <cellStyle name="Comma 8 8 2" xfId="3310" xr:uid="{00000000-0005-0000-0000-00001B0D0000}"/>
    <cellStyle name="Comma 8 8 2 2" xfId="3311" xr:uid="{00000000-0005-0000-0000-00001C0D0000}"/>
    <cellStyle name="Comma 8 8 2 3" xfId="3312" xr:uid="{00000000-0005-0000-0000-00001D0D0000}"/>
    <cellStyle name="Comma 8 8 3" xfId="3313" xr:uid="{00000000-0005-0000-0000-00001E0D0000}"/>
    <cellStyle name="Comma 8 8 4" xfId="3314" xr:uid="{00000000-0005-0000-0000-00001F0D0000}"/>
    <cellStyle name="Comma 8 8 5" xfId="3315" xr:uid="{00000000-0005-0000-0000-0000200D0000}"/>
    <cellStyle name="Comma 9" xfId="3316" xr:uid="{00000000-0005-0000-0000-0000210D0000}"/>
    <cellStyle name="Comma 9 10" xfId="3317" xr:uid="{00000000-0005-0000-0000-0000220D0000}"/>
    <cellStyle name="Comma 9 11" xfId="3318" xr:uid="{00000000-0005-0000-0000-0000230D0000}"/>
    <cellStyle name="Comma 9 2" xfId="3319" xr:uid="{00000000-0005-0000-0000-0000240D0000}"/>
    <cellStyle name="Comma 9 2 2" xfId="3320" xr:uid="{00000000-0005-0000-0000-0000250D0000}"/>
    <cellStyle name="Comma 9 2 3" xfId="3321" xr:uid="{00000000-0005-0000-0000-0000260D0000}"/>
    <cellStyle name="Comma 9 2 4" xfId="3322" xr:uid="{00000000-0005-0000-0000-0000270D0000}"/>
    <cellStyle name="Comma 9 2 5" xfId="3323" xr:uid="{00000000-0005-0000-0000-0000280D0000}"/>
    <cellStyle name="Comma 9 3" xfId="3324" xr:uid="{00000000-0005-0000-0000-0000290D0000}"/>
    <cellStyle name="Comma 9 3 2" xfId="3325" xr:uid="{00000000-0005-0000-0000-00002A0D0000}"/>
    <cellStyle name="Comma 9 3 3" xfId="3326" xr:uid="{00000000-0005-0000-0000-00002B0D0000}"/>
    <cellStyle name="Comma 9 3 4" xfId="3327" xr:uid="{00000000-0005-0000-0000-00002C0D0000}"/>
    <cellStyle name="Comma 9 3 5" xfId="3328" xr:uid="{00000000-0005-0000-0000-00002D0D0000}"/>
    <cellStyle name="Comma 9 4" xfId="3329" xr:uid="{00000000-0005-0000-0000-00002E0D0000}"/>
    <cellStyle name="Comma 9 4 2" xfId="3330" xr:uid="{00000000-0005-0000-0000-00002F0D0000}"/>
    <cellStyle name="Comma 9 4 3" xfId="3331" xr:uid="{00000000-0005-0000-0000-0000300D0000}"/>
    <cellStyle name="Comma 9 4 4" xfId="3332" xr:uid="{00000000-0005-0000-0000-0000310D0000}"/>
    <cellStyle name="Comma 9 4 5" xfId="3333" xr:uid="{00000000-0005-0000-0000-0000320D0000}"/>
    <cellStyle name="Comma 9 5" xfId="3334" xr:uid="{00000000-0005-0000-0000-0000330D0000}"/>
    <cellStyle name="Comma 9 5 2" xfId="3335" xr:uid="{00000000-0005-0000-0000-0000340D0000}"/>
    <cellStyle name="Comma 9 5 3" xfId="3336" xr:uid="{00000000-0005-0000-0000-0000350D0000}"/>
    <cellStyle name="Comma 9 5 4" xfId="3337" xr:uid="{00000000-0005-0000-0000-0000360D0000}"/>
    <cellStyle name="Comma 9 5 5" xfId="3338" xr:uid="{00000000-0005-0000-0000-0000370D0000}"/>
    <cellStyle name="Comma 9 6" xfId="3339" xr:uid="{00000000-0005-0000-0000-0000380D0000}"/>
    <cellStyle name="Comma 9 6 2" xfId="3340" xr:uid="{00000000-0005-0000-0000-0000390D0000}"/>
    <cellStyle name="Comma 9 6 3" xfId="3341" xr:uid="{00000000-0005-0000-0000-00003A0D0000}"/>
    <cellStyle name="Comma 9 6 4" xfId="3342" xr:uid="{00000000-0005-0000-0000-00003B0D0000}"/>
    <cellStyle name="Comma 9 6 5" xfId="3343" xr:uid="{00000000-0005-0000-0000-00003C0D0000}"/>
    <cellStyle name="Comma 9 7" xfId="3344" xr:uid="{00000000-0005-0000-0000-00003D0D0000}"/>
    <cellStyle name="Comma 9 7 2" xfId="3345" xr:uid="{00000000-0005-0000-0000-00003E0D0000}"/>
    <cellStyle name="Comma 9 7 3" xfId="3346" xr:uid="{00000000-0005-0000-0000-00003F0D0000}"/>
    <cellStyle name="Comma 9 7 4" xfId="3347" xr:uid="{00000000-0005-0000-0000-0000400D0000}"/>
    <cellStyle name="Comma 9 7 5" xfId="3348" xr:uid="{00000000-0005-0000-0000-0000410D0000}"/>
    <cellStyle name="Comma 9 8" xfId="3349" xr:uid="{00000000-0005-0000-0000-0000420D0000}"/>
    <cellStyle name="Comma 9 8 2" xfId="3350" xr:uid="{00000000-0005-0000-0000-0000430D0000}"/>
    <cellStyle name="Comma 9 8 3" xfId="3351" xr:uid="{00000000-0005-0000-0000-0000440D0000}"/>
    <cellStyle name="Comma 9 8 4" xfId="3352" xr:uid="{00000000-0005-0000-0000-0000450D0000}"/>
    <cellStyle name="Comma 9 8 5" xfId="3353" xr:uid="{00000000-0005-0000-0000-0000460D0000}"/>
    <cellStyle name="Comma 9 9" xfId="3354" xr:uid="{00000000-0005-0000-0000-0000470D0000}"/>
    <cellStyle name="Comma 9 9 2" xfId="3355" xr:uid="{00000000-0005-0000-0000-0000480D0000}"/>
    <cellStyle name="Comma 9 9 3" xfId="3356" xr:uid="{00000000-0005-0000-0000-0000490D0000}"/>
    <cellStyle name="Comma 9 9 4" xfId="3357" xr:uid="{00000000-0005-0000-0000-00004A0D0000}"/>
    <cellStyle name="Comma 9 9 5" xfId="3358" xr:uid="{00000000-0005-0000-0000-00004B0D0000}"/>
    <cellStyle name="Constants" xfId="3359" xr:uid="{00000000-0005-0000-0000-00004C0D0000}"/>
    <cellStyle name="Currency 2" xfId="3360" xr:uid="{00000000-0005-0000-0000-00004D0D0000}"/>
    <cellStyle name="Currency 2 2" xfId="3361" xr:uid="{00000000-0005-0000-0000-00004E0D0000}"/>
    <cellStyle name="Currency 2 2 2" xfId="3362" xr:uid="{00000000-0005-0000-0000-00004F0D0000}"/>
    <cellStyle name="Currency 2 2 3" xfId="3363" xr:uid="{00000000-0005-0000-0000-0000500D0000}"/>
    <cellStyle name="Currency 2 2 4" xfId="3364" xr:uid="{00000000-0005-0000-0000-0000510D0000}"/>
    <cellStyle name="Currency 2 2 5" xfId="3365" xr:uid="{00000000-0005-0000-0000-0000520D0000}"/>
    <cellStyle name="Currency 2 3" xfId="3366" xr:uid="{00000000-0005-0000-0000-0000530D0000}"/>
    <cellStyle name="Currency 2 3 2" xfId="3367" xr:uid="{00000000-0005-0000-0000-0000540D0000}"/>
    <cellStyle name="Currency 2 3 3" xfId="3368" xr:uid="{00000000-0005-0000-0000-0000550D0000}"/>
    <cellStyle name="CustomCellsOrange" xfId="3369" xr:uid="{00000000-0005-0000-0000-0000560D0000}"/>
    <cellStyle name="CustomizationCells" xfId="3370" xr:uid="{00000000-0005-0000-0000-0000570D0000}"/>
    <cellStyle name="CustomizationGreenCells" xfId="3371" xr:uid="{00000000-0005-0000-0000-0000580D0000}"/>
    <cellStyle name="DocBox_EmptyRow" xfId="3372" xr:uid="{00000000-0005-0000-0000-0000590D0000}"/>
    <cellStyle name="donn_normal" xfId="3373" xr:uid="{00000000-0005-0000-0000-00005A0D0000}"/>
    <cellStyle name="Eingabe" xfId="3374" xr:uid="{00000000-0005-0000-0000-00005B0D0000}"/>
    <cellStyle name="Ellenőrzőcella" xfId="3375" xr:uid="{00000000-0005-0000-0000-00005C0D0000}"/>
    <cellStyle name="Empty_B_border" xfId="3376" xr:uid="{00000000-0005-0000-0000-00005D0D0000}"/>
    <cellStyle name="ent_col_ser" xfId="3377" xr:uid="{00000000-0005-0000-0000-00005E0D0000}"/>
    <cellStyle name="entete_source" xfId="3378" xr:uid="{00000000-0005-0000-0000-00005F0D0000}"/>
    <cellStyle name="Ergebnis" xfId="3379" xr:uid="{00000000-0005-0000-0000-0000600D0000}"/>
    <cellStyle name="Erklärender Text" xfId="3380" xr:uid="{00000000-0005-0000-0000-0000610D0000}"/>
    <cellStyle name="Estilo 1" xfId="3381" xr:uid="{00000000-0005-0000-0000-0000620D0000}"/>
    <cellStyle name="Euro" xfId="3382" xr:uid="{00000000-0005-0000-0000-0000630D0000}"/>
    <cellStyle name="Euro 10" xfId="3383" xr:uid="{00000000-0005-0000-0000-0000640D0000}"/>
    <cellStyle name="Euro 10 2" xfId="3384" xr:uid="{00000000-0005-0000-0000-0000650D0000}"/>
    <cellStyle name="Euro 11" xfId="3385" xr:uid="{00000000-0005-0000-0000-0000660D0000}"/>
    <cellStyle name="Euro 11 2" xfId="3386" xr:uid="{00000000-0005-0000-0000-0000670D0000}"/>
    <cellStyle name="Euro 12" xfId="3387" xr:uid="{00000000-0005-0000-0000-0000680D0000}"/>
    <cellStyle name="Euro 13" xfId="3388" xr:uid="{00000000-0005-0000-0000-0000690D0000}"/>
    <cellStyle name="Euro 14" xfId="3389" xr:uid="{00000000-0005-0000-0000-00006A0D0000}"/>
    <cellStyle name="Euro 15" xfId="3390" xr:uid="{00000000-0005-0000-0000-00006B0D0000}"/>
    <cellStyle name="Euro 16" xfId="3391" xr:uid="{00000000-0005-0000-0000-00006C0D0000}"/>
    <cellStyle name="Euro 17" xfId="3392" xr:uid="{00000000-0005-0000-0000-00006D0D0000}"/>
    <cellStyle name="Euro 18" xfId="3393" xr:uid="{00000000-0005-0000-0000-00006E0D0000}"/>
    <cellStyle name="Euro 19" xfId="3394" xr:uid="{00000000-0005-0000-0000-00006F0D0000}"/>
    <cellStyle name="Euro 2" xfId="3395" xr:uid="{00000000-0005-0000-0000-0000700D0000}"/>
    <cellStyle name="Euro 2 2" xfId="3396" xr:uid="{00000000-0005-0000-0000-0000710D0000}"/>
    <cellStyle name="Euro 2 2 2" xfId="3397" xr:uid="{00000000-0005-0000-0000-0000720D0000}"/>
    <cellStyle name="Euro 2 2 3" xfId="3398" xr:uid="{00000000-0005-0000-0000-0000730D0000}"/>
    <cellStyle name="Euro 2 2 4" xfId="3399" xr:uid="{00000000-0005-0000-0000-0000740D0000}"/>
    <cellStyle name="Euro 2 2 4 2" xfId="3400" xr:uid="{00000000-0005-0000-0000-0000750D0000}"/>
    <cellStyle name="Euro 2 2 4 3" xfId="3401" xr:uid="{00000000-0005-0000-0000-0000760D0000}"/>
    <cellStyle name="Euro 2 2 5" xfId="3402" xr:uid="{00000000-0005-0000-0000-0000770D0000}"/>
    <cellStyle name="Euro 2 2 6" xfId="3403" xr:uid="{00000000-0005-0000-0000-0000780D0000}"/>
    <cellStyle name="Euro 2 3" xfId="3404" xr:uid="{00000000-0005-0000-0000-0000790D0000}"/>
    <cellStyle name="Euro 2 3 2" xfId="3405" xr:uid="{00000000-0005-0000-0000-00007A0D0000}"/>
    <cellStyle name="Euro 2 3 3" xfId="3406" xr:uid="{00000000-0005-0000-0000-00007B0D0000}"/>
    <cellStyle name="Euro 2 4" xfId="3407" xr:uid="{00000000-0005-0000-0000-00007C0D0000}"/>
    <cellStyle name="Euro 2 5" xfId="3408" xr:uid="{00000000-0005-0000-0000-00007D0D0000}"/>
    <cellStyle name="Euro 2 6" xfId="3409" xr:uid="{00000000-0005-0000-0000-00007E0D0000}"/>
    <cellStyle name="Euro 2 7" xfId="3410" xr:uid="{00000000-0005-0000-0000-00007F0D0000}"/>
    <cellStyle name="Euro 2 8" xfId="3411" xr:uid="{00000000-0005-0000-0000-0000800D0000}"/>
    <cellStyle name="Euro 20" xfId="3412" xr:uid="{00000000-0005-0000-0000-0000810D0000}"/>
    <cellStyle name="Euro 21" xfId="3413" xr:uid="{00000000-0005-0000-0000-0000820D0000}"/>
    <cellStyle name="Euro 22" xfId="3414" xr:uid="{00000000-0005-0000-0000-0000830D0000}"/>
    <cellStyle name="Euro 23" xfId="3415" xr:uid="{00000000-0005-0000-0000-0000840D0000}"/>
    <cellStyle name="Euro 24" xfId="3416" xr:uid="{00000000-0005-0000-0000-0000850D0000}"/>
    <cellStyle name="Euro 25" xfId="3417" xr:uid="{00000000-0005-0000-0000-0000860D0000}"/>
    <cellStyle name="Euro 26" xfId="3418" xr:uid="{00000000-0005-0000-0000-0000870D0000}"/>
    <cellStyle name="Euro 27" xfId="3419" xr:uid="{00000000-0005-0000-0000-0000880D0000}"/>
    <cellStyle name="Euro 28" xfId="3420" xr:uid="{00000000-0005-0000-0000-0000890D0000}"/>
    <cellStyle name="Euro 29" xfId="3421" xr:uid="{00000000-0005-0000-0000-00008A0D0000}"/>
    <cellStyle name="Euro 3" xfId="3422" xr:uid="{00000000-0005-0000-0000-00008B0D0000}"/>
    <cellStyle name="Euro 3 10" xfId="3423" xr:uid="{00000000-0005-0000-0000-00008C0D0000}"/>
    <cellStyle name="Euro 3 2" xfId="3424" xr:uid="{00000000-0005-0000-0000-00008D0D0000}"/>
    <cellStyle name="Euro 3 2 2" xfId="3425" xr:uid="{00000000-0005-0000-0000-00008E0D0000}"/>
    <cellStyle name="Euro 3 3" xfId="3426" xr:uid="{00000000-0005-0000-0000-00008F0D0000}"/>
    <cellStyle name="Euro 3 3 2" xfId="3427" xr:uid="{00000000-0005-0000-0000-0000900D0000}"/>
    <cellStyle name="Euro 3 3 3" xfId="3428" xr:uid="{00000000-0005-0000-0000-0000910D0000}"/>
    <cellStyle name="Euro 3 3 4" xfId="3429" xr:uid="{00000000-0005-0000-0000-0000920D0000}"/>
    <cellStyle name="Euro 3 3 4 2" xfId="3430" xr:uid="{00000000-0005-0000-0000-0000930D0000}"/>
    <cellStyle name="Euro 3 4" xfId="3431" xr:uid="{00000000-0005-0000-0000-0000940D0000}"/>
    <cellStyle name="Euro 3 5" xfId="3432" xr:uid="{00000000-0005-0000-0000-0000950D0000}"/>
    <cellStyle name="Euro 3 6" xfId="3433" xr:uid="{00000000-0005-0000-0000-0000960D0000}"/>
    <cellStyle name="Euro 3 7" xfId="3434" xr:uid="{00000000-0005-0000-0000-0000970D0000}"/>
    <cellStyle name="Euro 3 8" xfId="3435" xr:uid="{00000000-0005-0000-0000-0000980D0000}"/>
    <cellStyle name="Euro 3 9" xfId="3436" xr:uid="{00000000-0005-0000-0000-0000990D0000}"/>
    <cellStyle name="Euro 3_PrimaryEnergyPrices_TIMES" xfId="3437" xr:uid="{00000000-0005-0000-0000-00009A0D0000}"/>
    <cellStyle name="Euro 30" xfId="3438" xr:uid="{00000000-0005-0000-0000-00009B0D0000}"/>
    <cellStyle name="Euro 31" xfId="3439" xr:uid="{00000000-0005-0000-0000-00009C0D0000}"/>
    <cellStyle name="Euro 32" xfId="3440" xr:uid="{00000000-0005-0000-0000-00009D0D0000}"/>
    <cellStyle name="Euro 33" xfId="3441" xr:uid="{00000000-0005-0000-0000-00009E0D0000}"/>
    <cellStyle name="Euro 34" xfId="3442" xr:uid="{00000000-0005-0000-0000-00009F0D0000}"/>
    <cellStyle name="Euro 35" xfId="3443" xr:uid="{00000000-0005-0000-0000-0000A00D0000}"/>
    <cellStyle name="Euro 36" xfId="3444" xr:uid="{00000000-0005-0000-0000-0000A10D0000}"/>
    <cellStyle name="Euro 37" xfId="3445" xr:uid="{00000000-0005-0000-0000-0000A20D0000}"/>
    <cellStyle name="Euro 38" xfId="3446" xr:uid="{00000000-0005-0000-0000-0000A30D0000}"/>
    <cellStyle name="Euro 39" xfId="3447" xr:uid="{00000000-0005-0000-0000-0000A40D0000}"/>
    <cellStyle name="Euro 4" xfId="3448" xr:uid="{00000000-0005-0000-0000-0000A50D0000}"/>
    <cellStyle name="Euro 4 2" xfId="3449" xr:uid="{00000000-0005-0000-0000-0000A60D0000}"/>
    <cellStyle name="Euro 4 2 2" xfId="3450" xr:uid="{00000000-0005-0000-0000-0000A70D0000}"/>
    <cellStyle name="Euro 4 3" xfId="3451" xr:uid="{00000000-0005-0000-0000-0000A80D0000}"/>
    <cellStyle name="Euro 4 3 2" xfId="3452" xr:uid="{00000000-0005-0000-0000-0000A90D0000}"/>
    <cellStyle name="Euro 4 3 3" xfId="3453" xr:uid="{00000000-0005-0000-0000-0000AA0D0000}"/>
    <cellStyle name="Euro 4 3 4" xfId="3454" xr:uid="{00000000-0005-0000-0000-0000AB0D0000}"/>
    <cellStyle name="Euro 4 3 4 2" xfId="3455" xr:uid="{00000000-0005-0000-0000-0000AC0D0000}"/>
    <cellStyle name="Euro 4 4" xfId="3456" xr:uid="{00000000-0005-0000-0000-0000AD0D0000}"/>
    <cellStyle name="Euro 4 4 2" xfId="3457" xr:uid="{00000000-0005-0000-0000-0000AE0D0000}"/>
    <cellStyle name="Euro 4 4 3" xfId="3458" xr:uid="{00000000-0005-0000-0000-0000AF0D0000}"/>
    <cellStyle name="Euro 4 5" xfId="3459" xr:uid="{00000000-0005-0000-0000-0000B00D0000}"/>
    <cellStyle name="Euro 4 6" xfId="3460" xr:uid="{00000000-0005-0000-0000-0000B10D0000}"/>
    <cellStyle name="Euro 40" xfId="3461" xr:uid="{00000000-0005-0000-0000-0000B20D0000}"/>
    <cellStyle name="Euro 41" xfId="3462" xr:uid="{00000000-0005-0000-0000-0000B30D0000}"/>
    <cellStyle name="Euro 42" xfId="3463" xr:uid="{00000000-0005-0000-0000-0000B40D0000}"/>
    <cellStyle name="Euro 43" xfId="3464" xr:uid="{00000000-0005-0000-0000-0000B50D0000}"/>
    <cellStyle name="Euro 44" xfId="3465" xr:uid="{00000000-0005-0000-0000-0000B60D0000}"/>
    <cellStyle name="Euro 45" xfId="3466" xr:uid="{00000000-0005-0000-0000-0000B70D0000}"/>
    <cellStyle name="Euro 46" xfId="3467" xr:uid="{00000000-0005-0000-0000-0000B80D0000}"/>
    <cellStyle name="Euro 47" xfId="3468" xr:uid="{00000000-0005-0000-0000-0000B90D0000}"/>
    <cellStyle name="Euro 48" xfId="3469" xr:uid="{00000000-0005-0000-0000-0000BA0D0000}"/>
    <cellStyle name="Euro 48 2" xfId="3470" xr:uid="{00000000-0005-0000-0000-0000BB0D0000}"/>
    <cellStyle name="Euro 49" xfId="3471" xr:uid="{00000000-0005-0000-0000-0000BC0D0000}"/>
    <cellStyle name="Euro 49 2" xfId="3472" xr:uid="{00000000-0005-0000-0000-0000BD0D0000}"/>
    <cellStyle name="Euro 5" xfId="3473" xr:uid="{00000000-0005-0000-0000-0000BE0D0000}"/>
    <cellStyle name="Euro 5 2" xfId="3474" xr:uid="{00000000-0005-0000-0000-0000BF0D0000}"/>
    <cellStyle name="Euro 5 3" xfId="3475" xr:uid="{00000000-0005-0000-0000-0000C00D0000}"/>
    <cellStyle name="Euro 5 4" xfId="3476" xr:uid="{00000000-0005-0000-0000-0000C10D0000}"/>
    <cellStyle name="Euro 5 4 2" xfId="3477" xr:uid="{00000000-0005-0000-0000-0000C20D0000}"/>
    <cellStyle name="Euro 50" xfId="3478" xr:uid="{00000000-0005-0000-0000-0000C30D0000}"/>
    <cellStyle name="Euro 50 2" xfId="3479" xr:uid="{00000000-0005-0000-0000-0000C40D0000}"/>
    <cellStyle name="Euro 51" xfId="3480" xr:uid="{00000000-0005-0000-0000-0000C50D0000}"/>
    <cellStyle name="Euro 51 2" xfId="3481" xr:uid="{00000000-0005-0000-0000-0000C60D0000}"/>
    <cellStyle name="Euro 52" xfId="3482" xr:uid="{00000000-0005-0000-0000-0000C70D0000}"/>
    <cellStyle name="Euro 52 2" xfId="3483" xr:uid="{00000000-0005-0000-0000-0000C80D0000}"/>
    <cellStyle name="Euro 53" xfId="3484" xr:uid="{00000000-0005-0000-0000-0000C90D0000}"/>
    <cellStyle name="Euro 53 2" xfId="3485" xr:uid="{00000000-0005-0000-0000-0000CA0D0000}"/>
    <cellStyle name="Euro 54" xfId="3486" xr:uid="{00000000-0005-0000-0000-0000CB0D0000}"/>
    <cellStyle name="Euro 54 2" xfId="3487" xr:uid="{00000000-0005-0000-0000-0000CC0D0000}"/>
    <cellStyle name="Euro 55" xfId="3488" xr:uid="{00000000-0005-0000-0000-0000CD0D0000}"/>
    <cellStyle name="Euro 55 2" xfId="3489" xr:uid="{00000000-0005-0000-0000-0000CE0D0000}"/>
    <cellStyle name="Euro 56" xfId="3490" xr:uid="{00000000-0005-0000-0000-0000CF0D0000}"/>
    <cellStyle name="Euro 56 2" xfId="3491" xr:uid="{00000000-0005-0000-0000-0000D00D0000}"/>
    <cellStyle name="Euro 57" xfId="3492" xr:uid="{00000000-0005-0000-0000-0000D10D0000}"/>
    <cellStyle name="Euro 58" xfId="3493" xr:uid="{00000000-0005-0000-0000-0000D20D0000}"/>
    <cellStyle name="Euro 59" xfId="3494" xr:uid="{00000000-0005-0000-0000-0000D30D0000}"/>
    <cellStyle name="Euro 6" xfId="3495" xr:uid="{00000000-0005-0000-0000-0000D40D0000}"/>
    <cellStyle name="Euro 6 2" xfId="3496" xr:uid="{00000000-0005-0000-0000-0000D50D0000}"/>
    <cellStyle name="Euro 6 3" xfId="3497" xr:uid="{00000000-0005-0000-0000-0000D60D0000}"/>
    <cellStyle name="Euro 6 4" xfId="3498" xr:uid="{00000000-0005-0000-0000-0000D70D0000}"/>
    <cellStyle name="Euro 6 5" xfId="3499" xr:uid="{00000000-0005-0000-0000-0000D80D0000}"/>
    <cellStyle name="Euro 6 6" xfId="3500" xr:uid="{00000000-0005-0000-0000-0000D90D0000}"/>
    <cellStyle name="Euro 60" xfId="3501" xr:uid="{00000000-0005-0000-0000-0000DA0D0000}"/>
    <cellStyle name="Euro 7" xfId="3502" xr:uid="{00000000-0005-0000-0000-0000DB0D0000}"/>
    <cellStyle name="Euro 7 2" xfId="3503" xr:uid="{00000000-0005-0000-0000-0000DC0D0000}"/>
    <cellStyle name="Euro 7 3" xfId="3504" xr:uid="{00000000-0005-0000-0000-0000DD0D0000}"/>
    <cellStyle name="Euro 7 4" xfId="3505" xr:uid="{00000000-0005-0000-0000-0000DE0D0000}"/>
    <cellStyle name="Euro 8" xfId="3506" xr:uid="{00000000-0005-0000-0000-0000DF0D0000}"/>
    <cellStyle name="Euro 8 2" xfId="3507" xr:uid="{00000000-0005-0000-0000-0000E00D0000}"/>
    <cellStyle name="Euro 9" xfId="3508" xr:uid="{00000000-0005-0000-0000-0000E10D0000}"/>
    <cellStyle name="Euro 9 2" xfId="3509" xr:uid="{00000000-0005-0000-0000-0000E20D0000}"/>
    <cellStyle name="Euro_Potentials in TIMES" xfId="3510" xr:uid="{00000000-0005-0000-0000-0000E30D0000}"/>
    <cellStyle name="Explanatory Text 10" xfId="3511" xr:uid="{00000000-0005-0000-0000-0000E40D0000}"/>
    <cellStyle name="Explanatory Text 11" xfId="3512" xr:uid="{00000000-0005-0000-0000-0000E50D0000}"/>
    <cellStyle name="Explanatory Text 12" xfId="3513" xr:uid="{00000000-0005-0000-0000-0000E60D0000}"/>
    <cellStyle name="Explanatory Text 13" xfId="3514" xr:uid="{00000000-0005-0000-0000-0000E70D0000}"/>
    <cellStyle name="Explanatory Text 14" xfId="3515" xr:uid="{00000000-0005-0000-0000-0000E80D0000}"/>
    <cellStyle name="Explanatory Text 15" xfId="3516" xr:uid="{00000000-0005-0000-0000-0000E90D0000}"/>
    <cellStyle name="Explanatory Text 16" xfId="3517" xr:uid="{00000000-0005-0000-0000-0000EA0D0000}"/>
    <cellStyle name="Explanatory Text 17" xfId="3518" xr:uid="{00000000-0005-0000-0000-0000EB0D0000}"/>
    <cellStyle name="Explanatory Text 18" xfId="3519" xr:uid="{00000000-0005-0000-0000-0000EC0D0000}"/>
    <cellStyle name="Explanatory Text 19" xfId="3520" xr:uid="{00000000-0005-0000-0000-0000ED0D0000}"/>
    <cellStyle name="Explanatory Text 2" xfId="3521" xr:uid="{00000000-0005-0000-0000-0000EE0D0000}"/>
    <cellStyle name="Explanatory Text 2 10" xfId="3522" xr:uid="{00000000-0005-0000-0000-0000EF0D0000}"/>
    <cellStyle name="Explanatory Text 2 2" xfId="3523" xr:uid="{00000000-0005-0000-0000-0000F00D0000}"/>
    <cellStyle name="Explanatory Text 2 3" xfId="3524" xr:uid="{00000000-0005-0000-0000-0000F10D0000}"/>
    <cellStyle name="Explanatory Text 2 4" xfId="3525" xr:uid="{00000000-0005-0000-0000-0000F20D0000}"/>
    <cellStyle name="Explanatory Text 2 5" xfId="3526" xr:uid="{00000000-0005-0000-0000-0000F30D0000}"/>
    <cellStyle name="Explanatory Text 2 6" xfId="3527" xr:uid="{00000000-0005-0000-0000-0000F40D0000}"/>
    <cellStyle name="Explanatory Text 2 7" xfId="3528" xr:uid="{00000000-0005-0000-0000-0000F50D0000}"/>
    <cellStyle name="Explanatory Text 2 8" xfId="3529" xr:uid="{00000000-0005-0000-0000-0000F60D0000}"/>
    <cellStyle name="Explanatory Text 2 9" xfId="3530" xr:uid="{00000000-0005-0000-0000-0000F70D0000}"/>
    <cellStyle name="Explanatory Text 20" xfId="3531" xr:uid="{00000000-0005-0000-0000-0000F80D0000}"/>
    <cellStyle name="Explanatory Text 21" xfId="3532" xr:uid="{00000000-0005-0000-0000-0000F90D0000}"/>
    <cellStyle name="Explanatory Text 22" xfId="3533" xr:uid="{00000000-0005-0000-0000-0000FA0D0000}"/>
    <cellStyle name="Explanatory Text 23" xfId="3534" xr:uid="{00000000-0005-0000-0000-0000FB0D0000}"/>
    <cellStyle name="Explanatory Text 24" xfId="3535" xr:uid="{00000000-0005-0000-0000-0000FC0D0000}"/>
    <cellStyle name="Explanatory Text 25" xfId="3536" xr:uid="{00000000-0005-0000-0000-0000FD0D0000}"/>
    <cellStyle name="Explanatory Text 26" xfId="3537" xr:uid="{00000000-0005-0000-0000-0000FE0D0000}"/>
    <cellStyle name="Explanatory Text 27" xfId="3538" xr:uid="{00000000-0005-0000-0000-0000FF0D0000}"/>
    <cellStyle name="Explanatory Text 28" xfId="3539" xr:uid="{00000000-0005-0000-0000-0000000E0000}"/>
    <cellStyle name="Explanatory Text 29" xfId="3540" xr:uid="{00000000-0005-0000-0000-0000010E0000}"/>
    <cellStyle name="Explanatory Text 3" xfId="3541" xr:uid="{00000000-0005-0000-0000-0000020E0000}"/>
    <cellStyle name="Explanatory Text 3 2" xfId="3542" xr:uid="{00000000-0005-0000-0000-0000030E0000}"/>
    <cellStyle name="Explanatory Text 30" xfId="3543" xr:uid="{00000000-0005-0000-0000-0000040E0000}"/>
    <cellStyle name="Explanatory Text 31" xfId="3544" xr:uid="{00000000-0005-0000-0000-0000050E0000}"/>
    <cellStyle name="Explanatory Text 32" xfId="3545" xr:uid="{00000000-0005-0000-0000-0000060E0000}"/>
    <cellStyle name="Explanatory Text 33" xfId="3546" xr:uid="{00000000-0005-0000-0000-0000070E0000}"/>
    <cellStyle name="Explanatory Text 34" xfId="3547" xr:uid="{00000000-0005-0000-0000-0000080E0000}"/>
    <cellStyle name="Explanatory Text 35" xfId="3548" xr:uid="{00000000-0005-0000-0000-0000090E0000}"/>
    <cellStyle name="Explanatory Text 36" xfId="3549" xr:uid="{00000000-0005-0000-0000-00000A0E0000}"/>
    <cellStyle name="Explanatory Text 37" xfId="3550" xr:uid="{00000000-0005-0000-0000-00000B0E0000}"/>
    <cellStyle name="Explanatory Text 38" xfId="3551" xr:uid="{00000000-0005-0000-0000-00000C0E0000}"/>
    <cellStyle name="Explanatory Text 39" xfId="3552" xr:uid="{00000000-0005-0000-0000-00000D0E0000}"/>
    <cellStyle name="Explanatory Text 4" xfId="3553" xr:uid="{00000000-0005-0000-0000-00000E0E0000}"/>
    <cellStyle name="Explanatory Text 40" xfId="3554" xr:uid="{00000000-0005-0000-0000-00000F0E0000}"/>
    <cellStyle name="Explanatory Text 41" xfId="3555" xr:uid="{00000000-0005-0000-0000-0000100E0000}"/>
    <cellStyle name="Explanatory Text 42" xfId="3556" xr:uid="{00000000-0005-0000-0000-0000110E0000}"/>
    <cellStyle name="Explanatory Text 43" xfId="3557" xr:uid="{00000000-0005-0000-0000-0000120E0000}"/>
    <cellStyle name="Explanatory Text 5" xfId="3558" xr:uid="{00000000-0005-0000-0000-0000130E0000}"/>
    <cellStyle name="Explanatory Text 6" xfId="3559" xr:uid="{00000000-0005-0000-0000-0000140E0000}"/>
    <cellStyle name="Explanatory Text 7" xfId="3560" xr:uid="{00000000-0005-0000-0000-0000150E0000}"/>
    <cellStyle name="Explanatory Text 8" xfId="3561" xr:uid="{00000000-0005-0000-0000-0000160E0000}"/>
    <cellStyle name="Explanatory Text 9" xfId="3562" xr:uid="{00000000-0005-0000-0000-0000170E0000}"/>
    <cellStyle name="Ezres_vegleges_en" xfId="3563" xr:uid="{00000000-0005-0000-0000-0000180E0000}"/>
    <cellStyle name="Figyelmeztetés" xfId="3564" xr:uid="{00000000-0005-0000-0000-0000190E0000}"/>
    <cellStyle name="Float" xfId="3565" xr:uid="{00000000-0005-0000-0000-00001A0E0000}"/>
    <cellStyle name="Float 2" xfId="3566" xr:uid="{00000000-0005-0000-0000-00001B0E0000}"/>
    <cellStyle name="Float 2 2" xfId="3567" xr:uid="{00000000-0005-0000-0000-00001C0E0000}"/>
    <cellStyle name="Float 3" xfId="3568" xr:uid="{00000000-0005-0000-0000-00001D0E0000}"/>
    <cellStyle name="Float 3 2" xfId="3569" xr:uid="{00000000-0005-0000-0000-00001E0E0000}"/>
    <cellStyle name="Float 3 3" xfId="3570" xr:uid="{00000000-0005-0000-0000-00001F0E0000}"/>
    <cellStyle name="Float 4" xfId="3571" xr:uid="{00000000-0005-0000-0000-0000200E0000}"/>
    <cellStyle name="Good 10" xfId="3572" xr:uid="{00000000-0005-0000-0000-0000210E0000}"/>
    <cellStyle name="Good 11" xfId="3573" xr:uid="{00000000-0005-0000-0000-0000220E0000}"/>
    <cellStyle name="Good 12" xfId="3574" xr:uid="{00000000-0005-0000-0000-0000230E0000}"/>
    <cellStyle name="Good 13" xfId="3575" xr:uid="{00000000-0005-0000-0000-0000240E0000}"/>
    <cellStyle name="Good 14" xfId="3576" xr:uid="{00000000-0005-0000-0000-0000250E0000}"/>
    <cellStyle name="Good 15" xfId="3577" xr:uid="{00000000-0005-0000-0000-0000260E0000}"/>
    <cellStyle name="Good 16" xfId="3578" xr:uid="{00000000-0005-0000-0000-0000270E0000}"/>
    <cellStyle name="Good 17" xfId="3579" xr:uid="{00000000-0005-0000-0000-0000280E0000}"/>
    <cellStyle name="Good 18" xfId="3580" xr:uid="{00000000-0005-0000-0000-0000290E0000}"/>
    <cellStyle name="Good 19" xfId="3581" xr:uid="{00000000-0005-0000-0000-00002A0E0000}"/>
    <cellStyle name="Good 2" xfId="3582" xr:uid="{00000000-0005-0000-0000-00002B0E0000}"/>
    <cellStyle name="Good 2 10" xfId="3583" xr:uid="{00000000-0005-0000-0000-00002C0E0000}"/>
    <cellStyle name="Good 2 2" xfId="3584" xr:uid="{00000000-0005-0000-0000-00002D0E0000}"/>
    <cellStyle name="Good 2 2 2" xfId="3585" xr:uid="{00000000-0005-0000-0000-00002E0E0000}"/>
    <cellStyle name="Good 2 2 3" xfId="3586" xr:uid="{00000000-0005-0000-0000-00002F0E0000}"/>
    <cellStyle name="Good 2 3" xfId="3587" xr:uid="{00000000-0005-0000-0000-0000300E0000}"/>
    <cellStyle name="Good 2 3 2" xfId="3588" xr:uid="{00000000-0005-0000-0000-0000310E0000}"/>
    <cellStyle name="Good 2 3 3" xfId="3589" xr:uid="{00000000-0005-0000-0000-0000320E0000}"/>
    <cellStyle name="Good 2 4" xfId="3590" xr:uid="{00000000-0005-0000-0000-0000330E0000}"/>
    <cellStyle name="Good 2 5" xfId="3591" xr:uid="{00000000-0005-0000-0000-0000340E0000}"/>
    <cellStyle name="Good 2 6" xfId="3592" xr:uid="{00000000-0005-0000-0000-0000350E0000}"/>
    <cellStyle name="Good 2 7" xfId="3593" xr:uid="{00000000-0005-0000-0000-0000360E0000}"/>
    <cellStyle name="Good 2 8" xfId="3594" xr:uid="{00000000-0005-0000-0000-0000370E0000}"/>
    <cellStyle name="Good 2 9" xfId="3595" xr:uid="{00000000-0005-0000-0000-0000380E0000}"/>
    <cellStyle name="Good 20" xfId="3596" xr:uid="{00000000-0005-0000-0000-0000390E0000}"/>
    <cellStyle name="Good 21" xfId="3597" xr:uid="{00000000-0005-0000-0000-00003A0E0000}"/>
    <cellStyle name="Good 22" xfId="3598" xr:uid="{00000000-0005-0000-0000-00003B0E0000}"/>
    <cellStyle name="Good 23" xfId="3599" xr:uid="{00000000-0005-0000-0000-00003C0E0000}"/>
    <cellStyle name="Good 24" xfId="3600" xr:uid="{00000000-0005-0000-0000-00003D0E0000}"/>
    <cellStyle name="Good 25" xfId="3601" xr:uid="{00000000-0005-0000-0000-00003E0E0000}"/>
    <cellStyle name="Good 26" xfId="3602" xr:uid="{00000000-0005-0000-0000-00003F0E0000}"/>
    <cellStyle name="Good 27" xfId="3603" xr:uid="{00000000-0005-0000-0000-0000400E0000}"/>
    <cellStyle name="Good 28" xfId="3604" xr:uid="{00000000-0005-0000-0000-0000410E0000}"/>
    <cellStyle name="Good 29" xfId="3605" xr:uid="{00000000-0005-0000-0000-0000420E0000}"/>
    <cellStyle name="Good 3" xfId="3606" xr:uid="{00000000-0005-0000-0000-0000430E0000}"/>
    <cellStyle name="Good 3 2" xfId="3607" xr:uid="{00000000-0005-0000-0000-0000440E0000}"/>
    <cellStyle name="Good 3 3" xfId="3608" xr:uid="{00000000-0005-0000-0000-0000450E0000}"/>
    <cellStyle name="Good 3 4" xfId="3609" xr:uid="{00000000-0005-0000-0000-0000460E0000}"/>
    <cellStyle name="Good 3 5" xfId="3610" xr:uid="{00000000-0005-0000-0000-0000470E0000}"/>
    <cellStyle name="Good 30" xfId="3611" xr:uid="{00000000-0005-0000-0000-0000480E0000}"/>
    <cellStyle name="Good 31" xfId="3612" xr:uid="{00000000-0005-0000-0000-0000490E0000}"/>
    <cellStyle name="Good 32" xfId="3613" xr:uid="{00000000-0005-0000-0000-00004A0E0000}"/>
    <cellStyle name="Good 33" xfId="3614" xr:uid="{00000000-0005-0000-0000-00004B0E0000}"/>
    <cellStyle name="Good 34" xfId="3615" xr:uid="{00000000-0005-0000-0000-00004C0E0000}"/>
    <cellStyle name="Good 35" xfId="3616" xr:uid="{00000000-0005-0000-0000-00004D0E0000}"/>
    <cellStyle name="Good 36" xfId="3617" xr:uid="{00000000-0005-0000-0000-00004E0E0000}"/>
    <cellStyle name="Good 37" xfId="3618" xr:uid="{00000000-0005-0000-0000-00004F0E0000}"/>
    <cellStyle name="Good 38" xfId="3619" xr:uid="{00000000-0005-0000-0000-0000500E0000}"/>
    <cellStyle name="Good 39" xfId="3620" xr:uid="{00000000-0005-0000-0000-0000510E0000}"/>
    <cellStyle name="Good 4" xfId="3621" xr:uid="{00000000-0005-0000-0000-0000520E0000}"/>
    <cellStyle name="Good 40" xfId="3622" xr:uid="{00000000-0005-0000-0000-0000530E0000}"/>
    <cellStyle name="Good 41" xfId="3623" xr:uid="{00000000-0005-0000-0000-0000540E0000}"/>
    <cellStyle name="Good 42" xfId="3624" xr:uid="{00000000-0005-0000-0000-0000550E0000}"/>
    <cellStyle name="Good 5" xfId="3625" xr:uid="{00000000-0005-0000-0000-0000560E0000}"/>
    <cellStyle name="Good 5 2" xfId="3626" xr:uid="{00000000-0005-0000-0000-0000570E0000}"/>
    <cellStyle name="Good 6" xfId="3627" xr:uid="{00000000-0005-0000-0000-0000580E0000}"/>
    <cellStyle name="Good 7" xfId="3628" xr:uid="{00000000-0005-0000-0000-0000590E0000}"/>
    <cellStyle name="Good 8" xfId="3629" xr:uid="{00000000-0005-0000-0000-00005A0E0000}"/>
    <cellStyle name="Good 9" xfId="3630" xr:uid="{00000000-0005-0000-0000-00005B0E0000}"/>
    <cellStyle name="Gut" xfId="3631" xr:uid="{00000000-0005-0000-0000-00005C0E0000}"/>
    <cellStyle name="Heading 1 10" xfId="3632" xr:uid="{00000000-0005-0000-0000-00005D0E0000}"/>
    <cellStyle name="Heading 1 11" xfId="3633" xr:uid="{00000000-0005-0000-0000-00005E0E0000}"/>
    <cellStyle name="Heading 1 12" xfId="3634" xr:uid="{00000000-0005-0000-0000-00005F0E0000}"/>
    <cellStyle name="Heading 1 13" xfId="3635" xr:uid="{00000000-0005-0000-0000-0000600E0000}"/>
    <cellStyle name="Heading 1 14" xfId="3636" xr:uid="{00000000-0005-0000-0000-0000610E0000}"/>
    <cellStyle name="Heading 1 15" xfId="3637" xr:uid="{00000000-0005-0000-0000-0000620E0000}"/>
    <cellStyle name="Heading 1 16" xfId="3638" xr:uid="{00000000-0005-0000-0000-0000630E0000}"/>
    <cellStyle name="Heading 1 17" xfId="3639" xr:uid="{00000000-0005-0000-0000-0000640E0000}"/>
    <cellStyle name="Heading 1 18" xfId="3640" xr:uid="{00000000-0005-0000-0000-0000650E0000}"/>
    <cellStyle name="Heading 1 19" xfId="3641" xr:uid="{00000000-0005-0000-0000-0000660E0000}"/>
    <cellStyle name="Heading 1 2" xfId="3642" xr:uid="{00000000-0005-0000-0000-0000670E0000}"/>
    <cellStyle name="Heading 1 2 10" xfId="3643" xr:uid="{00000000-0005-0000-0000-0000680E0000}"/>
    <cellStyle name="Heading 1 2 2" xfId="3644" xr:uid="{00000000-0005-0000-0000-0000690E0000}"/>
    <cellStyle name="Heading 1 2 3" xfId="3645" xr:uid="{00000000-0005-0000-0000-00006A0E0000}"/>
    <cellStyle name="Heading 1 2 4" xfId="3646" xr:uid="{00000000-0005-0000-0000-00006B0E0000}"/>
    <cellStyle name="Heading 1 2 5" xfId="3647" xr:uid="{00000000-0005-0000-0000-00006C0E0000}"/>
    <cellStyle name="Heading 1 2 6" xfId="3648" xr:uid="{00000000-0005-0000-0000-00006D0E0000}"/>
    <cellStyle name="Heading 1 2 7" xfId="3649" xr:uid="{00000000-0005-0000-0000-00006E0E0000}"/>
    <cellStyle name="Heading 1 2 8" xfId="3650" xr:uid="{00000000-0005-0000-0000-00006F0E0000}"/>
    <cellStyle name="Heading 1 2 9" xfId="3651" xr:uid="{00000000-0005-0000-0000-0000700E0000}"/>
    <cellStyle name="Heading 1 20" xfId="3652" xr:uid="{00000000-0005-0000-0000-0000710E0000}"/>
    <cellStyle name="Heading 1 21" xfId="3653" xr:uid="{00000000-0005-0000-0000-0000720E0000}"/>
    <cellStyle name="Heading 1 22" xfId="3654" xr:uid="{00000000-0005-0000-0000-0000730E0000}"/>
    <cellStyle name="Heading 1 23" xfId="3655" xr:uid="{00000000-0005-0000-0000-0000740E0000}"/>
    <cellStyle name="Heading 1 24" xfId="3656" xr:uid="{00000000-0005-0000-0000-0000750E0000}"/>
    <cellStyle name="Heading 1 25" xfId="3657" xr:uid="{00000000-0005-0000-0000-0000760E0000}"/>
    <cellStyle name="Heading 1 26" xfId="3658" xr:uid="{00000000-0005-0000-0000-0000770E0000}"/>
    <cellStyle name="Heading 1 27" xfId="3659" xr:uid="{00000000-0005-0000-0000-0000780E0000}"/>
    <cellStyle name="Heading 1 28" xfId="3660" xr:uid="{00000000-0005-0000-0000-0000790E0000}"/>
    <cellStyle name="Heading 1 29" xfId="3661" xr:uid="{00000000-0005-0000-0000-00007A0E0000}"/>
    <cellStyle name="Heading 1 3" xfId="3662" xr:uid="{00000000-0005-0000-0000-00007B0E0000}"/>
    <cellStyle name="Heading 1 3 2" xfId="3663" xr:uid="{00000000-0005-0000-0000-00007C0E0000}"/>
    <cellStyle name="Heading 1 3 3" xfId="3664" xr:uid="{00000000-0005-0000-0000-00007D0E0000}"/>
    <cellStyle name="Heading 1 3 4" xfId="3665" xr:uid="{00000000-0005-0000-0000-00007E0E0000}"/>
    <cellStyle name="Heading 1 3 5" xfId="3666" xr:uid="{00000000-0005-0000-0000-00007F0E0000}"/>
    <cellStyle name="Heading 1 30" xfId="3667" xr:uid="{00000000-0005-0000-0000-0000800E0000}"/>
    <cellStyle name="Heading 1 31" xfId="3668" xr:uid="{00000000-0005-0000-0000-0000810E0000}"/>
    <cellStyle name="Heading 1 32" xfId="3669" xr:uid="{00000000-0005-0000-0000-0000820E0000}"/>
    <cellStyle name="Heading 1 33" xfId="3670" xr:uid="{00000000-0005-0000-0000-0000830E0000}"/>
    <cellStyle name="Heading 1 34" xfId="3671" xr:uid="{00000000-0005-0000-0000-0000840E0000}"/>
    <cellStyle name="Heading 1 35" xfId="3672" xr:uid="{00000000-0005-0000-0000-0000850E0000}"/>
    <cellStyle name="Heading 1 36" xfId="3673" xr:uid="{00000000-0005-0000-0000-0000860E0000}"/>
    <cellStyle name="Heading 1 37" xfId="3674" xr:uid="{00000000-0005-0000-0000-0000870E0000}"/>
    <cellStyle name="Heading 1 38" xfId="3675" xr:uid="{00000000-0005-0000-0000-0000880E0000}"/>
    <cellStyle name="Heading 1 39" xfId="3676" xr:uid="{00000000-0005-0000-0000-0000890E0000}"/>
    <cellStyle name="Heading 1 4" xfId="3677" xr:uid="{00000000-0005-0000-0000-00008A0E0000}"/>
    <cellStyle name="Heading 1 40" xfId="3678" xr:uid="{00000000-0005-0000-0000-00008B0E0000}"/>
    <cellStyle name="Heading 1 41" xfId="3679" xr:uid="{00000000-0005-0000-0000-00008C0E0000}"/>
    <cellStyle name="Heading 1 5" xfId="3680" xr:uid="{00000000-0005-0000-0000-00008D0E0000}"/>
    <cellStyle name="Heading 1 6" xfId="3681" xr:uid="{00000000-0005-0000-0000-00008E0E0000}"/>
    <cellStyle name="Heading 1 7" xfId="3682" xr:uid="{00000000-0005-0000-0000-00008F0E0000}"/>
    <cellStyle name="Heading 1 8" xfId="3683" xr:uid="{00000000-0005-0000-0000-0000900E0000}"/>
    <cellStyle name="Heading 1 9" xfId="3684" xr:uid="{00000000-0005-0000-0000-0000910E0000}"/>
    <cellStyle name="Heading 2 10" xfId="3685" xr:uid="{00000000-0005-0000-0000-0000920E0000}"/>
    <cellStyle name="Heading 2 11" xfId="3686" xr:uid="{00000000-0005-0000-0000-0000930E0000}"/>
    <cellStyle name="Heading 2 12" xfId="3687" xr:uid="{00000000-0005-0000-0000-0000940E0000}"/>
    <cellStyle name="Heading 2 13" xfId="3688" xr:uid="{00000000-0005-0000-0000-0000950E0000}"/>
    <cellStyle name="Heading 2 14" xfId="3689" xr:uid="{00000000-0005-0000-0000-0000960E0000}"/>
    <cellStyle name="Heading 2 15" xfId="3690" xr:uid="{00000000-0005-0000-0000-0000970E0000}"/>
    <cellStyle name="Heading 2 16" xfId="3691" xr:uid="{00000000-0005-0000-0000-0000980E0000}"/>
    <cellStyle name="Heading 2 17" xfId="3692" xr:uid="{00000000-0005-0000-0000-0000990E0000}"/>
    <cellStyle name="Heading 2 18" xfId="3693" xr:uid="{00000000-0005-0000-0000-00009A0E0000}"/>
    <cellStyle name="Heading 2 19" xfId="3694" xr:uid="{00000000-0005-0000-0000-00009B0E0000}"/>
    <cellStyle name="Heading 2 2" xfId="3695" xr:uid="{00000000-0005-0000-0000-00009C0E0000}"/>
    <cellStyle name="Heading 2 2 10" xfId="3696" xr:uid="{00000000-0005-0000-0000-00009D0E0000}"/>
    <cellStyle name="Heading 2 2 2" xfId="3697" xr:uid="{00000000-0005-0000-0000-00009E0E0000}"/>
    <cellStyle name="Heading 2 2 3" xfId="3698" xr:uid="{00000000-0005-0000-0000-00009F0E0000}"/>
    <cellStyle name="Heading 2 2 4" xfId="3699" xr:uid="{00000000-0005-0000-0000-0000A00E0000}"/>
    <cellStyle name="Heading 2 2 5" xfId="3700" xr:uid="{00000000-0005-0000-0000-0000A10E0000}"/>
    <cellStyle name="Heading 2 2 6" xfId="3701" xr:uid="{00000000-0005-0000-0000-0000A20E0000}"/>
    <cellStyle name="Heading 2 2 7" xfId="3702" xr:uid="{00000000-0005-0000-0000-0000A30E0000}"/>
    <cellStyle name="Heading 2 2 8" xfId="3703" xr:uid="{00000000-0005-0000-0000-0000A40E0000}"/>
    <cellStyle name="Heading 2 2 9" xfId="3704" xr:uid="{00000000-0005-0000-0000-0000A50E0000}"/>
    <cellStyle name="Heading 2 20" xfId="3705" xr:uid="{00000000-0005-0000-0000-0000A60E0000}"/>
    <cellStyle name="Heading 2 21" xfId="3706" xr:uid="{00000000-0005-0000-0000-0000A70E0000}"/>
    <cellStyle name="Heading 2 22" xfId="3707" xr:uid="{00000000-0005-0000-0000-0000A80E0000}"/>
    <cellStyle name="Heading 2 23" xfId="3708" xr:uid="{00000000-0005-0000-0000-0000A90E0000}"/>
    <cellStyle name="Heading 2 24" xfId="3709" xr:uid="{00000000-0005-0000-0000-0000AA0E0000}"/>
    <cellStyle name="Heading 2 25" xfId="3710" xr:uid="{00000000-0005-0000-0000-0000AB0E0000}"/>
    <cellStyle name="Heading 2 26" xfId="3711" xr:uid="{00000000-0005-0000-0000-0000AC0E0000}"/>
    <cellStyle name="Heading 2 27" xfId="3712" xr:uid="{00000000-0005-0000-0000-0000AD0E0000}"/>
    <cellStyle name="Heading 2 28" xfId="3713" xr:uid="{00000000-0005-0000-0000-0000AE0E0000}"/>
    <cellStyle name="Heading 2 29" xfId="3714" xr:uid="{00000000-0005-0000-0000-0000AF0E0000}"/>
    <cellStyle name="Heading 2 3" xfId="3715" xr:uid="{00000000-0005-0000-0000-0000B00E0000}"/>
    <cellStyle name="Heading 2 3 2" xfId="3716" xr:uid="{00000000-0005-0000-0000-0000B10E0000}"/>
    <cellStyle name="Heading 2 3 3" xfId="3717" xr:uid="{00000000-0005-0000-0000-0000B20E0000}"/>
    <cellStyle name="Heading 2 3 4" xfId="3718" xr:uid="{00000000-0005-0000-0000-0000B30E0000}"/>
    <cellStyle name="Heading 2 3 5" xfId="3719" xr:uid="{00000000-0005-0000-0000-0000B40E0000}"/>
    <cellStyle name="Heading 2 30" xfId="3720" xr:uid="{00000000-0005-0000-0000-0000B50E0000}"/>
    <cellStyle name="Heading 2 31" xfId="3721" xr:uid="{00000000-0005-0000-0000-0000B60E0000}"/>
    <cellStyle name="Heading 2 32" xfId="3722" xr:uid="{00000000-0005-0000-0000-0000B70E0000}"/>
    <cellStyle name="Heading 2 33" xfId="3723" xr:uid="{00000000-0005-0000-0000-0000B80E0000}"/>
    <cellStyle name="Heading 2 34" xfId="3724" xr:uid="{00000000-0005-0000-0000-0000B90E0000}"/>
    <cellStyle name="Heading 2 35" xfId="3725" xr:uid="{00000000-0005-0000-0000-0000BA0E0000}"/>
    <cellStyle name="Heading 2 36" xfId="3726" xr:uid="{00000000-0005-0000-0000-0000BB0E0000}"/>
    <cellStyle name="Heading 2 37" xfId="3727" xr:uid="{00000000-0005-0000-0000-0000BC0E0000}"/>
    <cellStyle name="Heading 2 38" xfId="3728" xr:uid="{00000000-0005-0000-0000-0000BD0E0000}"/>
    <cellStyle name="Heading 2 39" xfId="3729" xr:uid="{00000000-0005-0000-0000-0000BE0E0000}"/>
    <cellStyle name="Heading 2 4" xfId="3730" xr:uid="{00000000-0005-0000-0000-0000BF0E0000}"/>
    <cellStyle name="Heading 2 40" xfId="3731" xr:uid="{00000000-0005-0000-0000-0000C00E0000}"/>
    <cellStyle name="Heading 2 41" xfId="3732" xr:uid="{00000000-0005-0000-0000-0000C10E0000}"/>
    <cellStyle name="Heading 2 5" xfId="3733" xr:uid="{00000000-0005-0000-0000-0000C20E0000}"/>
    <cellStyle name="Heading 2 6" xfId="3734" xr:uid="{00000000-0005-0000-0000-0000C30E0000}"/>
    <cellStyle name="Heading 2 7" xfId="3735" xr:uid="{00000000-0005-0000-0000-0000C40E0000}"/>
    <cellStyle name="Heading 2 8" xfId="3736" xr:uid="{00000000-0005-0000-0000-0000C50E0000}"/>
    <cellStyle name="Heading 2 9" xfId="3737" xr:uid="{00000000-0005-0000-0000-0000C60E0000}"/>
    <cellStyle name="Heading 3 10" xfId="3738" xr:uid="{00000000-0005-0000-0000-0000C70E0000}"/>
    <cellStyle name="Heading 3 11" xfId="3739" xr:uid="{00000000-0005-0000-0000-0000C80E0000}"/>
    <cellStyle name="Heading 3 12" xfId="3740" xr:uid="{00000000-0005-0000-0000-0000C90E0000}"/>
    <cellStyle name="Heading 3 13" xfId="3741" xr:uid="{00000000-0005-0000-0000-0000CA0E0000}"/>
    <cellStyle name="Heading 3 14" xfId="3742" xr:uid="{00000000-0005-0000-0000-0000CB0E0000}"/>
    <cellStyle name="Heading 3 15" xfId="3743" xr:uid="{00000000-0005-0000-0000-0000CC0E0000}"/>
    <cellStyle name="Heading 3 16" xfId="3744" xr:uid="{00000000-0005-0000-0000-0000CD0E0000}"/>
    <cellStyle name="Heading 3 17" xfId="3745" xr:uid="{00000000-0005-0000-0000-0000CE0E0000}"/>
    <cellStyle name="Heading 3 18" xfId="3746" xr:uid="{00000000-0005-0000-0000-0000CF0E0000}"/>
    <cellStyle name="Heading 3 19" xfId="3747" xr:uid="{00000000-0005-0000-0000-0000D00E0000}"/>
    <cellStyle name="Heading 3 2" xfId="3748" xr:uid="{00000000-0005-0000-0000-0000D10E0000}"/>
    <cellStyle name="Heading 3 2 10" xfId="3749" xr:uid="{00000000-0005-0000-0000-0000D20E0000}"/>
    <cellStyle name="Heading 3 2 2" xfId="3750" xr:uid="{00000000-0005-0000-0000-0000D30E0000}"/>
    <cellStyle name="Heading 3 2 3" xfId="3751" xr:uid="{00000000-0005-0000-0000-0000D40E0000}"/>
    <cellStyle name="Heading 3 2 4" xfId="3752" xr:uid="{00000000-0005-0000-0000-0000D50E0000}"/>
    <cellStyle name="Heading 3 2 5" xfId="3753" xr:uid="{00000000-0005-0000-0000-0000D60E0000}"/>
    <cellStyle name="Heading 3 2 6" xfId="3754" xr:uid="{00000000-0005-0000-0000-0000D70E0000}"/>
    <cellStyle name="Heading 3 2 7" xfId="3755" xr:uid="{00000000-0005-0000-0000-0000D80E0000}"/>
    <cellStyle name="Heading 3 2 8" xfId="3756" xr:uid="{00000000-0005-0000-0000-0000D90E0000}"/>
    <cellStyle name="Heading 3 2 9" xfId="3757" xr:uid="{00000000-0005-0000-0000-0000DA0E0000}"/>
    <cellStyle name="Heading 3 20" xfId="3758" xr:uid="{00000000-0005-0000-0000-0000DB0E0000}"/>
    <cellStyle name="Heading 3 21" xfId="3759" xr:uid="{00000000-0005-0000-0000-0000DC0E0000}"/>
    <cellStyle name="Heading 3 22" xfId="3760" xr:uid="{00000000-0005-0000-0000-0000DD0E0000}"/>
    <cellStyle name="Heading 3 23" xfId="3761" xr:uid="{00000000-0005-0000-0000-0000DE0E0000}"/>
    <cellStyle name="Heading 3 24" xfId="3762" xr:uid="{00000000-0005-0000-0000-0000DF0E0000}"/>
    <cellStyle name="Heading 3 25" xfId="3763" xr:uid="{00000000-0005-0000-0000-0000E00E0000}"/>
    <cellStyle name="Heading 3 26" xfId="3764" xr:uid="{00000000-0005-0000-0000-0000E10E0000}"/>
    <cellStyle name="Heading 3 27" xfId="3765" xr:uid="{00000000-0005-0000-0000-0000E20E0000}"/>
    <cellStyle name="Heading 3 28" xfId="3766" xr:uid="{00000000-0005-0000-0000-0000E30E0000}"/>
    <cellStyle name="Heading 3 29" xfId="3767" xr:uid="{00000000-0005-0000-0000-0000E40E0000}"/>
    <cellStyle name="Heading 3 3" xfId="3768" xr:uid="{00000000-0005-0000-0000-0000E50E0000}"/>
    <cellStyle name="Heading 3 3 2" xfId="3769" xr:uid="{00000000-0005-0000-0000-0000E60E0000}"/>
    <cellStyle name="Heading 3 3 3" xfId="3770" xr:uid="{00000000-0005-0000-0000-0000E70E0000}"/>
    <cellStyle name="Heading 3 3 4" xfId="3771" xr:uid="{00000000-0005-0000-0000-0000E80E0000}"/>
    <cellStyle name="Heading 3 3 5" xfId="3772" xr:uid="{00000000-0005-0000-0000-0000E90E0000}"/>
    <cellStyle name="Heading 3 30" xfId="3773" xr:uid="{00000000-0005-0000-0000-0000EA0E0000}"/>
    <cellStyle name="Heading 3 31" xfId="3774" xr:uid="{00000000-0005-0000-0000-0000EB0E0000}"/>
    <cellStyle name="Heading 3 32" xfId="3775" xr:uid="{00000000-0005-0000-0000-0000EC0E0000}"/>
    <cellStyle name="Heading 3 33" xfId="3776" xr:uid="{00000000-0005-0000-0000-0000ED0E0000}"/>
    <cellStyle name="Heading 3 34" xfId="3777" xr:uid="{00000000-0005-0000-0000-0000EE0E0000}"/>
    <cellStyle name="Heading 3 35" xfId="3778" xr:uid="{00000000-0005-0000-0000-0000EF0E0000}"/>
    <cellStyle name="Heading 3 36" xfId="3779" xr:uid="{00000000-0005-0000-0000-0000F00E0000}"/>
    <cellStyle name="Heading 3 37" xfId="3780" xr:uid="{00000000-0005-0000-0000-0000F10E0000}"/>
    <cellStyle name="Heading 3 38" xfId="3781" xr:uid="{00000000-0005-0000-0000-0000F20E0000}"/>
    <cellStyle name="Heading 3 39" xfId="3782" xr:uid="{00000000-0005-0000-0000-0000F30E0000}"/>
    <cellStyle name="Heading 3 4" xfId="3783" xr:uid="{00000000-0005-0000-0000-0000F40E0000}"/>
    <cellStyle name="Heading 3 40" xfId="3784" xr:uid="{00000000-0005-0000-0000-0000F50E0000}"/>
    <cellStyle name="Heading 3 41" xfId="3785" xr:uid="{00000000-0005-0000-0000-0000F60E0000}"/>
    <cellStyle name="Heading 3 5" xfId="3786" xr:uid="{00000000-0005-0000-0000-0000F70E0000}"/>
    <cellStyle name="Heading 3 6" xfId="3787" xr:uid="{00000000-0005-0000-0000-0000F80E0000}"/>
    <cellStyle name="Heading 3 7" xfId="3788" xr:uid="{00000000-0005-0000-0000-0000F90E0000}"/>
    <cellStyle name="Heading 3 8" xfId="3789" xr:uid="{00000000-0005-0000-0000-0000FA0E0000}"/>
    <cellStyle name="Heading 3 9" xfId="3790" xr:uid="{00000000-0005-0000-0000-0000FB0E0000}"/>
    <cellStyle name="Heading 4 10" xfId="3791" xr:uid="{00000000-0005-0000-0000-0000FC0E0000}"/>
    <cellStyle name="Heading 4 11" xfId="3792" xr:uid="{00000000-0005-0000-0000-0000FD0E0000}"/>
    <cellStyle name="Heading 4 12" xfId="3793" xr:uid="{00000000-0005-0000-0000-0000FE0E0000}"/>
    <cellStyle name="Heading 4 13" xfId="3794" xr:uid="{00000000-0005-0000-0000-0000FF0E0000}"/>
    <cellStyle name="Heading 4 14" xfId="3795" xr:uid="{00000000-0005-0000-0000-0000000F0000}"/>
    <cellStyle name="Heading 4 15" xfId="3796" xr:uid="{00000000-0005-0000-0000-0000010F0000}"/>
    <cellStyle name="Heading 4 16" xfId="3797" xr:uid="{00000000-0005-0000-0000-0000020F0000}"/>
    <cellStyle name="Heading 4 17" xfId="3798" xr:uid="{00000000-0005-0000-0000-0000030F0000}"/>
    <cellStyle name="Heading 4 18" xfId="3799" xr:uid="{00000000-0005-0000-0000-0000040F0000}"/>
    <cellStyle name="Heading 4 19" xfId="3800" xr:uid="{00000000-0005-0000-0000-0000050F0000}"/>
    <cellStyle name="Heading 4 2" xfId="3801" xr:uid="{00000000-0005-0000-0000-0000060F0000}"/>
    <cellStyle name="Heading 4 2 10" xfId="3802" xr:uid="{00000000-0005-0000-0000-0000070F0000}"/>
    <cellStyle name="Heading 4 2 2" xfId="3803" xr:uid="{00000000-0005-0000-0000-0000080F0000}"/>
    <cellStyle name="Heading 4 2 3" xfId="3804" xr:uid="{00000000-0005-0000-0000-0000090F0000}"/>
    <cellStyle name="Heading 4 2 4" xfId="3805" xr:uid="{00000000-0005-0000-0000-00000A0F0000}"/>
    <cellStyle name="Heading 4 2 5" xfId="3806" xr:uid="{00000000-0005-0000-0000-00000B0F0000}"/>
    <cellStyle name="Heading 4 2 6" xfId="3807" xr:uid="{00000000-0005-0000-0000-00000C0F0000}"/>
    <cellStyle name="Heading 4 2 7" xfId="3808" xr:uid="{00000000-0005-0000-0000-00000D0F0000}"/>
    <cellStyle name="Heading 4 2 8" xfId="3809" xr:uid="{00000000-0005-0000-0000-00000E0F0000}"/>
    <cellStyle name="Heading 4 2 9" xfId="3810" xr:uid="{00000000-0005-0000-0000-00000F0F0000}"/>
    <cellStyle name="Heading 4 20" xfId="3811" xr:uid="{00000000-0005-0000-0000-0000100F0000}"/>
    <cellStyle name="Heading 4 21" xfId="3812" xr:uid="{00000000-0005-0000-0000-0000110F0000}"/>
    <cellStyle name="Heading 4 22" xfId="3813" xr:uid="{00000000-0005-0000-0000-0000120F0000}"/>
    <cellStyle name="Heading 4 23" xfId="3814" xr:uid="{00000000-0005-0000-0000-0000130F0000}"/>
    <cellStyle name="Heading 4 24" xfId="3815" xr:uid="{00000000-0005-0000-0000-0000140F0000}"/>
    <cellStyle name="Heading 4 25" xfId="3816" xr:uid="{00000000-0005-0000-0000-0000150F0000}"/>
    <cellStyle name="Heading 4 26" xfId="3817" xr:uid="{00000000-0005-0000-0000-0000160F0000}"/>
    <cellStyle name="Heading 4 27" xfId="3818" xr:uid="{00000000-0005-0000-0000-0000170F0000}"/>
    <cellStyle name="Heading 4 28" xfId="3819" xr:uid="{00000000-0005-0000-0000-0000180F0000}"/>
    <cellStyle name="Heading 4 29" xfId="3820" xr:uid="{00000000-0005-0000-0000-0000190F0000}"/>
    <cellStyle name="Heading 4 3" xfId="3821" xr:uid="{00000000-0005-0000-0000-00001A0F0000}"/>
    <cellStyle name="Heading 4 3 2" xfId="3822" xr:uid="{00000000-0005-0000-0000-00001B0F0000}"/>
    <cellStyle name="Heading 4 3 3" xfId="3823" xr:uid="{00000000-0005-0000-0000-00001C0F0000}"/>
    <cellStyle name="Heading 4 3 4" xfId="3824" xr:uid="{00000000-0005-0000-0000-00001D0F0000}"/>
    <cellStyle name="Heading 4 3 5" xfId="3825" xr:uid="{00000000-0005-0000-0000-00001E0F0000}"/>
    <cellStyle name="Heading 4 30" xfId="3826" xr:uid="{00000000-0005-0000-0000-00001F0F0000}"/>
    <cellStyle name="Heading 4 31" xfId="3827" xr:uid="{00000000-0005-0000-0000-0000200F0000}"/>
    <cellStyle name="Heading 4 32" xfId="3828" xr:uid="{00000000-0005-0000-0000-0000210F0000}"/>
    <cellStyle name="Heading 4 33" xfId="3829" xr:uid="{00000000-0005-0000-0000-0000220F0000}"/>
    <cellStyle name="Heading 4 34" xfId="3830" xr:uid="{00000000-0005-0000-0000-0000230F0000}"/>
    <cellStyle name="Heading 4 35" xfId="3831" xr:uid="{00000000-0005-0000-0000-0000240F0000}"/>
    <cellStyle name="Heading 4 36" xfId="3832" xr:uid="{00000000-0005-0000-0000-0000250F0000}"/>
    <cellStyle name="Heading 4 37" xfId="3833" xr:uid="{00000000-0005-0000-0000-0000260F0000}"/>
    <cellStyle name="Heading 4 38" xfId="3834" xr:uid="{00000000-0005-0000-0000-0000270F0000}"/>
    <cellStyle name="Heading 4 39" xfId="3835" xr:uid="{00000000-0005-0000-0000-0000280F0000}"/>
    <cellStyle name="Heading 4 4" xfId="3836" xr:uid="{00000000-0005-0000-0000-0000290F0000}"/>
    <cellStyle name="Heading 4 40" xfId="3837" xr:uid="{00000000-0005-0000-0000-00002A0F0000}"/>
    <cellStyle name="Heading 4 41" xfId="3838" xr:uid="{00000000-0005-0000-0000-00002B0F0000}"/>
    <cellStyle name="Heading 4 5" xfId="3839" xr:uid="{00000000-0005-0000-0000-00002C0F0000}"/>
    <cellStyle name="Heading 4 6" xfId="3840" xr:uid="{00000000-0005-0000-0000-00002D0F0000}"/>
    <cellStyle name="Heading 4 7" xfId="3841" xr:uid="{00000000-0005-0000-0000-00002E0F0000}"/>
    <cellStyle name="Heading 4 8" xfId="3842" xr:uid="{00000000-0005-0000-0000-00002F0F0000}"/>
    <cellStyle name="Heading 4 9" xfId="3843" xr:uid="{00000000-0005-0000-0000-0000300F0000}"/>
    <cellStyle name="Headline" xfId="3844" xr:uid="{00000000-0005-0000-0000-0000310F0000}"/>
    <cellStyle name="Hivatkozott cella" xfId="3845" xr:uid="{00000000-0005-0000-0000-0000320F0000}"/>
    <cellStyle name="Hyperlink" xfId="1" builtinId="8"/>
    <cellStyle name="Hyperlink 2" xfId="3846" xr:uid="{00000000-0005-0000-0000-0000330F0000}"/>
    <cellStyle name="Hyperlink 2 2" xfId="3847" xr:uid="{00000000-0005-0000-0000-0000340F0000}"/>
    <cellStyle name="Hyperlink 3" xfId="3848" xr:uid="{00000000-0005-0000-0000-0000350F0000}"/>
    <cellStyle name="Input 10 2" xfId="3849" xr:uid="{00000000-0005-0000-0000-0000360F0000}"/>
    <cellStyle name="Input 11 2" xfId="3850" xr:uid="{00000000-0005-0000-0000-0000370F0000}"/>
    <cellStyle name="Input 12 2" xfId="3851" xr:uid="{00000000-0005-0000-0000-0000380F0000}"/>
    <cellStyle name="Input 13 2" xfId="3852" xr:uid="{00000000-0005-0000-0000-0000390F0000}"/>
    <cellStyle name="Input 14 2" xfId="3853" xr:uid="{00000000-0005-0000-0000-00003A0F0000}"/>
    <cellStyle name="Input 15 2" xfId="3854" xr:uid="{00000000-0005-0000-0000-00003B0F0000}"/>
    <cellStyle name="Input 16 2" xfId="3855" xr:uid="{00000000-0005-0000-0000-00003C0F0000}"/>
    <cellStyle name="Input 17 2" xfId="3856" xr:uid="{00000000-0005-0000-0000-00003D0F0000}"/>
    <cellStyle name="Input 18 2" xfId="3857" xr:uid="{00000000-0005-0000-0000-00003E0F0000}"/>
    <cellStyle name="Input 19 2" xfId="3858" xr:uid="{00000000-0005-0000-0000-00003F0F0000}"/>
    <cellStyle name="Input 2" xfId="3859" xr:uid="{00000000-0005-0000-0000-0000400F0000}"/>
    <cellStyle name="Input 2 10" xfId="3860" xr:uid="{00000000-0005-0000-0000-0000410F0000}"/>
    <cellStyle name="Input 2 2" xfId="3861" xr:uid="{00000000-0005-0000-0000-0000420F0000}"/>
    <cellStyle name="Input 2 2 2" xfId="3862" xr:uid="{00000000-0005-0000-0000-0000430F0000}"/>
    <cellStyle name="Input 2 2 3" xfId="3863" xr:uid="{00000000-0005-0000-0000-0000440F0000}"/>
    <cellStyle name="Input 2 3" xfId="3864" xr:uid="{00000000-0005-0000-0000-0000450F0000}"/>
    <cellStyle name="Input 2 3 2" xfId="3865" xr:uid="{00000000-0005-0000-0000-0000460F0000}"/>
    <cellStyle name="Input 2 3 3" xfId="3866" xr:uid="{00000000-0005-0000-0000-0000470F0000}"/>
    <cellStyle name="Input 2 4" xfId="3867" xr:uid="{00000000-0005-0000-0000-0000480F0000}"/>
    <cellStyle name="Input 2 5" xfId="3868" xr:uid="{00000000-0005-0000-0000-0000490F0000}"/>
    <cellStyle name="Input 2 6" xfId="3869" xr:uid="{00000000-0005-0000-0000-00004A0F0000}"/>
    <cellStyle name="Input 2 7" xfId="3870" xr:uid="{00000000-0005-0000-0000-00004B0F0000}"/>
    <cellStyle name="Input 2 8" xfId="3871" xr:uid="{00000000-0005-0000-0000-00004C0F0000}"/>
    <cellStyle name="Input 2 9" xfId="3872" xr:uid="{00000000-0005-0000-0000-00004D0F0000}"/>
    <cellStyle name="Input 2_PrimaryEnergyPrices_TIMES" xfId="3873" xr:uid="{00000000-0005-0000-0000-00004E0F0000}"/>
    <cellStyle name="Input 20 2" xfId="3874" xr:uid="{00000000-0005-0000-0000-00004F0F0000}"/>
    <cellStyle name="Input 21 2" xfId="3875" xr:uid="{00000000-0005-0000-0000-0000500F0000}"/>
    <cellStyle name="Input 22 2" xfId="3876" xr:uid="{00000000-0005-0000-0000-0000510F0000}"/>
    <cellStyle name="Input 23 2" xfId="3877" xr:uid="{00000000-0005-0000-0000-0000520F0000}"/>
    <cellStyle name="Input 24 2" xfId="3878" xr:uid="{00000000-0005-0000-0000-0000530F0000}"/>
    <cellStyle name="Input 25 2" xfId="3879" xr:uid="{00000000-0005-0000-0000-0000540F0000}"/>
    <cellStyle name="Input 26 2" xfId="3880" xr:uid="{00000000-0005-0000-0000-0000550F0000}"/>
    <cellStyle name="Input 27 2" xfId="3881" xr:uid="{00000000-0005-0000-0000-0000560F0000}"/>
    <cellStyle name="Input 28 2" xfId="3882" xr:uid="{00000000-0005-0000-0000-0000570F0000}"/>
    <cellStyle name="Input 29 2" xfId="3883" xr:uid="{00000000-0005-0000-0000-0000580F0000}"/>
    <cellStyle name="Input 3" xfId="3884" xr:uid="{00000000-0005-0000-0000-0000590F0000}"/>
    <cellStyle name="Input 3 2" xfId="3885" xr:uid="{00000000-0005-0000-0000-00005A0F0000}"/>
    <cellStyle name="Input 3 3" xfId="3886" xr:uid="{00000000-0005-0000-0000-00005B0F0000}"/>
    <cellStyle name="Input 3 3 2" xfId="3887" xr:uid="{00000000-0005-0000-0000-00005C0F0000}"/>
    <cellStyle name="Input 3 3 3" xfId="3888" xr:uid="{00000000-0005-0000-0000-00005D0F0000}"/>
    <cellStyle name="Input 3 4" xfId="3889" xr:uid="{00000000-0005-0000-0000-00005E0F0000}"/>
    <cellStyle name="Input 3 5" xfId="3890" xr:uid="{00000000-0005-0000-0000-00005F0F0000}"/>
    <cellStyle name="Input 3 6" xfId="3891" xr:uid="{00000000-0005-0000-0000-0000600F0000}"/>
    <cellStyle name="Input 30 2" xfId="3892" xr:uid="{00000000-0005-0000-0000-0000610F0000}"/>
    <cellStyle name="Input 31 2" xfId="3893" xr:uid="{00000000-0005-0000-0000-0000620F0000}"/>
    <cellStyle name="Input 32 2" xfId="3894" xr:uid="{00000000-0005-0000-0000-0000630F0000}"/>
    <cellStyle name="Input 33 2" xfId="3895" xr:uid="{00000000-0005-0000-0000-0000640F0000}"/>
    <cellStyle name="Input 34" xfId="3896" xr:uid="{00000000-0005-0000-0000-0000650F0000}"/>
    <cellStyle name="Input 34 2" xfId="3897" xr:uid="{00000000-0005-0000-0000-0000660F0000}"/>
    <cellStyle name="Input 34_ELC_final" xfId="3898" xr:uid="{00000000-0005-0000-0000-0000670F0000}"/>
    <cellStyle name="Input 35" xfId="3899" xr:uid="{00000000-0005-0000-0000-0000680F0000}"/>
    <cellStyle name="Input 36" xfId="3900" xr:uid="{00000000-0005-0000-0000-0000690F0000}"/>
    <cellStyle name="Input 37" xfId="3901" xr:uid="{00000000-0005-0000-0000-00006A0F0000}"/>
    <cellStyle name="Input 38" xfId="3902" xr:uid="{00000000-0005-0000-0000-00006B0F0000}"/>
    <cellStyle name="Input 39" xfId="3903" xr:uid="{00000000-0005-0000-0000-00006C0F0000}"/>
    <cellStyle name="Input 4" xfId="3904" xr:uid="{00000000-0005-0000-0000-00006D0F0000}"/>
    <cellStyle name="Input 4 2" xfId="3905" xr:uid="{00000000-0005-0000-0000-00006E0F0000}"/>
    <cellStyle name="Input 40" xfId="3906" xr:uid="{00000000-0005-0000-0000-00006F0F0000}"/>
    <cellStyle name="Input 5" xfId="3907" xr:uid="{00000000-0005-0000-0000-0000700F0000}"/>
    <cellStyle name="Input 5 2" xfId="3908" xr:uid="{00000000-0005-0000-0000-0000710F0000}"/>
    <cellStyle name="Input 6 2" xfId="3909" xr:uid="{00000000-0005-0000-0000-0000720F0000}"/>
    <cellStyle name="Input 7 2" xfId="3910" xr:uid="{00000000-0005-0000-0000-0000730F0000}"/>
    <cellStyle name="Input 8 2" xfId="3911" xr:uid="{00000000-0005-0000-0000-0000740F0000}"/>
    <cellStyle name="Input 9 2" xfId="3912" xr:uid="{00000000-0005-0000-0000-0000750F0000}"/>
    <cellStyle name="InputCells" xfId="3913" xr:uid="{00000000-0005-0000-0000-0000760F0000}"/>
    <cellStyle name="InputCells12" xfId="3914" xr:uid="{00000000-0005-0000-0000-0000770F0000}"/>
    <cellStyle name="IntCells" xfId="3915" xr:uid="{00000000-0005-0000-0000-0000780F0000}"/>
    <cellStyle name="Jegyzet" xfId="3916" xr:uid="{00000000-0005-0000-0000-0000790F0000}"/>
    <cellStyle name="Jelölőszín (1)" xfId="3917" xr:uid="{00000000-0005-0000-0000-00007A0F0000}"/>
    <cellStyle name="Jelölőszín (2)" xfId="3918" xr:uid="{00000000-0005-0000-0000-00007B0F0000}"/>
    <cellStyle name="Jelölőszín (3)" xfId="3919" xr:uid="{00000000-0005-0000-0000-00007C0F0000}"/>
    <cellStyle name="Jelölőszín (4)" xfId="3920" xr:uid="{00000000-0005-0000-0000-00007D0F0000}"/>
    <cellStyle name="Jelölőszín (5)" xfId="3921" xr:uid="{00000000-0005-0000-0000-00007E0F0000}"/>
    <cellStyle name="Jelölőszín (6)" xfId="3922" xr:uid="{00000000-0005-0000-0000-00007F0F0000}"/>
    <cellStyle name="Jó" xfId="3923" xr:uid="{00000000-0005-0000-0000-0000800F0000}"/>
    <cellStyle name="Kimenet" xfId="3924" xr:uid="{00000000-0005-0000-0000-0000810F0000}"/>
    <cellStyle name="ligne_titre_0" xfId="3925" xr:uid="{00000000-0005-0000-0000-0000820F0000}"/>
    <cellStyle name="Linked Cell 10" xfId="3926" xr:uid="{00000000-0005-0000-0000-0000830F0000}"/>
    <cellStyle name="Linked Cell 11" xfId="3927" xr:uid="{00000000-0005-0000-0000-0000840F0000}"/>
    <cellStyle name="Linked Cell 12" xfId="3928" xr:uid="{00000000-0005-0000-0000-0000850F0000}"/>
    <cellStyle name="Linked Cell 13" xfId="3929" xr:uid="{00000000-0005-0000-0000-0000860F0000}"/>
    <cellStyle name="Linked Cell 14" xfId="3930" xr:uid="{00000000-0005-0000-0000-0000870F0000}"/>
    <cellStyle name="Linked Cell 15" xfId="3931" xr:uid="{00000000-0005-0000-0000-0000880F0000}"/>
    <cellStyle name="Linked Cell 16" xfId="3932" xr:uid="{00000000-0005-0000-0000-0000890F0000}"/>
    <cellStyle name="Linked Cell 17" xfId="3933" xr:uid="{00000000-0005-0000-0000-00008A0F0000}"/>
    <cellStyle name="Linked Cell 18" xfId="3934" xr:uid="{00000000-0005-0000-0000-00008B0F0000}"/>
    <cellStyle name="Linked Cell 19" xfId="3935" xr:uid="{00000000-0005-0000-0000-00008C0F0000}"/>
    <cellStyle name="Linked Cell 2" xfId="3936" xr:uid="{00000000-0005-0000-0000-00008D0F0000}"/>
    <cellStyle name="Linked Cell 2 10" xfId="3937" xr:uid="{00000000-0005-0000-0000-00008E0F0000}"/>
    <cellStyle name="Linked Cell 2 2" xfId="3938" xr:uid="{00000000-0005-0000-0000-00008F0F0000}"/>
    <cellStyle name="Linked Cell 2 3" xfId="3939" xr:uid="{00000000-0005-0000-0000-0000900F0000}"/>
    <cellStyle name="Linked Cell 2 4" xfId="3940" xr:uid="{00000000-0005-0000-0000-0000910F0000}"/>
    <cellStyle name="Linked Cell 2 5" xfId="3941" xr:uid="{00000000-0005-0000-0000-0000920F0000}"/>
    <cellStyle name="Linked Cell 2 6" xfId="3942" xr:uid="{00000000-0005-0000-0000-0000930F0000}"/>
    <cellStyle name="Linked Cell 2 7" xfId="3943" xr:uid="{00000000-0005-0000-0000-0000940F0000}"/>
    <cellStyle name="Linked Cell 2 8" xfId="3944" xr:uid="{00000000-0005-0000-0000-0000950F0000}"/>
    <cellStyle name="Linked Cell 2 9" xfId="3945" xr:uid="{00000000-0005-0000-0000-0000960F0000}"/>
    <cellStyle name="Linked Cell 20" xfId="3946" xr:uid="{00000000-0005-0000-0000-0000970F0000}"/>
    <cellStyle name="Linked Cell 21" xfId="3947" xr:uid="{00000000-0005-0000-0000-0000980F0000}"/>
    <cellStyle name="Linked Cell 22" xfId="3948" xr:uid="{00000000-0005-0000-0000-0000990F0000}"/>
    <cellStyle name="Linked Cell 23" xfId="3949" xr:uid="{00000000-0005-0000-0000-00009A0F0000}"/>
    <cellStyle name="Linked Cell 24" xfId="3950" xr:uid="{00000000-0005-0000-0000-00009B0F0000}"/>
    <cellStyle name="Linked Cell 25" xfId="3951" xr:uid="{00000000-0005-0000-0000-00009C0F0000}"/>
    <cellStyle name="Linked Cell 26" xfId="3952" xr:uid="{00000000-0005-0000-0000-00009D0F0000}"/>
    <cellStyle name="Linked Cell 27" xfId="3953" xr:uid="{00000000-0005-0000-0000-00009E0F0000}"/>
    <cellStyle name="Linked Cell 28" xfId="3954" xr:uid="{00000000-0005-0000-0000-00009F0F0000}"/>
    <cellStyle name="Linked Cell 29" xfId="3955" xr:uid="{00000000-0005-0000-0000-0000A00F0000}"/>
    <cellStyle name="Linked Cell 3" xfId="3956" xr:uid="{00000000-0005-0000-0000-0000A10F0000}"/>
    <cellStyle name="Linked Cell 3 2" xfId="3957" xr:uid="{00000000-0005-0000-0000-0000A20F0000}"/>
    <cellStyle name="Linked Cell 3 3" xfId="3958" xr:uid="{00000000-0005-0000-0000-0000A30F0000}"/>
    <cellStyle name="Linked Cell 3 4" xfId="3959" xr:uid="{00000000-0005-0000-0000-0000A40F0000}"/>
    <cellStyle name="Linked Cell 3 5" xfId="3960" xr:uid="{00000000-0005-0000-0000-0000A50F0000}"/>
    <cellStyle name="Linked Cell 30" xfId="3961" xr:uid="{00000000-0005-0000-0000-0000A60F0000}"/>
    <cellStyle name="Linked Cell 31" xfId="3962" xr:uid="{00000000-0005-0000-0000-0000A70F0000}"/>
    <cellStyle name="Linked Cell 32" xfId="3963" xr:uid="{00000000-0005-0000-0000-0000A80F0000}"/>
    <cellStyle name="Linked Cell 33" xfId="3964" xr:uid="{00000000-0005-0000-0000-0000A90F0000}"/>
    <cellStyle name="Linked Cell 34" xfId="3965" xr:uid="{00000000-0005-0000-0000-0000AA0F0000}"/>
    <cellStyle name="Linked Cell 35" xfId="3966" xr:uid="{00000000-0005-0000-0000-0000AB0F0000}"/>
    <cellStyle name="Linked Cell 36" xfId="3967" xr:uid="{00000000-0005-0000-0000-0000AC0F0000}"/>
    <cellStyle name="Linked Cell 37" xfId="3968" xr:uid="{00000000-0005-0000-0000-0000AD0F0000}"/>
    <cellStyle name="Linked Cell 38" xfId="3969" xr:uid="{00000000-0005-0000-0000-0000AE0F0000}"/>
    <cellStyle name="Linked Cell 39" xfId="3970" xr:uid="{00000000-0005-0000-0000-0000AF0F0000}"/>
    <cellStyle name="Linked Cell 4" xfId="3971" xr:uid="{00000000-0005-0000-0000-0000B00F0000}"/>
    <cellStyle name="Linked Cell 40" xfId="3972" xr:uid="{00000000-0005-0000-0000-0000B10F0000}"/>
    <cellStyle name="Linked Cell 41" xfId="3973" xr:uid="{00000000-0005-0000-0000-0000B20F0000}"/>
    <cellStyle name="Linked Cell 5" xfId="3974" xr:uid="{00000000-0005-0000-0000-0000B30F0000}"/>
    <cellStyle name="Linked Cell 6" xfId="3975" xr:uid="{00000000-0005-0000-0000-0000B40F0000}"/>
    <cellStyle name="Linked Cell 7" xfId="3976" xr:uid="{00000000-0005-0000-0000-0000B50F0000}"/>
    <cellStyle name="Linked Cell 8" xfId="3977" xr:uid="{00000000-0005-0000-0000-0000B60F0000}"/>
    <cellStyle name="Linked Cell 9" xfId="3978" xr:uid="{00000000-0005-0000-0000-0000B70F0000}"/>
    <cellStyle name="Magyarázó szöveg" xfId="3979" xr:uid="{00000000-0005-0000-0000-0000B80F0000}"/>
    <cellStyle name="Migliaia_Oil&amp;Gas IFE ARC POLITO" xfId="3980" xr:uid="{00000000-0005-0000-0000-0000B90F0000}"/>
    <cellStyle name="Neutral 10" xfId="3981" xr:uid="{00000000-0005-0000-0000-0000BA0F0000}"/>
    <cellStyle name="Neutral 11" xfId="3982" xr:uid="{00000000-0005-0000-0000-0000BB0F0000}"/>
    <cellStyle name="Neutral 12" xfId="3983" xr:uid="{00000000-0005-0000-0000-0000BC0F0000}"/>
    <cellStyle name="Neutral 13" xfId="3984" xr:uid="{00000000-0005-0000-0000-0000BD0F0000}"/>
    <cellStyle name="Neutral 14" xfId="3985" xr:uid="{00000000-0005-0000-0000-0000BE0F0000}"/>
    <cellStyle name="Neutral 15" xfId="3986" xr:uid="{00000000-0005-0000-0000-0000BF0F0000}"/>
    <cellStyle name="Neutral 16" xfId="3987" xr:uid="{00000000-0005-0000-0000-0000C00F0000}"/>
    <cellStyle name="Neutral 17" xfId="3988" xr:uid="{00000000-0005-0000-0000-0000C10F0000}"/>
    <cellStyle name="Neutral 18" xfId="3989" xr:uid="{00000000-0005-0000-0000-0000C20F0000}"/>
    <cellStyle name="Neutral 19" xfId="3990" xr:uid="{00000000-0005-0000-0000-0000C30F0000}"/>
    <cellStyle name="Neutral 2" xfId="3991" xr:uid="{00000000-0005-0000-0000-0000C40F0000}"/>
    <cellStyle name="Neutral 2 10" xfId="3992" xr:uid="{00000000-0005-0000-0000-0000C50F0000}"/>
    <cellStyle name="Neutral 2 11" xfId="3993" xr:uid="{00000000-0005-0000-0000-0000C60F0000}"/>
    <cellStyle name="Neutral 2 2" xfId="3994" xr:uid="{00000000-0005-0000-0000-0000C70F0000}"/>
    <cellStyle name="Neutral 2 2 2" xfId="3995" xr:uid="{00000000-0005-0000-0000-0000C80F0000}"/>
    <cellStyle name="Neutral 2 2 2 2" xfId="3996" xr:uid="{00000000-0005-0000-0000-0000C90F0000}"/>
    <cellStyle name="Neutral 2 3" xfId="3997" xr:uid="{00000000-0005-0000-0000-0000CA0F0000}"/>
    <cellStyle name="Neutral 2 4" xfId="3998" xr:uid="{00000000-0005-0000-0000-0000CB0F0000}"/>
    <cellStyle name="Neutral 2 5" xfId="3999" xr:uid="{00000000-0005-0000-0000-0000CC0F0000}"/>
    <cellStyle name="Neutral 2 6" xfId="4000" xr:uid="{00000000-0005-0000-0000-0000CD0F0000}"/>
    <cellStyle name="Neutral 2 7" xfId="4001" xr:uid="{00000000-0005-0000-0000-0000CE0F0000}"/>
    <cellStyle name="Neutral 2 8" xfId="4002" xr:uid="{00000000-0005-0000-0000-0000CF0F0000}"/>
    <cellStyle name="Neutral 2 9" xfId="4003" xr:uid="{00000000-0005-0000-0000-0000D00F0000}"/>
    <cellStyle name="Neutral 20" xfId="4004" xr:uid="{00000000-0005-0000-0000-0000D10F0000}"/>
    <cellStyle name="Neutral 21" xfId="4005" xr:uid="{00000000-0005-0000-0000-0000D20F0000}"/>
    <cellStyle name="Neutral 22" xfId="4006" xr:uid="{00000000-0005-0000-0000-0000D30F0000}"/>
    <cellStyle name="Neutral 23" xfId="4007" xr:uid="{00000000-0005-0000-0000-0000D40F0000}"/>
    <cellStyle name="Neutral 24" xfId="4008" xr:uid="{00000000-0005-0000-0000-0000D50F0000}"/>
    <cellStyle name="Neutral 25" xfId="4009" xr:uid="{00000000-0005-0000-0000-0000D60F0000}"/>
    <cellStyle name="Neutral 26" xfId="4010" xr:uid="{00000000-0005-0000-0000-0000D70F0000}"/>
    <cellStyle name="Neutral 27" xfId="4011" xr:uid="{00000000-0005-0000-0000-0000D80F0000}"/>
    <cellStyle name="Neutral 28" xfId="4012" xr:uid="{00000000-0005-0000-0000-0000D90F0000}"/>
    <cellStyle name="Neutral 29" xfId="4013" xr:uid="{00000000-0005-0000-0000-0000DA0F0000}"/>
    <cellStyle name="Neutral 3" xfId="4014" xr:uid="{00000000-0005-0000-0000-0000DB0F0000}"/>
    <cellStyle name="Neutral 3 2" xfId="4015" xr:uid="{00000000-0005-0000-0000-0000DC0F0000}"/>
    <cellStyle name="Neutral 3 2 2" xfId="4016" xr:uid="{00000000-0005-0000-0000-0000DD0F0000}"/>
    <cellStyle name="Neutral 3 2 3" xfId="4017" xr:uid="{00000000-0005-0000-0000-0000DE0F0000}"/>
    <cellStyle name="Neutral 3 3" xfId="4018" xr:uid="{00000000-0005-0000-0000-0000DF0F0000}"/>
    <cellStyle name="Neutral 3 4" xfId="4019" xr:uid="{00000000-0005-0000-0000-0000E00F0000}"/>
    <cellStyle name="Neutral 3 5" xfId="4020" xr:uid="{00000000-0005-0000-0000-0000E10F0000}"/>
    <cellStyle name="Neutral 3 6" xfId="4021" xr:uid="{00000000-0005-0000-0000-0000E20F0000}"/>
    <cellStyle name="Neutral 3 7" xfId="4022" xr:uid="{00000000-0005-0000-0000-0000E30F0000}"/>
    <cellStyle name="Neutral 3 8" xfId="4023" xr:uid="{00000000-0005-0000-0000-0000E40F0000}"/>
    <cellStyle name="Neutral 30" xfId="4024" xr:uid="{00000000-0005-0000-0000-0000E50F0000}"/>
    <cellStyle name="Neutral 31" xfId="4025" xr:uid="{00000000-0005-0000-0000-0000E60F0000}"/>
    <cellStyle name="Neutral 32" xfId="4026" xr:uid="{00000000-0005-0000-0000-0000E70F0000}"/>
    <cellStyle name="Neutral 33" xfId="4027" xr:uid="{00000000-0005-0000-0000-0000E80F0000}"/>
    <cellStyle name="Neutral 34" xfId="4028" xr:uid="{00000000-0005-0000-0000-0000E90F0000}"/>
    <cellStyle name="Neutral 35" xfId="4029" xr:uid="{00000000-0005-0000-0000-0000EA0F0000}"/>
    <cellStyle name="Neutral 36" xfId="4030" xr:uid="{00000000-0005-0000-0000-0000EB0F0000}"/>
    <cellStyle name="Neutral 37" xfId="4031" xr:uid="{00000000-0005-0000-0000-0000EC0F0000}"/>
    <cellStyle name="Neutral 38" xfId="4032" xr:uid="{00000000-0005-0000-0000-0000ED0F0000}"/>
    <cellStyle name="Neutral 39" xfId="4033" xr:uid="{00000000-0005-0000-0000-0000EE0F0000}"/>
    <cellStyle name="Neutral 4" xfId="4034" xr:uid="{00000000-0005-0000-0000-0000EF0F0000}"/>
    <cellStyle name="Neutral 4 2" xfId="4035" xr:uid="{00000000-0005-0000-0000-0000F00F0000}"/>
    <cellStyle name="Neutral 4 3" xfId="4036" xr:uid="{00000000-0005-0000-0000-0000F10F0000}"/>
    <cellStyle name="Neutral 40" xfId="4037" xr:uid="{00000000-0005-0000-0000-0000F20F0000}"/>
    <cellStyle name="Neutral 41" xfId="4038" xr:uid="{00000000-0005-0000-0000-0000F30F0000}"/>
    <cellStyle name="Neutral 42" xfId="4039" xr:uid="{00000000-0005-0000-0000-0000F40F0000}"/>
    <cellStyle name="Neutral 43" xfId="4040" xr:uid="{00000000-0005-0000-0000-0000F50F0000}"/>
    <cellStyle name="Neutral 5" xfId="4041" xr:uid="{00000000-0005-0000-0000-0000F60F0000}"/>
    <cellStyle name="Neutral 6" xfId="4042" xr:uid="{00000000-0005-0000-0000-0000F70F0000}"/>
    <cellStyle name="Neutral 6 2" xfId="4043" xr:uid="{00000000-0005-0000-0000-0000F80F0000}"/>
    <cellStyle name="Neutral 7" xfId="4044" xr:uid="{00000000-0005-0000-0000-0000F90F0000}"/>
    <cellStyle name="Neutral 8" xfId="4045" xr:uid="{00000000-0005-0000-0000-0000FA0F0000}"/>
    <cellStyle name="Neutral 9" xfId="4046" xr:uid="{00000000-0005-0000-0000-0000FB0F0000}"/>
    <cellStyle name="Normal" xfId="0" builtinId="0"/>
    <cellStyle name="Normal 10" xfId="4047" xr:uid="{00000000-0005-0000-0000-0000FC0F0000}"/>
    <cellStyle name="Normal 10 2" xfId="4048" xr:uid="{00000000-0005-0000-0000-0000FD0F0000}"/>
    <cellStyle name="Normal 10 2 2" xfId="4049" xr:uid="{00000000-0005-0000-0000-0000FE0F0000}"/>
    <cellStyle name="Normal 10 2 2 2" xfId="4050" xr:uid="{00000000-0005-0000-0000-0000FF0F0000}"/>
    <cellStyle name="Normal 10 2 2 3" xfId="4051" xr:uid="{00000000-0005-0000-0000-000000100000}"/>
    <cellStyle name="Normal 10 2 3" xfId="4052" xr:uid="{00000000-0005-0000-0000-000001100000}"/>
    <cellStyle name="Normal 10 2 3 2" xfId="4053" xr:uid="{00000000-0005-0000-0000-000002100000}"/>
    <cellStyle name="Normal 10 2 4" xfId="4054" xr:uid="{00000000-0005-0000-0000-000003100000}"/>
    <cellStyle name="Normal 10 2 5" xfId="4055" xr:uid="{00000000-0005-0000-0000-000004100000}"/>
    <cellStyle name="Normal 10 2 5 2" xfId="4056" xr:uid="{00000000-0005-0000-0000-000005100000}"/>
    <cellStyle name="Normal 10 2 6" xfId="4057" xr:uid="{00000000-0005-0000-0000-000006100000}"/>
    <cellStyle name="Normal 10 2 7" xfId="4058" xr:uid="{00000000-0005-0000-0000-000007100000}"/>
    <cellStyle name="Normal 10 2 8" xfId="4059" xr:uid="{00000000-0005-0000-0000-000008100000}"/>
    <cellStyle name="Normal 10 3" xfId="4060" xr:uid="{00000000-0005-0000-0000-000009100000}"/>
    <cellStyle name="Normal 10 4" xfId="4061" xr:uid="{00000000-0005-0000-0000-00000A100000}"/>
    <cellStyle name="Normal 10 5" xfId="4062" xr:uid="{00000000-0005-0000-0000-00000B100000}"/>
    <cellStyle name="Normal 10 6" xfId="4063" xr:uid="{00000000-0005-0000-0000-00000C100000}"/>
    <cellStyle name="Normal 10 7" xfId="4064" xr:uid="{00000000-0005-0000-0000-00000D100000}"/>
    <cellStyle name="Normal 10 8" xfId="4065" xr:uid="{00000000-0005-0000-0000-00000E100000}"/>
    <cellStyle name="Normal 10 9" xfId="4066" xr:uid="{00000000-0005-0000-0000-00000F100000}"/>
    <cellStyle name="Normal 11" xfId="4067" xr:uid="{00000000-0005-0000-0000-000010100000}"/>
    <cellStyle name="Normal 11 2" xfId="4068" xr:uid="{00000000-0005-0000-0000-000011100000}"/>
    <cellStyle name="Normal 11 2 2" xfId="4069" xr:uid="{00000000-0005-0000-0000-000012100000}"/>
    <cellStyle name="Normal 11 2 2 2" xfId="4070" xr:uid="{00000000-0005-0000-0000-000013100000}"/>
    <cellStyle name="Normal 11 2 3" xfId="4071" xr:uid="{00000000-0005-0000-0000-000014100000}"/>
    <cellStyle name="Normal 11 3" xfId="4072" xr:uid="{00000000-0005-0000-0000-000015100000}"/>
    <cellStyle name="Normal 11 4" xfId="4073" xr:uid="{00000000-0005-0000-0000-000016100000}"/>
    <cellStyle name="Normal 11 4 2" xfId="4074" xr:uid="{00000000-0005-0000-0000-000017100000}"/>
    <cellStyle name="Normal 11 5" xfId="4075" xr:uid="{00000000-0005-0000-0000-000018100000}"/>
    <cellStyle name="Normal 11 5 2" xfId="4076" xr:uid="{00000000-0005-0000-0000-000019100000}"/>
    <cellStyle name="Normal 11 5 3" xfId="4077" xr:uid="{00000000-0005-0000-0000-00001A100000}"/>
    <cellStyle name="Normal 11 5 4" xfId="4078" xr:uid="{00000000-0005-0000-0000-00001B100000}"/>
    <cellStyle name="Normal 11 6" xfId="4079" xr:uid="{00000000-0005-0000-0000-00001C100000}"/>
    <cellStyle name="Normal 11 7" xfId="4080" xr:uid="{00000000-0005-0000-0000-00001D100000}"/>
    <cellStyle name="Normal 11 8" xfId="4081" xr:uid="{00000000-0005-0000-0000-00001E100000}"/>
    <cellStyle name="Normal 12" xfId="4082" xr:uid="{00000000-0005-0000-0000-00001F100000}"/>
    <cellStyle name="Normal 12 2" xfId="4083" xr:uid="{00000000-0005-0000-0000-000020100000}"/>
    <cellStyle name="Normal 12 3" xfId="4084" xr:uid="{00000000-0005-0000-0000-000021100000}"/>
    <cellStyle name="Normal 12 4" xfId="4085" xr:uid="{00000000-0005-0000-0000-000022100000}"/>
    <cellStyle name="Normal 12 5" xfId="4086" xr:uid="{00000000-0005-0000-0000-000023100000}"/>
    <cellStyle name="Normal 12 6" xfId="4087" xr:uid="{00000000-0005-0000-0000-000024100000}"/>
    <cellStyle name="Normal 12 7" xfId="4088" xr:uid="{00000000-0005-0000-0000-000025100000}"/>
    <cellStyle name="Normal 12 8" xfId="4089" xr:uid="{00000000-0005-0000-0000-000026100000}"/>
    <cellStyle name="Normal 13" xfId="4090" xr:uid="{00000000-0005-0000-0000-000027100000}"/>
    <cellStyle name="Normal 13 10" xfId="4091" xr:uid="{00000000-0005-0000-0000-000028100000}"/>
    <cellStyle name="Normal 13 10 2" xfId="4092" xr:uid="{00000000-0005-0000-0000-000029100000}"/>
    <cellStyle name="Normal 13 10 2 2" xfId="4093" xr:uid="{00000000-0005-0000-0000-00002A100000}"/>
    <cellStyle name="Normal 13 10 3" xfId="4094" xr:uid="{00000000-0005-0000-0000-00002B100000}"/>
    <cellStyle name="Normal 13 11" xfId="4095" xr:uid="{00000000-0005-0000-0000-00002C100000}"/>
    <cellStyle name="Normal 13 11 2" xfId="4096" xr:uid="{00000000-0005-0000-0000-00002D100000}"/>
    <cellStyle name="Normal 13 11 2 2" xfId="4097" xr:uid="{00000000-0005-0000-0000-00002E100000}"/>
    <cellStyle name="Normal 13 11 3" xfId="4098" xr:uid="{00000000-0005-0000-0000-00002F100000}"/>
    <cellStyle name="Normal 13 12" xfId="4099" xr:uid="{00000000-0005-0000-0000-000030100000}"/>
    <cellStyle name="Normal 13 12 2" xfId="4100" xr:uid="{00000000-0005-0000-0000-000031100000}"/>
    <cellStyle name="Normal 13 12 3" xfId="4101" xr:uid="{00000000-0005-0000-0000-000032100000}"/>
    <cellStyle name="Normal 13 12 4" xfId="4102" xr:uid="{00000000-0005-0000-0000-000033100000}"/>
    <cellStyle name="Normal 13 13" xfId="4103" xr:uid="{00000000-0005-0000-0000-000034100000}"/>
    <cellStyle name="Normal 13 13 2" xfId="4104" xr:uid="{00000000-0005-0000-0000-000035100000}"/>
    <cellStyle name="Normal 13 13 2 2" xfId="4105" xr:uid="{00000000-0005-0000-0000-000036100000}"/>
    <cellStyle name="Normal 13 13 3" xfId="4106" xr:uid="{00000000-0005-0000-0000-000037100000}"/>
    <cellStyle name="Normal 13 14" xfId="4107" xr:uid="{00000000-0005-0000-0000-000038100000}"/>
    <cellStyle name="Normal 13 14 2" xfId="4108" xr:uid="{00000000-0005-0000-0000-000039100000}"/>
    <cellStyle name="Normal 13 14 2 2" xfId="4109" xr:uid="{00000000-0005-0000-0000-00003A100000}"/>
    <cellStyle name="Normal 13 14 3" xfId="4110" xr:uid="{00000000-0005-0000-0000-00003B100000}"/>
    <cellStyle name="Normal 13 15" xfId="4111" xr:uid="{00000000-0005-0000-0000-00003C100000}"/>
    <cellStyle name="Normal 13 15 2" xfId="4112" xr:uid="{00000000-0005-0000-0000-00003D100000}"/>
    <cellStyle name="Normal 13 15 2 2" xfId="4113" xr:uid="{00000000-0005-0000-0000-00003E100000}"/>
    <cellStyle name="Normal 13 15 3" xfId="4114" xr:uid="{00000000-0005-0000-0000-00003F100000}"/>
    <cellStyle name="Normal 13 16" xfId="4115" xr:uid="{00000000-0005-0000-0000-000040100000}"/>
    <cellStyle name="Normal 13 16 2" xfId="4116" xr:uid="{00000000-0005-0000-0000-000041100000}"/>
    <cellStyle name="Normal 13 16 2 2" xfId="4117" xr:uid="{00000000-0005-0000-0000-000042100000}"/>
    <cellStyle name="Normal 13 16 3" xfId="4118" xr:uid="{00000000-0005-0000-0000-000043100000}"/>
    <cellStyle name="Normal 13 17" xfId="4119" xr:uid="{00000000-0005-0000-0000-000044100000}"/>
    <cellStyle name="Normal 13 17 2" xfId="4120" xr:uid="{00000000-0005-0000-0000-000045100000}"/>
    <cellStyle name="Normal 13 17 3" xfId="4121" xr:uid="{00000000-0005-0000-0000-000046100000}"/>
    <cellStyle name="Normal 13 17 4" xfId="4122" xr:uid="{00000000-0005-0000-0000-000047100000}"/>
    <cellStyle name="Normal 13 18" xfId="4123" xr:uid="{00000000-0005-0000-0000-000048100000}"/>
    <cellStyle name="Normal 13 18 2" xfId="4124" xr:uid="{00000000-0005-0000-0000-000049100000}"/>
    <cellStyle name="Normal 13 18 3" xfId="4125" xr:uid="{00000000-0005-0000-0000-00004A100000}"/>
    <cellStyle name="Normal 13 18 4" xfId="4126" xr:uid="{00000000-0005-0000-0000-00004B100000}"/>
    <cellStyle name="Normal 13 19" xfId="4127" xr:uid="{00000000-0005-0000-0000-00004C100000}"/>
    <cellStyle name="Normal 13 19 2" xfId="4128" xr:uid="{00000000-0005-0000-0000-00004D100000}"/>
    <cellStyle name="Normal 13 19 3" xfId="4129" xr:uid="{00000000-0005-0000-0000-00004E100000}"/>
    <cellStyle name="Normal 13 19 4" xfId="4130" xr:uid="{00000000-0005-0000-0000-00004F100000}"/>
    <cellStyle name="Normal 13 2" xfId="4131" xr:uid="{00000000-0005-0000-0000-000050100000}"/>
    <cellStyle name="Normal 13 2 10" xfId="4132" xr:uid="{00000000-0005-0000-0000-000051100000}"/>
    <cellStyle name="Normal 13 2 11" xfId="4133" xr:uid="{00000000-0005-0000-0000-000052100000}"/>
    <cellStyle name="Normal 13 2 11 2" xfId="4134" xr:uid="{00000000-0005-0000-0000-000053100000}"/>
    <cellStyle name="Normal 13 2 11 3" xfId="4135" xr:uid="{00000000-0005-0000-0000-000054100000}"/>
    <cellStyle name="Normal 13 2 12" xfId="4136" xr:uid="{00000000-0005-0000-0000-000055100000}"/>
    <cellStyle name="Normal 13 2 2" xfId="4137" xr:uid="{00000000-0005-0000-0000-000056100000}"/>
    <cellStyle name="Normal 13 2 2 2" xfId="4138" xr:uid="{00000000-0005-0000-0000-000057100000}"/>
    <cellStyle name="Normal 13 2 2 2 2" xfId="4139" xr:uid="{00000000-0005-0000-0000-000058100000}"/>
    <cellStyle name="Normal 13 2 2 3" xfId="4140" xr:uid="{00000000-0005-0000-0000-000059100000}"/>
    <cellStyle name="Normal 13 2 3" xfId="4141" xr:uid="{00000000-0005-0000-0000-00005A100000}"/>
    <cellStyle name="Normal 13 2 3 2" xfId="4142" xr:uid="{00000000-0005-0000-0000-00005B100000}"/>
    <cellStyle name="Normal 13 2 3 2 2" xfId="4143" xr:uid="{00000000-0005-0000-0000-00005C100000}"/>
    <cellStyle name="Normal 13 2 3 3" xfId="4144" xr:uid="{00000000-0005-0000-0000-00005D100000}"/>
    <cellStyle name="Normal 13 2 4" xfId="4145" xr:uid="{00000000-0005-0000-0000-00005E100000}"/>
    <cellStyle name="Normal 13 2 4 2" xfId="4146" xr:uid="{00000000-0005-0000-0000-00005F100000}"/>
    <cellStyle name="Normal 13 2 4 2 2" xfId="4147" xr:uid="{00000000-0005-0000-0000-000060100000}"/>
    <cellStyle name="Normal 13 2 4 3" xfId="4148" xr:uid="{00000000-0005-0000-0000-000061100000}"/>
    <cellStyle name="Normal 13 2 5" xfId="4149" xr:uid="{00000000-0005-0000-0000-000062100000}"/>
    <cellStyle name="Normal 13 2 5 2" xfId="4150" xr:uid="{00000000-0005-0000-0000-000063100000}"/>
    <cellStyle name="Normal 13 2 5 2 2" xfId="4151" xr:uid="{00000000-0005-0000-0000-000064100000}"/>
    <cellStyle name="Normal 13 2 5 3" xfId="4152" xr:uid="{00000000-0005-0000-0000-000065100000}"/>
    <cellStyle name="Normal 13 2 6" xfId="4153" xr:uid="{00000000-0005-0000-0000-000066100000}"/>
    <cellStyle name="Normal 13 2 6 2" xfId="4154" xr:uid="{00000000-0005-0000-0000-000067100000}"/>
    <cellStyle name="Normal 13 2 6 2 2" xfId="4155" xr:uid="{00000000-0005-0000-0000-000068100000}"/>
    <cellStyle name="Normal 13 2 6 3" xfId="4156" xr:uid="{00000000-0005-0000-0000-000069100000}"/>
    <cellStyle name="Normal 13 2 7" xfId="4157" xr:uid="{00000000-0005-0000-0000-00006A100000}"/>
    <cellStyle name="Normal 13 2 7 2" xfId="4158" xr:uid="{00000000-0005-0000-0000-00006B100000}"/>
    <cellStyle name="Normal 13 2 7 2 2" xfId="4159" xr:uid="{00000000-0005-0000-0000-00006C100000}"/>
    <cellStyle name="Normal 13 2 7 3" xfId="4160" xr:uid="{00000000-0005-0000-0000-00006D100000}"/>
    <cellStyle name="Normal 13 2 8" xfId="4161" xr:uid="{00000000-0005-0000-0000-00006E100000}"/>
    <cellStyle name="Normal 13 2 8 2" xfId="4162" xr:uid="{00000000-0005-0000-0000-00006F100000}"/>
    <cellStyle name="Normal 13 2 8 2 2" xfId="4163" xr:uid="{00000000-0005-0000-0000-000070100000}"/>
    <cellStyle name="Normal 13 2 8 3" xfId="4164" xr:uid="{00000000-0005-0000-0000-000071100000}"/>
    <cellStyle name="Normal 13 2 9" xfId="4165" xr:uid="{00000000-0005-0000-0000-000072100000}"/>
    <cellStyle name="Normal 13 2 9 2" xfId="4166" xr:uid="{00000000-0005-0000-0000-000073100000}"/>
    <cellStyle name="Normal 13 2 9 3" xfId="4167" xr:uid="{00000000-0005-0000-0000-000074100000}"/>
    <cellStyle name="Normal 13 20" xfId="4168" xr:uid="{00000000-0005-0000-0000-000075100000}"/>
    <cellStyle name="Normal 13 20 2" xfId="4169" xr:uid="{00000000-0005-0000-0000-000076100000}"/>
    <cellStyle name="Normal 13 20 3" xfId="4170" xr:uid="{00000000-0005-0000-0000-000077100000}"/>
    <cellStyle name="Normal 13 20 4" xfId="4171" xr:uid="{00000000-0005-0000-0000-000078100000}"/>
    <cellStyle name="Normal 13 21" xfId="4172" xr:uid="{00000000-0005-0000-0000-000079100000}"/>
    <cellStyle name="Normal 13 21 2" xfId="4173" xr:uid="{00000000-0005-0000-0000-00007A100000}"/>
    <cellStyle name="Normal 13 21 3" xfId="4174" xr:uid="{00000000-0005-0000-0000-00007B100000}"/>
    <cellStyle name="Normal 13 21 4" xfId="4175" xr:uid="{00000000-0005-0000-0000-00007C100000}"/>
    <cellStyle name="Normal 13 22" xfId="4176" xr:uid="{00000000-0005-0000-0000-00007D100000}"/>
    <cellStyle name="Normal 13 22 2" xfId="4177" xr:uid="{00000000-0005-0000-0000-00007E100000}"/>
    <cellStyle name="Normal 13 22 3" xfId="4178" xr:uid="{00000000-0005-0000-0000-00007F100000}"/>
    <cellStyle name="Normal 13 22 4" xfId="4179" xr:uid="{00000000-0005-0000-0000-000080100000}"/>
    <cellStyle name="Normal 13 23" xfId="4180" xr:uid="{00000000-0005-0000-0000-000081100000}"/>
    <cellStyle name="Normal 13 24" xfId="4181" xr:uid="{00000000-0005-0000-0000-000082100000}"/>
    <cellStyle name="Normal 13 25" xfId="4182" xr:uid="{00000000-0005-0000-0000-000083100000}"/>
    <cellStyle name="Normal 13 26" xfId="4183" xr:uid="{00000000-0005-0000-0000-000084100000}"/>
    <cellStyle name="Normal 13 27" xfId="4184" xr:uid="{00000000-0005-0000-0000-000085100000}"/>
    <cellStyle name="Normal 13 28" xfId="4185" xr:uid="{00000000-0005-0000-0000-000086100000}"/>
    <cellStyle name="Normal 13 29" xfId="4186" xr:uid="{00000000-0005-0000-0000-000087100000}"/>
    <cellStyle name="Normal 13 3" xfId="4187" xr:uid="{00000000-0005-0000-0000-000088100000}"/>
    <cellStyle name="Normal 13 3 2" xfId="4188" xr:uid="{00000000-0005-0000-0000-000089100000}"/>
    <cellStyle name="Normal 13 3 2 2" xfId="4189" xr:uid="{00000000-0005-0000-0000-00008A100000}"/>
    <cellStyle name="Normal 13 3 2 3" xfId="4190" xr:uid="{00000000-0005-0000-0000-00008B100000}"/>
    <cellStyle name="Normal 13 3 3" xfId="4191" xr:uid="{00000000-0005-0000-0000-00008C100000}"/>
    <cellStyle name="Normal 13 3 4" xfId="4192" xr:uid="{00000000-0005-0000-0000-00008D100000}"/>
    <cellStyle name="Normal 13 30" xfId="4193" xr:uid="{00000000-0005-0000-0000-00008E100000}"/>
    <cellStyle name="Normal 13 31" xfId="4194" xr:uid="{00000000-0005-0000-0000-00008F100000}"/>
    <cellStyle name="Normal 13 32" xfId="4195" xr:uid="{00000000-0005-0000-0000-000090100000}"/>
    <cellStyle name="Normal 13 33" xfId="4196" xr:uid="{00000000-0005-0000-0000-000091100000}"/>
    <cellStyle name="Normal 13 34" xfId="4197" xr:uid="{00000000-0005-0000-0000-000092100000}"/>
    <cellStyle name="Normal 13 35" xfId="4198" xr:uid="{00000000-0005-0000-0000-000093100000}"/>
    <cellStyle name="Normal 13 36" xfId="4199" xr:uid="{00000000-0005-0000-0000-000094100000}"/>
    <cellStyle name="Normal 13 37" xfId="4200" xr:uid="{00000000-0005-0000-0000-000095100000}"/>
    <cellStyle name="Normal 13 38" xfId="4201" xr:uid="{00000000-0005-0000-0000-000096100000}"/>
    <cellStyle name="Normal 13 39" xfId="4202" xr:uid="{00000000-0005-0000-0000-000097100000}"/>
    <cellStyle name="Normal 13 4" xfId="4203" xr:uid="{00000000-0005-0000-0000-000098100000}"/>
    <cellStyle name="Normal 13 4 2" xfId="4204" xr:uid="{00000000-0005-0000-0000-000099100000}"/>
    <cellStyle name="Normal 13 4 2 2" xfId="4205" xr:uid="{00000000-0005-0000-0000-00009A100000}"/>
    <cellStyle name="Normal 13 4 2 3" xfId="4206" xr:uid="{00000000-0005-0000-0000-00009B100000}"/>
    <cellStyle name="Normal 13 4 3" xfId="4207" xr:uid="{00000000-0005-0000-0000-00009C100000}"/>
    <cellStyle name="Normal 13 4 4" xfId="4208" xr:uid="{00000000-0005-0000-0000-00009D100000}"/>
    <cellStyle name="Normal 13 40" xfId="4209" xr:uid="{00000000-0005-0000-0000-00009E100000}"/>
    <cellStyle name="Normal 13 5" xfId="4210" xr:uid="{00000000-0005-0000-0000-00009F100000}"/>
    <cellStyle name="Normal 13 5 2" xfId="4211" xr:uid="{00000000-0005-0000-0000-0000A0100000}"/>
    <cellStyle name="Normal 13 5 3" xfId="4212" xr:uid="{00000000-0005-0000-0000-0000A1100000}"/>
    <cellStyle name="Normal 13 5 4" xfId="4213" xr:uid="{00000000-0005-0000-0000-0000A2100000}"/>
    <cellStyle name="Normal 13 6" xfId="4214" xr:uid="{00000000-0005-0000-0000-0000A3100000}"/>
    <cellStyle name="Normal 13 6 2" xfId="4215" xr:uid="{00000000-0005-0000-0000-0000A4100000}"/>
    <cellStyle name="Normal 13 6 3" xfId="4216" xr:uid="{00000000-0005-0000-0000-0000A5100000}"/>
    <cellStyle name="Normal 13 6 4" xfId="4217" xr:uid="{00000000-0005-0000-0000-0000A6100000}"/>
    <cellStyle name="Normal 13 7" xfId="4218" xr:uid="{00000000-0005-0000-0000-0000A7100000}"/>
    <cellStyle name="Normal 13 7 2" xfId="4219" xr:uid="{00000000-0005-0000-0000-0000A8100000}"/>
    <cellStyle name="Normal 13 7 3" xfId="4220" xr:uid="{00000000-0005-0000-0000-0000A9100000}"/>
    <cellStyle name="Normal 13 7 4" xfId="4221" xr:uid="{00000000-0005-0000-0000-0000AA100000}"/>
    <cellStyle name="Normal 13 8" xfId="4222" xr:uid="{00000000-0005-0000-0000-0000AB100000}"/>
    <cellStyle name="Normal 13 8 2" xfId="4223" xr:uid="{00000000-0005-0000-0000-0000AC100000}"/>
    <cellStyle name="Normal 13 8 3" xfId="4224" xr:uid="{00000000-0005-0000-0000-0000AD100000}"/>
    <cellStyle name="Normal 13 8 4" xfId="4225" xr:uid="{00000000-0005-0000-0000-0000AE100000}"/>
    <cellStyle name="Normal 13 9" xfId="4226" xr:uid="{00000000-0005-0000-0000-0000AF100000}"/>
    <cellStyle name="Normal 13 9 2" xfId="4227" xr:uid="{00000000-0005-0000-0000-0000B0100000}"/>
    <cellStyle name="Normal 13 9 2 2" xfId="4228" xr:uid="{00000000-0005-0000-0000-0000B1100000}"/>
    <cellStyle name="Normal 13 9 3" xfId="4229" xr:uid="{00000000-0005-0000-0000-0000B2100000}"/>
    <cellStyle name="Normal 14" xfId="4230" xr:uid="{00000000-0005-0000-0000-0000B3100000}"/>
    <cellStyle name="Normal 14 10" xfId="4231" xr:uid="{00000000-0005-0000-0000-0000B4100000}"/>
    <cellStyle name="Normal 14 10 2" xfId="4232" xr:uid="{00000000-0005-0000-0000-0000B5100000}"/>
    <cellStyle name="Normal 14 10 2 2" xfId="4233" xr:uid="{00000000-0005-0000-0000-0000B6100000}"/>
    <cellStyle name="Normal 14 10 3" xfId="4234" xr:uid="{00000000-0005-0000-0000-0000B7100000}"/>
    <cellStyle name="Normal 14 11" xfId="4235" xr:uid="{00000000-0005-0000-0000-0000B8100000}"/>
    <cellStyle name="Normal 14 11 2" xfId="4236" xr:uid="{00000000-0005-0000-0000-0000B9100000}"/>
    <cellStyle name="Normal 14 11 2 2" xfId="4237" xr:uid="{00000000-0005-0000-0000-0000BA100000}"/>
    <cellStyle name="Normal 14 11 3" xfId="4238" xr:uid="{00000000-0005-0000-0000-0000BB100000}"/>
    <cellStyle name="Normal 14 12" xfId="4239" xr:uid="{00000000-0005-0000-0000-0000BC100000}"/>
    <cellStyle name="Normal 14 12 2" xfId="4240" xr:uid="{00000000-0005-0000-0000-0000BD100000}"/>
    <cellStyle name="Normal 14 12 2 2" xfId="4241" xr:uid="{00000000-0005-0000-0000-0000BE100000}"/>
    <cellStyle name="Normal 14 12 3" xfId="4242" xr:uid="{00000000-0005-0000-0000-0000BF100000}"/>
    <cellStyle name="Normal 14 13" xfId="4243" xr:uid="{00000000-0005-0000-0000-0000C0100000}"/>
    <cellStyle name="Normal 14 13 2" xfId="4244" xr:uid="{00000000-0005-0000-0000-0000C1100000}"/>
    <cellStyle name="Normal 14 13 2 2" xfId="4245" xr:uid="{00000000-0005-0000-0000-0000C2100000}"/>
    <cellStyle name="Normal 14 13 3" xfId="4246" xr:uid="{00000000-0005-0000-0000-0000C3100000}"/>
    <cellStyle name="Normal 14 14" xfId="4247" xr:uid="{00000000-0005-0000-0000-0000C4100000}"/>
    <cellStyle name="Normal 14 14 2" xfId="4248" xr:uid="{00000000-0005-0000-0000-0000C5100000}"/>
    <cellStyle name="Normal 14 14 2 2" xfId="4249" xr:uid="{00000000-0005-0000-0000-0000C6100000}"/>
    <cellStyle name="Normal 14 14 3" xfId="4250" xr:uid="{00000000-0005-0000-0000-0000C7100000}"/>
    <cellStyle name="Normal 14 15" xfId="4251" xr:uid="{00000000-0005-0000-0000-0000C8100000}"/>
    <cellStyle name="Normal 14 15 2" xfId="4252" xr:uid="{00000000-0005-0000-0000-0000C9100000}"/>
    <cellStyle name="Normal 14 15 2 2" xfId="4253" xr:uid="{00000000-0005-0000-0000-0000CA100000}"/>
    <cellStyle name="Normal 14 15 3" xfId="4254" xr:uid="{00000000-0005-0000-0000-0000CB100000}"/>
    <cellStyle name="Normal 14 16" xfId="4255" xr:uid="{00000000-0005-0000-0000-0000CC100000}"/>
    <cellStyle name="Normal 14 16 2" xfId="4256" xr:uid="{00000000-0005-0000-0000-0000CD100000}"/>
    <cellStyle name="Normal 14 16 3" xfId="4257" xr:uid="{00000000-0005-0000-0000-0000CE100000}"/>
    <cellStyle name="Normal 14 17" xfId="4258" xr:uid="{00000000-0005-0000-0000-0000CF100000}"/>
    <cellStyle name="Normal 14 18" xfId="4259" xr:uid="{00000000-0005-0000-0000-0000D0100000}"/>
    <cellStyle name="Normal 14 2" xfId="4260" xr:uid="{00000000-0005-0000-0000-0000D1100000}"/>
    <cellStyle name="Normal 14 2 10" xfId="4261" xr:uid="{00000000-0005-0000-0000-0000D2100000}"/>
    <cellStyle name="Normal 14 2 2" xfId="4262" xr:uid="{00000000-0005-0000-0000-0000D3100000}"/>
    <cellStyle name="Normal 14 2 3" xfId="4263" xr:uid="{00000000-0005-0000-0000-0000D4100000}"/>
    <cellStyle name="Normal 14 2 4" xfId="4264" xr:uid="{00000000-0005-0000-0000-0000D5100000}"/>
    <cellStyle name="Normal 14 2 5" xfId="4265" xr:uid="{00000000-0005-0000-0000-0000D6100000}"/>
    <cellStyle name="Normal 14 2 6" xfId="4266" xr:uid="{00000000-0005-0000-0000-0000D7100000}"/>
    <cellStyle name="Normal 14 2 7" xfId="4267" xr:uid="{00000000-0005-0000-0000-0000D8100000}"/>
    <cellStyle name="Normal 14 2 8" xfId="4268" xr:uid="{00000000-0005-0000-0000-0000D9100000}"/>
    <cellStyle name="Normal 14 2 8 2" xfId="4269" xr:uid="{00000000-0005-0000-0000-0000DA100000}"/>
    <cellStyle name="Normal 14 2 8 3" xfId="4270" xr:uid="{00000000-0005-0000-0000-0000DB100000}"/>
    <cellStyle name="Normal 14 2 9" xfId="4271" xr:uid="{00000000-0005-0000-0000-0000DC100000}"/>
    <cellStyle name="Normal 14 3" xfId="4272" xr:uid="{00000000-0005-0000-0000-0000DD100000}"/>
    <cellStyle name="Normal 14 3 2" xfId="4273" xr:uid="{00000000-0005-0000-0000-0000DE100000}"/>
    <cellStyle name="Normal 14 4" xfId="4274" xr:uid="{00000000-0005-0000-0000-0000DF100000}"/>
    <cellStyle name="Normal 14 4 2" xfId="4275" xr:uid="{00000000-0005-0000-0000-0000E0100000}"/>
    <cellStyle name="Normal 14 4 2 2" xfId="4276" xr:uid="{00000000-0005-0000-0000-0000E1100000}"/>
    <cellStyle name="Normal 14 4 3" xfId="4277" xr:uid="{00000000-0005-0000-0000-0000E2100000}"/>
    <cellStyle name="Normal 14 5" xfId="4278" xr:uid="{00000000-0005-0000-0000-0000E3100000}"/>
    <cellStyle name="Normal 14 5 2" xfId="4279" xr:uid="{00000000-0005-0000-0000-0000E4100000}"/>
    <cellStyle name="Normal 14 5 2 2" xfId="4280" xr:uid="{00000000-0005-0000-0000-0000E5100000}"/>
    <cellStyle name="Normal 14 5 3" xfId="4281" xr:uid="{00000000-0005-0000-0000-0000E6100000}"/>
    <cellStyle name="Normal 14 6" xfId="4282" xr:uid="{00000000-0005-0000-0000-0000E7100000}"/>
    <cellStyle name="Normal 14 7" xfId="4283" xr:uid="{00000000-0005-0000-0000-0000E8100000}"/>
    <cellStyle name="Normal 14 8" xfId="4284" xr:uid="{00000000-0005-0000-0000-0000E9100000}"/>
    <cellStyle name="Normal 14 9" xfId="4285" xr:uid="{00000000-0005-0000-0000-0000EA100000}"/>
    <cellStyle name="Normal 15" xfId="4286" xr:uid="{00000000-0005-0000-0000-0000EB100000}"/>
    <cellStyle name="Normal 15 2" xfId="4287" xr:uid="{00000000-0005-0000-0000-0000EC100000}"/>
    <cellStyle name="Normal 15 2 2" xfId="4288" xr:uid="{00000000-0005-0000-0000-0000ED100000}"/>
    <cellStyle name="Normal 15 2 3" xfId="4289" xr:uid="{00000000-0005-0000-0000-0000EE100000}"/>
    <cellStyle name="Normal 15 3" xfId="4290" xr:uid="{00000000-0005-0000-0000-0000EF100000}"/>
    <cellStyle name="Normal 15 4" xfId="4291" xr:uid="{00000000-0005-0000-0000-0000F0100000}"/>
    <cellStyle name="Normal 15 5" xfId="4292" xr:uid="{00000000-0005-0000-0000-0000F1100000}"/>
    <cellStyle name="Normal 15 6" xfId="4293" xr:uid="{00000000-0005-0000-0000-0000F2100000}"/>
    <cellStyle name="Normal 15 7" xfId="4294" xr:uid="{00000000-0005-0000-0000-0000F3100000}"/>
    <cellStyle name="Normal 15 7 2" xfId="4295" xr:uid="{00000000-0005-0000-0000-0000F4100000}"/>
    <cellStyle name="Normal 15 7 3" xfId="4296" xr:uid="{00000000-0005-0000-0000-0000F5100000}"/>
    <cellStyle name="Normal 15 8" xfId="4297" xr:uid="{00000000-0005-0000-0000-0000F6100000}"/>
    <cellStyle name="Normal 16" xfId="4298" xr:uid="{00000000-0005-0000-0000-0000F7100000}"/>
    <cellStyle name="Normal 16 2" xfId="4299" xr:uid="{00000000-0005-0000-0000-0000F8100000}"/>
    <cellStyle name="Normal 16 2 2" xfId="4300" xr:uid="{00000000-0005-0000-0000-0000F9100000}"/>
    <cellStyle name="Normal 16 2 3" xfId="4301" xr:uid="{00000000-0005-0000-0000-0000FA100000}"/>
    <cellStyle name="Normal 16 3" xfId="4302" xr:uid="{00000000-0005-0000-0000-0000FB100000}"/>
    <cellStyle name="Normal 16 4" xfId="4303" xr:uid="{00000000-0005-0000-0000-0000FC100000}"/>
    <cellStyle name="Normal 16 5" xfId="4304" xr:uid="{00000000-0005-0000-0000-0000FD100000}"/>
    <cellStyle name="Normal 16 6" xfId="4305" xr:uid="{00000000-0005-0000-0000-0000FE100000}"/>
    <cellStyle name="Normal 16 7" xfId="4306" xr:uid="{00000000-0005-0000-0000-0000FF100000}"/>
    <cellStyle name="Normal 16 7 2" xfId="4307" xr:uid="{00000000-0005-0000-0000-000000110000}"/>
    <cellStyle name="Normal 16 7 3" xfId="4308" xr:uid="{00000000-0005-0000-0000-000001110000}"/>
    <cellStyle name="Normal 16 8" xfId="4309" xr:uid="{00000000-0005-0000-0000-000002110000}"/>
    <cellStyle name="Normal 17" xfId="4310" xr:uid="{00000000-0005-0000-0000-000003110000}"/>
    <cellStyle name="Normal 17 10" xfId="4311" xr:uid="{00000000-0005-0000-0000-000004110000}"/>
    <cellStyle name="Normal 17 11" xfId="4312" xr:uid="{00000000-0005-0000-0000-000005110000}"/>
    <cellStyle name="Normal 17 12" xfId="4313" xr:uid="{00000000-0005-0000-0000-000006110000}"/>
    <cellStyle name="Normal 17 13" xfId="4314" xr:uid="{00000000-0005-0000-0000-000007110000}"/>
    <cellStyle name="Normal 17 14" xfId="4315" xr:uid="{00000000-0005-0000-0000-000008110000}"/>
    <cellStyle name="Normal 17 14 2" xfId="4316" xr:uid="{00000000-0005-0000-0000-000009110000}"/>
    <cellStyle name="Normal 17 14 3" xfId="4317" xr:uid="{00000000-0005-0000-0000-00000A110000}"/>
    <cellStyle name="Normal 17 15" xfId="4318" xr:uid="{00000000-0005-0000-0000-00000B110000}"/>
    <cellStyle name="Normal 17 2" xfId="4319" xr:uid="{00000000-0005-0000-0000-00000C110000}"/>
    <cellStyle name="Normal 17 2 2" xfId="4320" xr:uid="{00000000-0005-0000-0000-00000D110000}"/>
    <cellStyle name="Normal 17 2 3" xfId="4321" xr:uid="{00000000-0005-0000-0000-00000E110000}"/>
    <cellStyle name="Normal 17 3" xfId="4322" xr:uid="{00000000-0005-0000-0000-00000F110000}"/>
    <cellStyle name="Normal 17 4" xfId="4323" xr:uid="{00000000-0005-0000-0000-000010110000}"/>
    <cellStyle name="Normal 17 5" xfId="4324" xr:uid="{00000000-0005-0000-0000-000011110000}"/>
    <cellStyle name="Normal 17 6" xfId="4325" xr:uid="{00000000-0005-0000-0000-000012110000}"/>
    <cellStyle name="Normal 17 7" xfId="4326" xr:uid="{00000000-0005-0000-0000-000013110000}"/>
    <cellStyle name="Normal 17 8" xfId="4327" xr:uid="{00000000-0005-0000-0000-000014110000}"/>
    <cellStyle name="Normal 17 9" xfId="4328" xr:uid="{00000000-0005-0000-0000-000015110000}"/>
    <cellStyle name="Normal 18" xfId="4329" xr:uid="{00000000-0005-0000-0000-000016110000}"/>
    <cellStyle name="Normal 18 2" xfId="4330" xr:uid="{00000000-0005-0000-0000-000017110000}"/>
    <cellStyle name="Normal 18 2 2" xfId="4331" xr:uid="{00000000-0005-0000-0000-000018110000}"/>
    <cellStyle name="Normal 18 2 3" xfId="4332" xr:uid="{00000000-0005-0000-0000-000019110000}"/>
    <cellStyle name="Normal 18 3" xfId="4333" xr:uid="{00000000-0005-0000-0000-00001A110000}"/>
    <cellStyle name="Normal 18 3 2" xfId="4334" xr:uid="{00000000-0005-0000-0000-00001B110000}"/>
    <cellStyle name="Normal 18 4" xfId="4335" xr:uid="{00000000-0005-0000-0000-00001C110000}"/>
    <cellStyle name="Normal 18 5" xfId="4336" xr:uid="{00000000-0005-0000-0000-00001D110000}"/>
    <cellStyle name="Normal 19" xfId="4337" xr:uid="{00000000-0005-0000-0000-00001E110000}"/>
    <cellStyle name="Normal 2" xfId="4338" xr:uid="{00000000-0005-0000-0000-00001F110000}"/>
    <cellStyle name="Normál 2" xfId="4339" xr:uid="{00000000-0005-0000-0000-000020110000}"/>
    <cellStyle name="Normal 2 10" xfId="4340" xr:uid="{00000000-0005-0000-0000-000021110000}"/>
    <cellStyle name="Normal 2 10 2" xfId="4341" xr:uid="{00000000-0005-0000-0000-000022110000}"/>
    <cellStyle name="Normal 2 10 3" xfId="4342" xr:uid="{00000000-0005-0000-0000-000023110000}"/>
    <cellStyle name="Normal 2 10 4" xfId="4343" xr:uid="{00000000-0005-0000-0000-000024110000}"/>
    <cellStyle name="Normal 2 11" xfId="4344" xr:uid="{00000000-0005-0000-0000-000025110000}"/>
    <cellStyle name="Normal 2 12" xfId="4345" xr:uid="{00000000-0005-0000-0000-000026110000}"/>
    <cellStyle name="Normal 2 13" xfId="4346" xr:uid="{00000000-0005-0000-0000-000027110000}"/>
    <cellStyle name="Normal 2 14" xfId="4347" xr:uid="{00000000-0005-0000-0000-000028110000}"/>
    <cellStyle name="Normal 2 15" xfId="4348" xr:uid="{00000000-0005-0000-0000-000029110000}"/>
    <cellStyle name="Normal 2 16" xfId="4349" xr:uid="{00000000-0005-0000-0000-00002A110000}"/>
    <cellStyle name="Normal 2 17" xfId="4350" xr:uid="{00000000-0005-0000-0000-00002B110000}"/>
    <cellStyle name="Normal 2 18" xfId="4351" xr:uid="{00000000-0005-0000-0000-00002C110000}"/>
    <cellStyle name="Normal 2 18 2" xfId="4352" xr:uid="{00000000-0005-0000-0000-00002D110000}"/>
    <cellStyle name="Normal 2 18 2 2" xfId="4353" xr:uid="{00000000-0005-0000-0000-00002E110000}"/>
    <cellStyle name="Normal 2 18 3" xfId="4354" xr:uid="{00000000-0005-0000-0000-00002F110000}"/>
    <cellStyle name="Normal 2 18 4" xfId="4355" xr:uid="{00000000-0005-0000-0000-000030110000}"/>
    <cellStyle name="Normal 2 18 5" xfId="4356" xr:uid="{00000000-0005-0000-0000-000031110000}"/>
    <cellStyle name="Normal 2 19" xfId="4357" xr:uid="{00000000-0005-0000-0000-000032110000}"/>
    <cellStyle name="Normal 2 2" xfId="4358" xr:uid="{00000000-0005-0000-0000-000033110000}"/>
    <cellStyle name="Normal 2 2 10" xfId="4359" xr:uid="{00000000-0005-0000-0000-000034110000}"/>
    <cellStyle name="Normal 2 2 10 2" xfId="4360" xr:uid="{00000000-0005-0000-0000-000035110000}"/>
    <cellStyle name="Normal 2 2 10 2 2" xfId="4361" xr:uid="{00000000-0005-0000-0000-000036110000}"/>
    <cellStyle name="Normal 2 2 10 3" xfId="4362" xr:uid="{00000000-0005-0000-0000-000037110000}"/>
    <cellStyle name="Normal 2 2 11" xfId="4363" xr:uid="{00000000-0005-0000-0000-000038110000}"/>
    <cellStyle name="Normal 2 2 11 2" xfId="4364" xr:uid="{00000000-0005-0000-0000-000039110000}"/>
    <cellStyle name="Normal 2 2 11 2 2" xfId="4365" xr:uid="{00000000-0005-0000-0000-00003A110000}"/>
    <cellStyle name="Normal 2 2 11 3" xfId="4366" xr:uid="{00000000-0005-0000-0000-00003B110000}"/>
    <cellStyle name="Normal 2 2 12" xfId="4367" xr:uid="{00000000-0005-0000-0000-00003C110000}"/>
    <cellStyle name="Normal 2 2 12 2" xfId="4368" xr:uid="{00000000-0005-0000-0000-00003D110000}"/>
    <cellStyle name="Normal 2 2 12 2 2" xfId="4369" xr:uid="{00000000-0005-0000-0000-00003E110000}"/>
    <cellStyle name="Normal 2 2 12 3" xfId="4370" xr:uid="{00000000-0005-0000-0000-00003F110000}"/>
    <cellStyle name="Normal 2 2 13" xfId="4371" xr:uid="{00000000-0005-0000-0000-000040110000}"/>
    <cellStyle name="Normal 2 2 13 2" xfId="4372" xr:uid="{00000000-0005-0000-0000-000041110000}"/>
    <cellStyle name="Normal 2 2 13 2 2" xfId="4373" xr:uid="{00000000-0005-0000-0000-000042110000}"/>
    <cellStyle name="Normal 2 2 13 3" xfId="4374" xr:uid="{00000000-0005-0000-0000-000043110000}"/>
    <cellStyle name="Normal 2 2 14" xfId="4375" xr:uid="{00000000-0005-0000-0000-000044110000}"/>
    <cellStyle name="Normal 2 2 14 2" xfId="4376" xr:uid="{00000000-0005-0000-0000-000045110000}"/>
    <cellStyle name="Normal 2 2 14 3" xfId="4377" xr:uid="{00000000-0005-0000-0000-000046110000}"/>
    <cellStyle name="Normal 2 2 15" xfId="4378" xr:uid="{00000000-0005-0000-0000-000047110000}"/>
    <cellStyle name="Normal 2 2 15 2" xfId="4379" xr:uid="{00000000-0005-0000-0000-000048110000}"/>
    <cellStyle name="Normal 2 2 16" xfId="4380" xr:uid="{00000000-0005-0000-0000-000049110000}"/>
    <cellStyle name="Normal 2 2 2" xfId="4381" xr:uid="{00000000-0005-0000-0000-00004A110000}"/>
    <cellStyle name="Normal 2 2 2 2" xfId="4382" xr:uid="{00000000-0005-0000-0000-00004B110000}"/>
    <cellStyle name="Normal 2 2 2 2 2" xfId="4383" xr:uid="{00000000-0005-0000-0000-00004C110000}"/>
    <cellStyle name="Normal 2 2 2 2 3" xfId="4384" xr:uid="{00000000-0005-0000-0000-00004D110000}"/>
    <cellStyle name="Normal 2 2 2 3" xfId="4385" xr:uid="{00000000-0005-0000-0000-00004E110000}"/>
    <cellStyle name="Normal 2 2 2 3 2" xfId="4386" xr:uid="{00000000-0005-0000-0000-00004F110000}"/>
    <cellStyle name="Normal 2 2 2 3 3" xfId="4387" xr:uid="{00000000-0005-0000-0000-000050110000}"/>
    <cellStyle name="Normal 2 2 2 4" xfId="4388" xr:uid="{00000000-0005-0000-0000-000051110000}"/>
    <cellStyle name="Normal 2 2 2 5" xfId="4389" xr:uid="{00000000-0005-0000-0000-000052110000}"/>
    <cellStyle name="Normal 2 2 2 5 2" xfId="4390" xr:uid="{00000000-0005-0000-0000-000053110000}"/>
    <cellStyle name="Normal 2 2 2 6" xfId="4391" xr:uid="{00000000-0005-0000-0000-000054110000}"/>
    <cellStyle name="Normal 2 2 2 6 2" xfId="4392" xr:uid="{00000000-0005-0000-0000-000055110000}"/>
    <cellStyle name="Normal 2 2 2 7" xfId="4393" xr:uid="{00000000-0005-0000-0000-000056110000}"/>
    <cellStyle name="Normal 2 2 2 8" xfId="4394" xr:uid="{00000000-0005-0000-0000-000057110000}"/>
    <cellStyle name="Normal 2 2 3" xfId="4395" xr:uid="{00000000-0005-0000-0000-000058110000}"/>
    <cellStyle name="Normal 2 2 3 2" xfId="4396" xr:uid="{00000000-0005-0000-0000-000059110000}"/>
    <cellStyle name="Normal 2 2 3 2 2" xfId="4397" xr:uid="{00000000-0005-0000-0000-00005A110000}"/>
    <cellStyle name="Normal 2 2 3 2 3" xfId="4398" xr:uid="{00000000-0005-0000-0000-00005B110000}"/>
    <cellStyle name="Normal 2 2 3 2 4" xfId="4399" xr:uid="{00000000-0005-0000-0000-00005C110000}"/>
    <cellStyle name="Normal 2 2 3 3" xfId="4400" xr:uid="{00000000-0005-0000-0000-00005D110000}"/>
    <cellStyle name="Normal 2 2 3 3 2" xfId="4401" xr:uid="{00000000-0005-0000-0000-00005E110000}"/>
    <cellStyle name="Normal 2 2 3 3 3" xfId="4402" xr:uid="{00000000-0005-0000-0000-00005F110000}"/>
    <cellStyle name="Normal 2 2 3 4" xfId="4403" xr:uid="{00000000-0005-0000-0000-000060110000}"/>
    <cellStyle name="Normal 2 2 4" xfId="4404" xr:uid="{00000000-0005-0000-0000-000061110000}"/>
    <cellStyle name="Normal 2 2 4 2" xfId="4405" xr:uid="{00000000-0005-0000-0000-000062110000}"/>
    <cellStyle name="Normal 2 2 4 2 2" xfId="4406" xr:uid="{00000000-0005-0000-0000-000063110000}"/>
    <cellStyle name="Normal 2 2 4 2 3" xfId="4407" xr:uid="{00000000-0005-0000-0000-000064110000}"/>
    <cellStyle name="Normal 2 2 4 3" xfId="4408" xr:uid="{00000000-0005-0000-0000-000065110000}"/>
    <cellStyle name="Normal 2 2 4 3 2" xfId="4409" xr:uid="{00000000-0005-0000-0000-000066110000}"/>
    <cellStyle name="Normal 2 2 4 4" xfId="4410" xr:uid="{00000000-0005-0000-0000-000067110000}"/>
    <cellStyle name="Normal 2 2 4 5" xfId="4411" xr:uid="{00000000-0005-0000-0000-000068110000}"/>
    <cellStyle name="Normal 2 2 5" xfId="4412" xr:uid="{00000000-0005-0000-0000-000069110000}"/>
    <cellStyle name="Normal 2 2 5 2" xfId="4413" xr:uid="{00000000-0005-0000-0000-00006A110000}"/>
    <cellStyle name="Normal 2 2 5 2 2" xfId="4414" xr:uid="{00000000-0005-0000-0000-00006B110000}"/>
    <cellStyle name="Normal 2 2 5 2 3" xfId="4415" xr:uid="{00000000-0005-0000-0000-00006C110000}"/>
    <cellStyle name="Normal 2 2 5 3" xfId="4416" xr:uid="{00000000-0005-0000-0000-00006D110000}"/>
    <cellStyle name="Normal 2 2 5 3 2" xfId="4417" xr:uid="{00000000-0005-0000-0000-00006E110000}"/>
    <cellStyle name="Normal 2 2 5 4" xfId="4418" xr:uid="{00000000-0005-0000-0000-00006F110000}"/>
    <cellStyle name="Normal 2 2 5 5" xfId="4419" xr:uid="{00000000-0005-0000-0000-000070110000}"/>
    <cellStyle name="Normal 2 2 6" xfId="4420" xr:uid="{00000000-0005-0000-0000-000071110000}"/>
    <cellStyle name="Normal 2 2 6 2" xfId="4421" xr:uid="{00000000-0005-0000-0000-000072110000}"/>
    <cellStyle name="Normal 2 2 6 2 2" xfId="4422" xr:uid="{00000000-0005-0000-0000-000073110000}"/>
    <cellStyle name="Normal 2 2 6 2 3" xfId="4423" xr:uid="{00000000-0005-0000-0000-000074110000}"/>
    <cellStyle name="Normal 2 2 6 3" xfId="4424" xr:uid="{00000000-0005-0000-0000-000075110000}"/>
    <cellStyle name="Normal 2 2 6 4" xfId="4425" xr:uid="{00000000-0005-0000-0000-000076110000}"/>
    <cellStyle name="Normal 2 2 7" xfId="4426" xr:uid="{00000000-0005-0000-0000-000077110000}"/>
    <cellStyle name="Normal 2 2 7 2" xfId="4427" xr:uid="{00000000-0005-0000-0000-000078110000}"/>
    <cellStyle name="Normal 2 2 7 2 2" xfId="4428" xr:uid="{00000000-0005-0000-0000-000079110000}"/>
    <cellStyle name="Normal 2 2 7 2 3" xfId="4429" xr:uid="{00000000-0005-0000-0000-00007A110000}"/>
    <cellStyle name="Normal 2 2 7 3" xfId="4430" xr:uid="{00000000-0005-0000-0000-00007B110000}"/>
    <cellStyle name="Normal 2 2 7 4" xfId="4431" xr:uid="{00000000-0005-0000-0000-00007C110000}"/>
    <cellStyle name="Normal 2 2 8" xfId="4432" xr:uid="{00000000-0005-0000-0000-00007D110000}"/>
    <cellStyle name="Normal 2 2 8 2" xfId="4433" xr:uid="{00000000-0005-0000-0000-00007E110000}"/>
    <cellStyle name="Normal 2 2 8 2 2" xfId="4434" xr:uid="{00000000-0005-0000-0000-00007F110000}"/>
    <cellStyle name="Normal 2 2 8 2 3" xfId="4435" xr:uid="{00000000-0005-0000-0000-000080110000}"/>
    <cellStyle name="Normal 2 2 8 3" xfId="4436" xr:uid="{00000000-0005-0000-0000-000081110000}"/>
    <cellStyle name="Normal 2 2 8 4" xfId="4437" xr:uid="{00000000-0005-0000-0000-000082110000}"/>
    <cellStyle name="Normal 2 2 9" xfId="4438" xr:uid="{00000000-0005-0000-0000-000083110000}"/>
    <cellStyle name="Normal 2 2 9 2" xfId="4439" xr:uid="{00000000-0005-0000-0000-000084110000}"/>
    <cellStyle name="Normal 2 2 9 2 2" xfId="4440" xr:uid="{00000000-0005-0000-0000-000085110000}"/>
    <cellStyle name="Normal 2 2 9 3" xfId="4441" xr:uid="{00000000-0005-0000-0000-000086110000}"/>
    <cellStyle name="Normal 2 2_ELC" xfId="4442" xr:uid="{00000000-0005-0000-0000-000087110000}"/>
    <cellStyle name="Normal 2 20" xfId="4443" xr:uid="{00000000-0005-0000-0000-000088110000}"/>
    <cellStyle name="Normal 2 21" xfId="4444" xr:uid="{00000000-0005-0000-0000-000089110000}"/>
    <cellStyle name="Normal 2 22" xfId="4445" xr:uid="{00000000-0005-0000-0000-00008A110000}"/>
    <cellStyle name="Normal 2 23" xfId="4446" xr:uid="{00000000-0005-0000-0000-00008B110000}"/>
    <cellStyle name="Normal 2 24" xfId="4447" xr:uid="{00000000-0005-0000-0000-00008C110000}"/>
    <cellStyle name="Normal 2 25" xfId="4448" xr:uid="{00000000-0005-0000-0000-00008D110000}"/>
    <cellStyle name="Normal 2 26" xfId="4449" xr:uid="{00000000-0005-0000-0000-00008E110000}"/>
    <cellStyle name="Normal 2 27" xfId="4450" xr:uid="{00000000-0005-0000-0000-00008F110000}"/>
    <cellStyle name="Normal 2 28" xfId="4451" xr:uid="{00000000-0005-0000-0000-000090110000}"/>
    <cellStyle name="Normal 2 29" xfId="4452" xr:uid="{00000000-0005-0000-0000-000091110000}"/>
    <cellStyle name="Normal 2 3" xfId="4453" xr:uid="{00000000-0005-0000-0000-000092110000}"/>
    <cellStyle name="Normal 2 3 10" xfId="4454" xr:uid="{00000000-0005-0000-0000-000093110000}"/>
    <cellStyle name="Normal 2 3 10 2" xfId="4455" xr:uid="{00000000-0005-0000-0000-000094110000}"/>
    <cellStyle name="Normal 2 3 10 2 2" xfId="4456" xr:uid="{00000000-0005-0000-0000-000095110000}"/>
    <cellStyle name="Normal 2 3 10 3" xfId="4457" xr:uid="{00000000-0005-0000-0000-000096110000}"/>
    <cellStyle name="Normal 2 3 11" xfId="4458" xr:uid="{00000000-0005-0000-0000-000097110000}"/>
    <cellStyle name="Normal 2 3 11 2" xfId="4459" xr:uid="{00000000-0005-0000-0000-000098110000}"/>
    <cellStyle name="Normal 2 3 11 2 2" xfId="4460" xr:uid="{00000000-0005-0000-0000-000099110000}"/>
    <cellStyle name="Normal 2 3 11 3" xfId="4461" xr:uid="{00000000-0005-0000-0000-00009A110000}"/>
    <cellStyle name="Normal 2 3 12" xfId="4462" xr:uid="{00000000-0005-0000-0000-00009B110000}"/>
    <cellStyle name="Normal 2 3 12 2" xfId="4463" xr:uid="{00000000-0005-0000-0000-00009C110000}"/>
    <cellStyle name="Normal 2 3 12 2 2" xfId="4464" xr:uid="{00000000-0005-0000-0000-00009D110000}"/>
    <cellStyle name="Normal 2 3 12 3" xfId="4465" xr:uid="{00000000-0005-0000-0000-00009E110000}"/>
    <cellStyle name="Normal 2 3 13" xfId="4466" xr:uid="{00000000-0005-0000-0000-00009F110000}"/>
    <cellStyle name="Normal 2 3 13 2" xfId="4467" xr:uid="{00000000-0005-0000-0000-0000A0110000}"/>
    <cellStyle name="Normal 2 3 13 2 2" xfId="4468" xr:uid="{00000000-0005-0000-0000-0000A1110000}"/>
    <cellStyle name="Normal 2 3 13 3" xfId="4469" xr:uid="{00000000-0005-0000-0000-0000A2110000}"/>
    <cellStyle name="Normal 2 3 14" xfId="4470" xr:uid="{00000000-0005-0000-0000-0000A3110000}"/>
    <cellStyle name="Normal 2 3 2" xfId="4471" xr:uid="{00000000-0005-0000-0000-0000A4110000}"/>
    <cellStyle name="Normal 2 3 2 2" xfId="4472" xr:uid="{00000000-0005-0000-0000-0000A5110000}"/>
    <cellStyle name="Normal 2 3 2 2 2" xfId="4473" xr:uid="{00000000-0005-0000-0000-0000A6110000}"/>
    <cellStyle name="Normal 2 3 2 2 2 2" xfId="4474" xr:uid="{00000000-0005-0000-0000-0000A7110000}"/>
    <cellStyle name="Normal 2 3 2 2 3" xfId="4475" xr:uid="{00000000-0005-0000-0000-0000A8110000}"/>
    <cellStyle name="Normal 2 3 2 2 3 2" xfId="4476" xr:uid="{00000000-0005-0000-0000-0000A9110000}"/>
    <cellStyle name="Normal 2 3 2 2 4" xfId="4477" xr:uid="{00000000-0005-0000-0000-0000AA110000}"/>
    <cellStyle name="Normal 2 3 2 2 5" xfId="4478" xr:uid="{00000000-0005-0000-0000-0000AB110000}"/>
    <cellStyle name="Normal 2 3 2 3" xfId="4479" xr:uid="{00000000-0005-0000-0000-0000AC110000}"/>
    <cellStyle name="Normal 2 3 2 3 2" xfId="4480" xr:uid="{00000000-0005-0000-0000-0000AD110000}"/>
    <cellStyle name="Normal 2 3 2 4" xfId="4481" xr:uid="{00000000-0005-0000-0000-0000AE110000}"/>
    <cellStyle name="Normal 2 3 2 4 2" xfId="4482" xr:uid="{00000000-0005-0000-0000-0000AF110000}"/>
    <cellStyle name="Normal 2 3 2 5" xfId="4483" xr:uid="{00000000-0005-0000-0000-0000B0110000}"/>
    <cellStyle name="Normal 2 3 2 5 2" xfId="4484" xr:uid="{00000000-0005-0000-0000-0000B1110000}"/>
    <cellStyle name="Normal 2 3 2 6" xfId="4485" xr:uid="{00000000-0005-0000-0000-0000B2110000}"/>
    <cellStyle name="Normal 2 3 2 6 2" xfId="4486" xr:uid="{00000000-0005-0000-0000-0000B3110000}"/>
    <cellStyle name="Normal 2 3 2 7" xfId="4487" xr:uid="{00000000-0005-0000-0000-0000B4110000}"/>
    <cellStyle name="Normal 2 3 2 8" xfId="4488" xr:uid="{00000000-0005-0000-0000-0000B5110000}"/>
    <cellStyle name="Normal 2 3 3" xfId="4489" xr:uid="{00000000-0005-0000-0000-0000B6110000}"/>
    <cellStyle name="Normal 2 3 3 2" xfId="4490" xr:uid="{00000000-0005-0000-0000-0000B7110000}"/>
    <cellStyle name="Normal 2 3 3 2 2" xfId="4491" xr:uid="{00000000-0005-0000-0000-0000B8110000}"/>
    <cellStyle name="Normal 2 3 3 2 3" xfId="4492" xr:uid="{00000000-0005-0000-0000-0000B9110000}"/>
    <cellStyle name="Normal 2 3 3 2 4" xfId="4493" xr:uid="{00000000-0005-0000-0000-0000BA110000}"/>
    <cellStyle name="Normal 2 3 3 3" xfId="4494" xr:uid="{00000000-0005-0000-0000-0000BB110000}"/>
    <cellStyle name="Normal 2 3 3 3 2" xfId="4495" xr:uid="{00000000-0005-0000-0000-0000BC110000}"/>
    <cellStyle name="Normal 2 3 3 3 3" xfId="4496" xr:uid="{00000000-0005-0000-0000-0000BD110000}"/>
    <cellStyle name="Normal 2 3 3 4" xfId="4497" xr:uid="{00000000-0005-0000-0000-0000BE110000}"/>
    <cellStyle name="Normal 2 3 4" xfId="4498" xr:uid="{00000000-0005-0000-0000-0000BF110000}"/>
    <cellStyle name="Normal 2 3 4 2" xfId="4499" xr:uid="{00000000-0005-0000-0000-0000C0110000}"/>
    <cellStyle name="Normal 2 3 4 2 2" xfId="4500" xr:uid="{00000000-0005-0000-0000-0000C1110000}"/>
    <cellStyle name="Normal 2 3 4 2 2 2" xfId="4501" xr:uid="{00000000-0005-0000-0000-0000C2110000}"/>
    <cellStyle name="Normal 2 3 4 2 3" xfId="4502" xr:uid="{00000000-0005-0000-0000-0000C3110000}"/>
    <cellStyle name="Normal 2 3 4 2 4" xfId="4503" xr:uid="{00000000-0005-0000-0000-0000C4110000}"/>
    <cellStyle name="Normal 2 3 4 3" xfId="4504" xr:uid="{00000000-0005-0000-0000-0000C5110000}"/>
    <cellStyle name="Normal 2 3 4 3 2" xfId="4505" xr:uid="{00000000-0005-0000-0000-0000C6110000}"/>
    <cellStyle name="Normal 2 3 4 4" xfId="4506" xr:uid="{00000000-0005-0000-0000-0000C7110000}"/>
    <cellStyle name="Normal 2 3 4 4 2" xfId="4507" xr:uid="{00000000-0005-0000-0000-0000C8110000}"/>
    <cellStyle name="Normal 2 3 4 5" xfId="4508" xr:uid="{00000000-0005-0000-0000-0000C9110000}"/>
    <cellStyle name="Normal 2 3 4 5 2" xfId="4509" xr:uid="{00000000-0005-0000-0000-0000CA110000}"/>
    <cellStyle name="Normal 2 3 4 6" xfId="4510" xr:uid="{00000000-0005-0000-0000-0000CB110000}"/>
    <cellStyle name="Normal 2 3 4 7" xfId="4511" xr:uid="{00000000-0005-0000-0000-0000CC110000}"/>
    <cellStyle name="Normal 2 3 5" xfId="4512" xr:uid="{00000000-0005-0000-0000-0000CD110000}"/>
    <cellStyle name="Normal 2 3 5 2" xfId="4513" xr:uid="{00000000-0005-0000-0000-0000CE110000}"/>
    <cellStyle name="Normal 2 3 5 2 2" xfId="4514" xr:uid="{00000000-0005-0000-0000-0000CF110000}"/>
    <cellStyle name="Normal 2 3 5 2 3" xfId="4515" xr:uid="{00000000-0005-0000-0000-0000D0110000}"/>
    <cellStyle name="Normal 2 3 5 3" xfId="4516" xr:uid="{00000000-0005-0000-0000-0000D1110000}"/>
    <cellStyle name="Normal 2 3 5 3 2" xfId="4517" xr:uid="{00000000-0005-0000-0000-0000D2110000}"/>
    <cellStyle name="Normal 2 3 5 4" xfId="4518" xr:uid="{00000000-0005-0000-0000-0000D3110000}"/>
    <cellStyle name="Normal 2 3 5 5" xfId="4519" xr:uid="{00000000-0005-0000-0000-0000D4110000}"/>
    <cellStyle name="Normal 2 3 6" xfId="4520" xr:uid="{00000000-0005-0000-0000-0000D5110000}"/>
    <cellStyle name="Normal 2 3 6 2" xfId="4521" xr:uid="{00000000-0005-0000-0000-0000D6110000}"/>
    <cellStyle name="Normal 2 3 6 2 2" xfId="4522" xr:uid="{00000000-0005-0000-0000-0000D7110000}"/>
    <cellStyle name="Normal 2 3 6 2 3" xfId="4523" xr:uid="{00000000-0005-0000-0000-0000D8110000}"/>
    <cellStyle name="Normal 2 3 6 3" xfId="4524" xr:uid="{00000000-0005-0000-0000-0000D9110000}"/>
    <cellStyle name="Normal 2 3 6 3 2" xfId="4525" xr:uid="{00000000-0005-0000-0000-0000DA110000}"/>
    <cellStyle name="Normal 2 3 6 4" xfId="4526" xr:uid="{00000000-0005-0000-0000-0000DB110000}"/>
    <cellStyle name="Normal 2 3 6 5" xfId="4527" xr:uid="{00000000-0005-0000-0000-0000DC110000}"/>
    <cellStyle name="Normal 2 3 7" xfId="4528" xr:uid="{00000000-0005-0000-0000-0000DD110000}"/>
    <cellStyle name="Normal 2 3 7 2" xfId="4529" xr:uid="{00000000-0005-0000-0000-0000DE110000}"/>
    <cellStyle name="Normal 2 3 7 2 2" xfId="4530" xr:uid="{00000000-0005-0000-0000-0000DF110000}"/>
    <cellStyle name="Normal 2 3 7 3" xfId="4531" xr:uid="{00000000-0005-0000-0000-0000E0110000}"/>
    <cellStyle name="Normal 2 3 8" xfId="4532" xr:uid="{00000000-0005-0000-0000-0000E1110000}"/>
    <cellStyle name="Normal 2 3 8 2" xfId="4533" xr:uid="{00000000-0005-0000-0000-0000E2110000}"/>
    <cellStyle name="Normal 2 3 8 2 2" xfId="4534" xr:uid="{00000000-0005-0000-0000-0000E3110000}"/>
    <cellStyle name="Normal 2 3 8 3" xfId="4535" xr:uid="{00000000-0005-0000-0000-0000E4110000}"/>
    <cellStyle name="Normal 2 3 9" xfId="4536" xr:uid="{00000000-0005-0000-0000-0000E5110000}"/>
    <cellStyle name="Normal 2 3 9 2" xfId="4537" xr:uid="{00000000-0005-0000-0000-0000E6110000}"/>
    <cellStyle name="Normal 2 3 9 2 2" xfId="4538" xr:uid="{00000000-0005-0000-0000-0000E7110000}"/>
    <cellStyle name="Normal 2 3 9 3" xfId="4539" xr:uid="{00000000-0005-0000-0000-0000E8110000}"/>
    <cellStyle name="Normal 2 30" xfId="4540" xr:uid="{00000000-0005-0000-0000-0000E9110000}"/>
    <cellStyle name="Normal 2 31" xfId="4541" xr:uid="{00000000-0005-0000-0000-0000EA110000}"/>
    <cellStyle name="Normal 2 32" xfId="4542" xr:uid="{00000000-0005-0000-0000-0000EB110000}"/>
    <cellStyle name="Normal 2 33" xfId="4543" xr:uid="{00000000-0005-0000-0000-0000EC110000}"/>
    <cellStyle name="Normal 2 34" xfId="4544" xr:uid="{00000000-0005-0000-0000-0000ED110000}"/>
    <cellStyle name="Normal 2 35" xfId="4545" xr:uid="{00000000-0005-0000-0000-0000EE110000}"/>
    <cellStyle name="Normal 2 36" xfId="4546" xr:uid="{00000000-0005-0000-0000-0000EF110000}"/>
    <cellStyle name="Normal 2 37" xfId="4547" xr:uid="{00000000-0005-0000-0000-0000F0110000}"/>
    <cellStyle name="Normal 2 38" xfId="4548" xr:uid="{00000000-0005-0000-0000-0000F1110000}"/>
    <cellStyle name="Normal 2 39" xfId="4549" xr:uid="{00000000-0005-0000-0000-0000F2110000}"/>
    <cellStyle name="Normal 2 4" xfId="4550" xr:uid="{00000000-0005-0000-0000-0000F3110000}"/>
    <cellStyle name="Normal 2 4 10" xfId="4551" xr:uid="{00000000-0005-0000-0000-0000F4110000}"/>
    <cellStyle name="Normal 2 4 10 2" xfId="4552" xr:uid="{00000000-0005-0000-0000-0000F5110000}"/>
    <cellStyle name="Normal 2 4 10 2 2" xfId="4553" xr:uid="{00000000-0005-0000-0000-0000F6110000}"/>
    <cellStyle name="Normal 2 4 10 3" xfId="4554" xr:uid="{00000000-0005-0000-0000-0000F7110000}"/>
    <cellStyle name="Normal 2 4 11" xfId="4555" xr:uid="{00000000-0005-0000-0000-0000F8110000}"/>
    <cellStyle name="Normal 2 4 11 2" xfId="4556" xr:uid="{00000000-0005-0000-0000-0000F9110000}"/>
    <cellStyle name="Normal 2 4 11 2 2" xfId="4557" xr:uid="{00000000-0005-0000-0000-0000FA110000}"/>
    <cellStyle name="Normal 2 4 11 3" xfId="4558" xr:uid="{00000000-0005-0000-0000-0000FB110000}"/>
    <cellStyle name="Normal 2 4 12" xfId="4559" xr:uid="{00000000-0005-0000-0000-0000FC110000}"/>
    <cellStyle name="Normal 2 4 12 2" xfId="4560" xr:uid="{00000000-0005-0000-0000-0000FD110000}"/>
    <cellStyle name="Normal 2 4 12 2 2" xfId="4561" xr:uid="{00000000-0005-0000-0000-0000FE110000}"/>
    <cellStyle name="Normal 2 4 12 3" xfId="4562" xr:uid="{00000000-0005-0000-0000-0000FF110000}"/>
    <cellStyle name="Normal 2 4 13" xfId="4563" xr:uid="{00000000-0005-0000-0000-000000120000}"/>
    <cellStyle name="Normal 2 4 13 2" xfId="4564" xr:uid="{00000000-0005-0000-0000-000001120000}"/>
    <cellStyle name="Normal 2 4 13 2 2" xfId="4565" xr:uid="{00000000-0005-0000-0000-000002120000}"/>
    <cellStyle name="Normal 2 4 13 3" xfId="4566" xr:uid="{00000000-0005-0000-0000-000003120000}"/>
    <cellStyle name="Normal 2 4 14" xfId="4567" xr:uid="{00000000-0005-0000-0000-000004120000}"/>
    <cellStyle name="Normal 2 4 2" xfId="4568" xr:uid="{00000000-0005-0000-0000-000005120000}"/>
    <cellStyle name="Normal 2 4 2 2" xfId="4569" xr:uid="{00000000-0005-0000-0000-000006120000}"/>
    <cellStyle name="Normal 2 4 2 2 2" xfId="4570" xr:uid="{00000000-0005-0000-0000-000007120000}"/>
    <cellStyle name="Normal 2 4 2 2 3" xfId="4571" xr:uid="{00000000-0005-0000-0000-000008120000}"/>
    <cellStyle name="Normal 2 4 2 3" xfId="4572" xr:uid="{00000000-0005-0000-0000-000009120000}"/>
    <cellStyle name="Normal 2 4 2 4" xfId="4573" xr:uid="{00000000-0005-0000-0000-00000A120000}"/>
    <cellStyle name="Normal 2 4 3" xfId="4574" xr:uid="{00000000-0005-0000-0000-00000B120000}"/>
    <cellStyle name="Normal 2 4 3 2" xfId="4575" xr:uid="{00000000-0005-0000-0000-00000C120000}"/>
    <cellStyle name="Normal 2 4 3 2 2" xfId="4576" xr:uid="{00000000-0005-0000-0000-00000D120000}"/>
    <cellStyle name="Normal 2 4 3 2 3" xfId="4577" xr:uid="{00000000-0005-0000-0000-00000E120000}"/>
    <cellStyle name="Normal 2 4 3 3" xfId="4578" xr:uid="{00000000-0005-0000-0000-00000F120000}"/>
    <cellStyle name="Normal 2 4 3 4" xfId="4579" xr:uid="{00000000-0005-0000-0000-000010120000}"/>
    <cellStyle name="Normal 2 4 4" xfId="4580" xr:uid="{00000000-0005-0000-0000-000011120000}"/>
    <cellStyle name="Normal 2 4 4 2" xfId="4581" xr:uid="{00000000-0005-0000-0000-000012120000}"/>
    <cellStyle name="Normal 2 4 4 2 2" xfId="4582" xr:uid="{00000000-0005-0000-0000-000013120000}"/>
    <cellStyle name="Normal 2 4 4 2 3" xfId="4583" xr:uid="{00000000-0005-0000-0000-000014120000}"/>
    <cellStyle name="Normal 2 4 4 3" xfId="4584" xr:uid="{00000000-0005-0000-0000-000015120000}"/>
    <cellStyle name="Normal 2 4 4 4" xfId="4585" xr:uid="{00000000-0005-0000-0000-000016120000}"/>
    <cellStyle name="Normal 2 4 5" xfId="4586" xr:uid="{00000000-0005-0000-0000-000017120000}"/>
    <cellStyle name="Normal 2 4 5 2" xfId="4587" xr:uid="{00000000-0005-0000-0000-000018120000}"/>
    <cellStyle name="Normal 2 4 5 2 2" xfId="4588" xr:uid="{00000000-0005-0000-0000-000019120000}"/>
    <cellStyle name="Normal 2 4 5 2 3" xfId="4589" xr:uid="{00000000-0005-0000-0000-00001A120000}"/>
    <cellStyle name="Normal 2 4 5 3" xfId="4590" xr:uid="{00000000-0005-0000-0000-00001B120000}"/>
    <cellStyle name="Normal 2 4 5 4" xfId="4591" xr:uid="{00000000-0005-0000-0000-00001C120000}"/>
    <cellStyle name="Normal 2 4 6" xfId="4592" xr:uid="{00000000-0005-0000-0000-00001D120000}"/>
    <cellStyle name="Normal 2 4 6 2" xfId="4593" xr:uid="{00000000-0005-0000-0000-00001E120000}"/>
    <cellStyle name="Normal 2 4 6 2 2" xfId="4594" xr:uid="{00000000-0005-0000-0000-00001F120000}"/>
    <cellStyle name="Normal 2 4 6 3" xfId="4595" xr:uid="{00000000-0005-0000-0000-000020120000}"/>
    <cellStyle name="Normal 2 4 7" xfId="4596" xr:uid="{00000000-0005-0000-0000-000021120000}"/>
    <cellStyle name="Normal 2 4 7 2" xfId="4597" xr:uid="{00000000-0005-0000-0000-000022120000}"/>
    <cellStyle name="Normal 2 4 7 2 2" xfId="4598" xr:uid="{00000000-0005-0000-0000-000023120000}"/>
    <cellStyle name="Normal 2 4 7 3" xfId="4599" xr:uid="{00000000-0005-0000-0000-000024120000}"/>
    <cellStyle name="Normal 2 4 8" xfId="4600" xr:uid="{00000000-0005-0000-0000-000025120000}"/>
    <cellStyle name="Normal 2 4 8 2" xfId="4601" xr:uid="{00000000-0005-0000-0000-000026120000}"/>
    <cellStyle name="Normal 2 4 8 2 2" xfId="4602" xr:uid="{00000000-0005-0000-0000-000027120000}"/>
    <cellStyle name="Normal 2 4 8 3" xfId="4603" xr:uid="{00000000-0005-0000-0000-000028120000}"/>
    <cellStyle name="Normal 2 4 9" xfId="4604" xr:uid="{00000000-0005-0000-0000-000029120000}"/>
    <cellStyle name="Normal 2 4 9 2" xfId="4605" xr:uid="{00000000-0005-0000-0000-00002A120000}"/>
    <cellStyle name="Normal 2 4 9 2 2" xfId="4606" xr:uid="{00000000-0005-0000-0000-00002B120000}"/>
    <cellStyle name="Normal 2 4 9 3" xfId="4607" xr:uid="{00000000-0005-0000-0000-00002C120000}"/>
    <cellStyle name="Normal 2 40" xfId="4608" xr:uid="{00000000-0005-0000-0000-00002D120000}"/>
    <cellStyle name="Normal 2 41" xfId="4609" xr:uid="{00000000-0005-0000-0000-00002E120000}"/>
    <cellStyle name="Normal 2 42" xfId="4610" xr:uid="{00000000-0005-0000-0000-00002F120000}"/>
    <cellStyle name="Normal 2 43" xfId="4611" xr:uid="{00000000-0005-0000-0000-000030120000}"/>
    <cellStyle name="Normal 2 44" xfId="4612" xr:uid="{00000000-0005-0000-0000-000031120000}"/>
    <cellStyle name="Normal 2 45" xfId="4613" xr:uid="{00000000-0005-0000-0000-000032120000}"/>
    <cellStyle name="Normal 2 45 2" xfId="4614" xr:uid="{00000000-0005-0000-0000-000033120000}"/>
    <cellStyle name="Normal 2 46" xfId="4615" xr:uid="{00000000-0005-0000-0000-000034120000}"/>
    <cellStyle name="Normal 2 46 2" xfId="4616" xr:uid="{00000000-0005-0000-0000-000035120000}"/>
    <cellStyle name="Normal 2 47" xfId="4617" xr:uid="{00000000-0005-0000-0000-000036120000}"/>
    <cellStyle name="Normal 2 47 2" xfId="4618" xr:uid="{00000000-0005-0000-0000-000037120000}"/>
    <cellStyle name="Normal 2 48" xfId="4619" xr:uid="{00000000-0005-0000-0000-000038120000}"/>
    <cellStyle name="Normal 2 48 2" xfId="4620" xr:uid="{00000000-0005-0000-0000-000039120000}"/>
    <cellStyle name="Normal 2 49" xfId="4621" xr:uid="{00000000-0005-0000-0000-00003A120000}"/>
    <cellStyle name="Normal 2 5" xfId="4622" xr:uid="{00000000-0005-0000-0000-00003B120000}"/>
    <cellStyle name="Normal 2 5 10" xfId="4623" xr:uid="{00000000-0005-0000-0000-00003C120000}"/>
    <cellStyle name="Normal 2 5 11" xfId="4624" xr:uid="{00000000-0005-0000-0000-00003D120000}"/>
    <cellStyle name="Normal 2 5 12" xfId="4625" xr:uid="{00000000-0005-0000-0000-00003E120000}"/>
    <cellStyle name="Normal 2 5 13" xfId="4626" xr:uid="{00000000-0005-0000-0000-00003F120000}"/>
    <cellStyle name="Normal 2 5 14" xfId="4627" xr:uid="{00000000-0005-0000-0000-000040120000}"/>
    <cellStyle name="Normal 2 5 15" xfId="4628" xr:uid="{00000000-0005-0000-0000-000041120000}"/>
    <cellStyle name="Normal 2 5 16" xfId="4629" xr:uid="{00000000-0005-0000-0000-000042120000}"/>
    <cellStyle name="Normal 2 5 17" xfId="4630" xr:uid="{00000000-0005-0000-0000-000043120000}"/>
    <cellStyle name="Normal 2 5 18" xfId="4631" xr:uid="{00000000-0005-0000-0000-000044120000}"/>
    <cellStyle name="Normal 2 5 2" xfId="4632" xr:uid="{00000000-0005-0000-0000-000045120000}"/>
    <cellStyle name="Normal 2 5 2 2" xfId="4633" xr:uid="{00000000-0005-0000-0000-000046120000}"/>
    <cellStyle name="Normal 2 5 2 2 2" xfId="4634" xr:uid="{00000000-0005-0000-0000-000047120000}"/>
    <cellStyle name="Normal 2 5 2 2 3" xfId="4635" xr:uid="{00000000-0005-0000-0000-000048120000}"/>
    <cellStyle name="Normal 2 5 2 3" xfId="4636" xr:uid="{00000000-0005-0000-0000-000049120000}"/>
    <cellStyle name="Normal 2 5 2 3 2" xfId="4637" xr:uid="{00000000-0005-0000-0000-00004A120000}"/>
    <cellStyle name="Normal 2 5 2 4" xfId="4638" xr:uid="{00000000-0005-0000-0000-00004B120000}"/>
    <cellStyle name="Normal 2 5 2 4 2" xfId="4639" xr:uid="{00000000-0005-0000-0000-00004C120000}"/>
    <cellStyle name="Normal 2 5 2 5" xfId="4640" xr:uid="{00000000-0005-0000-0000-00004D120000}"/>
    <cellStyle name="Normal 2 5 2 5 2" xfId="4641" xr:uid="{00000000-0005-0000-0000-00004E120000}"/>
    <cellStyle name="Normal 2 5 2 6" xfId="4642" xr:uid="{00000000-0005-0000-0000-00004F120000}"/>
    <cellStyle name="Normal 2 5 2 7" xfId="4643" xr:uid="{00000000-0005-0000-0000-000050120000}"/>
    <cellStyle name="Normal 2 5 2 8" xfId="4644" xr:uid="{00000000-0005-0000-0000-000051120000}"/>
    <cellStyle name="Normal 2 5 3" xfId="4645" xr:uid="{00000000-0005-0000-0000-000052120000}"/>
    <cellStyle name="Normal 2 5 4" xfId="4646" xr:uid="{00000000-0005-0000-0000-000053120000}"/>
    <cellStyle name="Normal 2 5 5" xfId="4647" xr:uid="{00000000-0005-0000-0000-000054120000}"/>
    <cellStyle name="Normal 2 5 6" xfId="4648" xr:uid="{00000000-0005-0000-0000-000055120000}"/>
    <cellStyle name="Normal 2 5 7" xfId="4649" xr:uid="{00000000-0005-0000-0000-000056120000}"/>
    <cellStyle name="Normal 2 5 8" xfId="4650" xr:uid="{00000000-0005-0000-0000-000057120000}"/>
    <cellStyle name="Normal 2 5 9" xfId="4651" xr:uid="{00000000-0005-0000-0000-000058120000}"/>
    <cellStyle name="Normal 2 6" xfId="4652" xr:uid="{00000000-0005-0000-0000-000059120000}"/>
    <cellStyle name="Normal 2 6 10" xfId="4653" xr:uid="{00000000-0005-0000-0000-00005A120000}"/>
    <cellStyle name="Normal 2 6 11" xfId="4654" xr:uid="{00000000-0005-0000-0000-00005B120000}"/>
    <cellStyle name="Normal 2 6 12" xfId="4655" xr:uid="{00000000-0005-0000-0000-00005C120000}"/>
    <cellStyle name="Normal 2 6 13" xfId="4656" xr:uid="{00000000-0005-0000-0000-00005D120000}"/>
    <cellStyle name="Normal 2 6 14" xfId="4657" xr:uid="{00000000-0005-0000-0000-00005E120000}"/>
    <cellStyle name="Normal 2 6 15" xfId="4658" xr:uid="{00000000-0005-0000-0000-00005F120000}"/>
    <cellStyle name="Normal 2 6 16" xfId="4659" xr:uid="{00000000-0005-0000-0000-000060120000}"/>
    <cellStyle name="Normal 2 6 17" xfId="4660" xr:uid="{00000000-0005-0000-0000-000061120000}"/>
    <cellStyle name="Normal 2 6 17 2" xfId="4661" xr:uid="{00000000-0005-0000-0000-000062120000}"/>
    <cellStyle name="Normal 2 6 18" xfId="4662" xr:uid="{00000000-0005-0000-0000-000063120000}"/>
    <cellStyle name="Normal 2 6 18 2" xfId="4663" xr:uid="{00000000-0005-0000-0000-000064120000}"/>
    <cellStyle name="Normal 2 6 19" xfId="4664" xr:uid="{00000000-0005-0000-0000-000065120000}"/>
    <cellStyle name="Normal 2 6 2" xfId="4665" xr:uid="{00000000-0005-0000-0000-000066120000}"/>
    <cellStyle name="Normal 2 6 2 2" xfId="4666" xr:uid="{00000000-0005-0000-0000-000067120000}"/>
    <cellStyle name="Normal 2 6 2 3" xfId="4667" xr:uid="{00000000-0005-0000-0000-000068120000}"/>
    <cellStyle name="Normal 2 6 2 3 2" xfId="4668" xr:uid="{00000000-0005-0000-0000-000069120000}"/>
    <cellStyle name="Normal 2 6 2 4" xfId="4669" xr:uid="{00000000-0005-0000-0000-00006A120000}"/>
    <cellStyle name="Normal 2 6 2 4 2" xfId="4670" xr:uid="{00000000-0005-0000-0000-00006B120000}"/>
    <cellStyle name="Normal 2 6 2 5" xfId="4671" xr:uid="{00000000-0005-0000-0000-00006C120000}"/>
    <cellStyle name="Normal 2 6 2 6" xfId="4672" xr:uid="{00000000-0005-0000-0000-00006D120000}"/>
    <cellStyle name="Normal 2 6 20" xfId="4673" xr:uid="{00000000-0005-0000-0000-00006E120000}"/>
    <cellStyle name="Normal 2 6 3" xfId="4674" xr:uid="{00000000-0005-0000-0000-00006F120000}"/>
    <cellStyle name="Normal 2 6 3 2" xfId="4675" xr:uid="{00000000-0005-0000-0000-000070120000}"/>
    <cellStyle name="Normal 2 6 3 3" xfId="4676" xr:uid="{00000000-0005-0000-0000-000071120000}"/>
    <cellStyle name="Normal 2 6 4" xfId="4677" xr:uid="{00000000-0005-0000-0000-000072120000}"/>
    <cellStyle name="Normal 2 6 5" xfId="4678" xr:uid="{00000000-0005-0000-0000-000073120000}"/>
    <cellStyle name="Normal 2 6 6" xfId="4679" xr:uid="{00000000-0005-0000-0000-000074120000}"/>
    <cellStyle name="Normal 2 6 7" xfId="4680" xr:uid="{00000000-0005-0000-0000-000075120000}"/>
    <cellStyle name="Normal 2 6 8" xfId="4681" xr:uid="{00000000-0005-0000-0000-000076120000}"/>
    <cellStyle name="Normal 2 6 9" xfId="4682" xr:uid="{00000000-0005-0000-0000-000077120000}"/>
    <cellStyle name="Normal 2 7" xfId="4683" xr:uid="{00000000-0005-0000-0000-000078120000}"/>
    <cellStyle name="Normal 2 7 2" xfId="4684" xr:uid="{00000000-0005-0000-0000-000079120000}"/>
    <cellStyle name="Normal 2 7 2 2" xfId="4685" xr:uid="{00000000-0005-0000-0000-00007A120000}"/>
    <cellStyle name="Normal 2 7 2 3" xfId="4686" xr:uid="{00000000-0005-0000-0000-00007B120000}"/>
    <cellStyle name="Normal 2 7 3" xfId="4687" xr:uid="{00000000-0005-0000-0000-00007C120000}"/>
    <cellStyle name="Normal 2 8" xfId="4688" xr:uid="{00000000-0005-0000-0000-00007D120000}"/>
    <cellStyle name="Normal 2 8 2" xfId="4689" xr:uid="{00000000-0005-0000-0000-00007E120000}"/>
    <cellStyle name="Normal 2 8 3" xfId="4690" xr:uid="{00000000-0005-0000-0000-00007F120000}"/>
    <cellStyle name="Normal 2 8 4" xfId="4691" xr:uid="{00000000-0005-0000-0000-000080120000}"/>
    <cellStyle name="Normal 2 8 4 2" xfId="4692" xr:uid="{00000000-0005-0000-0000-000081120000}"/>
    <cellStyle name="Normal 2 9" xfId="4693" xr:uid="{00000000-0005-0000-0000-000082120000}"/>
    <cellStyle name="Normal 2 9 2" xfId="4694" xr:uid="{00000000-0005-0000-0000-000083120000}"/>
    <cellStyle name="Normal 2 9 2 2" xfId="4695" xr:uid="{00000000-0005-0000-0000-000084120000}"/>
    <cellStyle name="Normal 2 9 2 3" xfId="4696" xr:uid="{00000000-0005-0000-0000-000085120000}"/>
    <cellStyle name="Normal 2 9 3" xfId="4697" xr:uid="{00000000-0005-0000-0000-000086120000}"/>
    <cellStyle name="Normal 2 9 3 2" xfId="4698" xr:uid="{00000000-0005-0000-0000-000087120000}"/>
    <cellStyle name="Normal 2 9 4" xfId="4699" xr:uid="{00000000-0005-0000-0000-000088120000}"/>
    <cellStyle name="Normal 2 9 5" xfId="4700" xr:uid="{00000000-0005-0000-0000-000089120000}"/>
    <cellStyle name="Normal 2_FILL-ICM" xfId="4701" xr:uid="{00000000-0005-0000-0000-00008A120000}"/>
    <cellStyle name="Normal 20" xfId="4702" xr:uid="{00000000-0005-0000-0000-00008B120000}"/>
    <cellStyle name="Normal 20 2" xfId="4703" xr:uid="{00000000-0005-0000-0000-00008C120000}"/>
    <cellStyle name="Normal 20 3" xfId="4704" xr:uid="{00000000-0005-0000-0000-00008D120000}"/>
    <cellStyle name="Normal 20 4" xfId="4705" xr:uid="{00000000-0005-0000-0000-00008E120000}"/>
    <cellStyle name="Normal 21" xfId="4706" xr:uid="{00000000-0005-0000-0000-00008F120000}"/>
    <cellStyle name="Normal 21 2" xfId="4707" xr:uid="{00000000-0005-0000-0000-000090120000}"/>
    <cellStyle name="Normal 21 3" xfId="4708" xr:uid="{00000000-0005-0000-0000-000091120000}"/>
    <cellStyle name="Normal 21 4" xfId="4709" xr:uid="{00000000-0005-0000-0000-000092120000}"/>
    <cellStyle name="Normal 21 5" xfId="4710" xr:uid="{00000000-0005-0000-0000-000093120000}"/>
    <cellStyle name="Normal 21 6" xfId="4711" xr:uid="{00000000-0005-0000-0000-000094120000}"/>
    <cellStyle name="Normal 21_Scen_XBase" xfId="4712" xr:uid="{00000000-0005-0000-0000-000095120000}"/>
    <cellStyle name="Normal 22" xfId="4713" xr:uid="{00000000-0005-0000-0000-000096120000}"/>
    <cellStyle name="Normal 22 2" xfId="4714" xr:uid="{00000000-0005-0000-0000-000097120000}"/>
    <cellStyle name="Normal 23" xfId="4715" xr:uid="{00000000-0005-0000-0000-000098120000}"/>
    <cellStyle name="Normal 23 2" xfId="4716" xr:uid="{00000000-0005-0000-0000-000099120000}"/>
    <cellStyle name="Normal 23 3" xfId="4717" xr:uid="{00000000-0005-0000-0000-00009A120000}"/>
    <cellStyle name="Normal 23 4" xfId="4718" xr:uid="{00000000-0005-0000-0000-00009B120000}"/>
    <cellStyle name="Normal 23 5" xfId="4719" xr:uid="{00000000-0005-0000-0000-00009C120000}"/>
    <cellStyle name="Normal 24" xfId="4720" xr:uid="{00000000-0005-0000-0000-00009D120000}"/>
    <cellStyle name="Normal 24 10" xfId="4721" xr:uid="{00000000-0005-0000-0000-00009E120000}"/>
    <cellStyle name="Normal 24 11" xfId="4722" xr:uid="{00000000-0005-0000-0000-00009F120000}"/>
    <cellStyle name="Normal 24 12" xfId="4723" xr:uid="{00000000-0005-0000-0000-0000A0120000}"/>
    <cellStyle name="Normal 24 13" xfId="4724" xr:uid="{00000000-0005-0000-0000-0000A1120000}"/>
    <cellStyle name="Normal 24 14" xfId="4725" xr:uid="{00000000-0005-0000-0000-0000A2120000}"/>
    <cellStyle name="Normal 24 15" xfId="4726" xr:uid="{00000000-0005-0000-0000-0000A3120000}"/>
    <cellStyle name="Normal 24 16" xfId="4727" xr:uid="{00000000-0005-0000-0000-0000A4120000}"/>
    <cellStyle name="Normal 24 17" xfId="4728" xr:uid="{00000000-0005-0000-0000-0000A5120000}"/>
    <cellStyle name="Normal 24 18" xfId="4729" xr:uid="{00000000-0005-0000-0000-0000A6120000}"/>
    <cellStyle name="Normal 24 19" xfId="4730" xr:uid="{00000000-0005-0000-0000-0000A7120000}"/>
    <cellStyle name="Normal 24 2" xfId="4731" xr:uid="{00000000-0005-0000-0000-0000A8120000}"/>
    <cellStyle name="Normal 24 20" xfId="4732" xr:uid="{00000000-0005-0000-0000-0000A9120000}"/>
    <cellStyle name="Normal 24 3" xfId="4733" xr:uid="{00000000-0005-0000-0000-0000AA120000}"/>
    <cellStyle name="Normal 24 4" xfId="4734" xr:uid="{00000000-0005-0000-0000-0000AB120000}"/>
    <cellStyle name="Normal 24 5" xfId="4735" xr:uid="{00000000-0005-0000-0000-0000AC120000}"/>
    <cellStyle name="Normal 24 6" xfId="4736" xr:uid="{00000000-0005-0000-0000-0000AD120000}"/>
    <cellStyle name="Normal 24 7" xfId="4737" xr:uid="{00000000-0005-0000-0000-0000AE120000}"/>
    <cellStyle name="Normal 24 8" xfId="4738" xr:uid="{00000000-0005-0000-0000-0000AF120000}"/>
    <cellStyle name="Normal 24 9" xfId="4739" xr:uid="{00000000-0005-0000-0000-0000B0120000}"/>
    <cellStyle name="Normal 25" xfId="4740" xr:uid="{00000000-0005-0000-0000-0000B1120000}"/>
    <cellStyle name="Normal 26" xfId="4741" xr:uid="{00000000-0005-0000-0000-0000B2120000}"/>
    <cellStyle name="Normal 26 2" xfId="4742" xr:uid="{00000000-0005-0000-0000-0000B3120000}"/>
    <cellStyle name="Normal 26 3" xfId="4743" xr:uid="{00000000-0005-0000-0000-0000B4120000}"/>
    <cellStyle name="Normal 27" xfId="4744" xr:uid="{00000000-0005-0000-0000-0000B5120000}"/>
    <cellStyle name="Normal 27 2" xfId="4745" xr:uid="{00000000-0005-0000-0000-0000B6120000}"/>
    <cellStyle name="Normal 28" xfId="4746" xr:uid="{00000000-0005-0000-0000-0000B7120000}"/>
    <cellStyle name="Normal 29" xfId="4747" xr:uid="{00000000-0005-0000-0000-0000B8120000}"/>
    <cellStyle name="Normal 29 2" xfId="4748" xr:uid="{00000000-0005-0000-0000-0000B9120000}"/>
    <cellStyle name="Normal 29 3" xfId="4749" xr:uid="{00000000-0005-0000-0000-0000BA120000}"/>
    <cellStyle name="Normal 29 4" xfId="4750" xr:uid="{00000000-0005-0000-0000-0000BB120000}"/>
    <cellStyle name="Normal 3" xfId="4751" xr:uid="{00000000-0005-0000-0000-0000BC120000}"/>
    <cellStyle name="Normal 3 10" xfId="4752" xr:uid="{00000000-0005-0000-0000-0000BD120000}"/>
    <cellStyle name="Normal 3 11" xfId="4753" xr:uid="{00000000-0005-0000-0000-0000BE120000}"/>
    <cellStyle name="Normal 3 12" xfId="4754" xr:uid="{00000000-0005-0000-0000-0000BF120000}"/>
    <cellStyle name="Normal 3 13" xfId="4755" xr:uid="{00000000-0005-0000-0000-0000C0120000}"/>
    <cellStyle name="Normal 3 14" xfId="4756" xr:uid="{00000000-0005-0000-0000-0000C1120000}"/>
    <cellStyle name="Normal 3 15" xfId="4757" xr:uid="{00000000-0005-0000-0000-0000C2120000}"/>
    <cellStyle name="Normal 3 16" xfId="4758" xr:uid="{00000000-0005-0000-0000-0000C3120000}"/>
    <cellStyle name="Normal 3 17" xfId="4759" xr:uid="{00000000-0005-0000-0000-0000C4120000}"/>
    <cellStyle name="Normal 3 18" xfId="4760" xr:uid="{00000000-0005-0000-0000-0000C5120000}"/>
    <cellStyle name="Normal 3 19" xfId="4761" xr:uid="{00000000-0005-0000-0000-0000C6120000}"/>
    <cellStyle name="Normal 3 2" xfId="4762" xr:uid="{00000000-0005-0000-0000-0000C7120000}"/>
    <cellStyle name="Normal 3 2 10" xfId="4763" xr:uid="{00000000-0005-0000-0000-0000C8120000}"/>
    <cellStyle name="Normal 3 2 11" xfId="4764" xr:uid="{00000000-0005-0000-0000-0000C9120000}"/>
    <cellStyle name="Normal 3 2 11 2" xfId="4765" xr:uid="{00000000-0005-0000-0000-0000CA120000}"/>
    <cellStyle name="Normal 3 2 12" xfId="4766" xr:uid="{00000000-0005-0000-0000-0000CB120000}"/>
    <cellStyle name="Normal 3 2 13" xfId="4767" xr:uid="{00000000-0005-0000-0000-0000CC120000}"/>
    <cellStyle name="Normal 3 2 2" xfId="4768" xr:uid="{00000000-0005-0000-0000-0000CD120000}"/>
    <cellStyle name="Normal 3 2 2 2" xfId="4769" xr:uid="{00000000-0005-0000-0000-0000CE120000}"/>
    <cellStyle name="Normal 3 2 2 3" xfId="4770" xr:uid="{00000000-0005-0000-0000-0000CF120000}"/>
    <cellStyle name="Normal 3 2 2 4" xfId="4771" xr:uid="{00000000-0005-0000-0000-0000D0120000}"/>
    <cellStyle name="Normal 3 2 2 4 2" xfId="4772" xr:uid="{00000000-0005-0000-0000-0000D1120000}"/>
    <cellStyle name="Normal 3 2 3" xfId="4773" xr:uid="{00000000-0005-0000-0000-0000D2120000}"/>
    <cellStyle name="Normal 3 2 3 2" xfId="4774" xr:uid="{00000000-0005-0000-0000-0000D3120000}"/>
    <cellStyle name="Normal 3 2 3 3" xfId="4775" xr:uid="{00000000-0005-0000-0000-0000D4120000}"/>
    <cellStyle name="Normal 3 2 3 4" xfId="4776" xr:uid="{00000000-0005-0000-0000-0000D5120000}"/>
    <cellStyle name="Normal 3 2 3 5" xfId="4777" xr:uid="{00000000-0005-0000-0000-0000D6120000}"/>
    <cellStyle name="Normal 3 2 4" xfId="4778" xr:uid="{00000000-0005-0000-0000-0000D7120000}"/>
    <cellStyle name="Normal 3 2 4 2" xfId="4779" xr:uid="{00000000-0005-0000-0000-0000D8120000}"/>
    <cellStyle name="Normal 3 2 4 3" xfId="4780" xr:uid="{00000000-0005-0000-0000-0000D9120000}"/>
    <cellStyle name="Normal 3 2 5" xfId="4781" xr:uid="{00000000-0005-0000-0000-0000DA120000}"/>
    <cellStyle name="Normal 3 2 6" xfId="4782" xr:uid="{00000000-0005-0000-0000-0000DB120000}"/>
    <cellStyle name="Normal 3 2 7" xfId="4783" xr:uid="{00000000-0005-0000-0000-0000DC120000}"/>
    <cellStyle name="Normal 3 2 8" xfId="4784" xr:uid="{00000000-0005-0000-0000-0000DD120000}"/>
    <cellStyle name="Normal 3 2 9" xfId="4785" xr:uid="{00000000-0005-0000-0000-0000DE120000}"/>
    <cellStyle name="Normal 3 2 9 2" xfId="4786" xr:uid="{00000000-0005-0000-0000-0000DF120000}"/>
    <cellStyle name="Normal 3 2 9 2 2" xfId="4787" xr:uid="{00000000-0005-0000-0000-0000E0120000}"/>
    <cellStyle name="Normal 3 2 9 3" xfId="4788" xr:uid="{00000000-0005-0000-0000-0000E1120000}"/>
    <cellStyle name="Normal 3 2 9 4" xfId="4789" xr:uid="{00000000-0005-0000-0000-0000E2120000}"/>
    <cellStyle name="Normal 3 2_ELC" xfId="4790" xr:uid="{00000000-0005-0000-0000-0000E3120000}"/>
    <cellStyle name="Normal 3 20" xfId="4791" xr:uid="{00000000-0005-0000-0000-0000E4120000}"/>
    <cellStyle name="Normal 3 21" xfId="4792" xr:uid="{00000000-0005-0000-0000-0000E5120000}"/>
    <cellStyle name="Normal 3 22" xfId="4793" xr:uid="{00000000-0005-0000-0000-0000E6120000}"/>
    <cellStyle name="Normal 3 23" xfId="4794" xr:uid="{00000000-0005-0000-0000-0000E7120000}"/>
    <cellStyle name="Normal 3 24" xfId="4795" xr:uid="{00000000-0005-0000-0000-0000E8120000}"/>
    <cellStyle name="Normal 3 25" xfId="4796" xr:uid="{00000000-0005-0000-0000-0000E9120000}"/>
    <cellStyle name="Normal 3 26" xfId="4797" xr:uid="{00000000-0005-0000-0000-0000EA120000}"/>
    <cellStyle name="Normal 3 27" xfId="4798" xr:uid="{00000000-0005-0000-0000-0000EB120000}"/>
    <cellStyle name="Normal 3 28" xfId="4799" xr:uid="{00000000-0005-0000-0000-0000EC120000}"/>
    <cellStyle name="Normal 3 29" xfId="4800" xr:uid="{00000000-0005-0000-0000-0000ED120000}"/>
    <cellStyle name="Normal 3 3" xfId="4801" xr:uid="{00000000-0005-0000-0000-0000EE120000}"/>
    <cellStyle name="Normal 3 3 2" xfId="4802" xr:uid="{00000000-0005-0000-0000-0000EF120000}"/>
    <cellStyle name="Normal 3 3 2 2" xfId="4803" xr:uid="{00000000-0005-0000-0000-0000F0120000}"/>
    <cellStyle name="Normal 3 3 2 3" xfId="4804" xr:uid="{00000000-0005-0000-0000-0000F1120000}"/>
    <cellStyle name="Normal 3 3 2 4" xfId="4805" xr:uid="{00000000-0005-0000-0000-0000F2120000}"/>
    <cellStyle name="Normal 3 3 3" xfId="4806" xr:uid="{00000000-0005-0000-0000-0000F3120000}"/>
    <cellStyle name="Normal 3 3 4" xfId="4807" xr:uid="{00000000-0005-0000-0000-0000F4120000}"/>
    <cellStyle name="Normal 3 3 5" xfId="4808" xr:uid="{00000000-0005-0000-0000-0000F5120000}"/>
    <cellStyle name="Normal 3 3 6" xfId="4809" xr:uid="{00000000-0005-0000-0000-0000F6120000}"/>
    <cellStyle name="Normal 3 3 7" xfId="4810" xr:uid="{00000000-0005-0000-0000-0000F7120000}"/>
    <cellStyle name="Normal 3 3 8" xfId="4811" xr:uid="{00000000-0005-0000-0000-0000F8120000}"/>
    <cellStyle name="Normal 3 3 9" xfId="4812" xr:uid="{00000000-0005-0000-0000-0000F9120000}"/>
    <cellStyle name="Normal 3 30" xfId="4813" xr:uid="{00000000-0005-0000-0000-0000FA120000}"/>
    <cellStyle name="Normal 3 4" xfId="4814" xr:uid="{00000000-0005-0000-0000-0000FB120000}"/>
    <cellStyle name="Normal 3 4 2" xfId="4815" xr:uid="{00000000-0005-0000-0000-0000FC120000}"/>
    <cellStyle name="Normal 3 4 3" xfId="4816" xr:uid="{00000000-0005-0000-0000-0000FD120000}"/>
    <cellStyle name="Normal 3 4 4" xfId="4817" xr:uid="{00000000-0005-0000-0000-0000FE120000}"/>
    <cellStyle name="Normal 3 4 4 2" xfId="4818" xr:uid="{00000000-0005-0000-0000-0000FF120000}"/>
    <cellStyle name="Normal 3 4 4 3" xfId="4819" xr:uid="{00000000-0005-0000-0000-000000130000}"/>
    <cellStyle name="Normal 3 4 5" xfId="4820" xr:uid="{00000000-0005-0000-0000-000001130000}"/>
    <cellStyle name="Normal 3 4 6" xfId="4821" xr:uid="{00000000-0005-0000-0000-000002130000}"/>
    <cellStyle name="Normal 3 4 7" xfId="4822" xr:uid="{00000000-0005-0000-0000-000003130000}"/>
    <cellStyle name="Normal 3 4 8" xfId="4823" xr:uid="{00000000-0005-0000-0000-000004130000}"/>
    <cellStyle name="Normal 3 5" xfId="4824" xr:uid="{00000000-0005-0000-0000-000005130000}"/>
    <cellStyle name="Normal 3 5 10" xfId="4825" xr:uid="{00000000-0005-0000-0000-000006130000}"/>
    <cellStyle name="Normal 3 5 2" xfId="4826" xr:uid="{00000000-0005-0000-0000-000007130000}"/>
    <cellStyle name="Normal 3 5 3" xfId="4827" xr:uid="{00000000-0005-0000-0000-000008130000}"/>
    <cellStyle name="Normal 3 5 3 2" xfId="4828" xr:uid="{00000000-0005-0000-0000-000009130000}"/>
    <cellStyle name="Normal 3 5 3 3" xfId="4829" xr:uid="{00000000-0005-0000-0000-00000A130000}"/>
    <cellStyle name="Normal 3 5 4" xfId="4830" xr:uid="{00000000-0005-0000-0000-00000B130000}"/>
    <cellStyle name="Normal 3 5 4 2" xfId="4831" xr:uid="{00000000-0005-0000-0000-00000C130000}"/>
    <cellStyle name="Normal 3 5 4 3" xfId="4832" xr:uid="{00000000-0005-0000-0000-00000D130000}"/>
    <cellStyle name="Normal 3 5 4 4" xfId="4833" xr:uid="{00000000-0005-0000-0000-00000E130000}"/>
    <cellStyle name="Normal 3 5 5" xfId="4834" xr:uid="{00000000-0005-0000-0000-00000F130000}"/>
    <cellStyle name="Normal 3 5 6" xfId="4835" xr:uid="{00000000-0005-0000-0000-000010130000}"/>
    <cellStyle name="Normal 3 5 7" xfId="4836" xr:uid="{00000000-0005-0000-0000-000011130000}"/>
    <cellStyle name="Normal 3 5 8" xfId="4837" xr:uid="{00000000-0005-0000-0000-000012130000}"/>
    <cellStyle name="Normal 3 5 9" xfId="4838" xr:uid="{00000000-0005-0000-0000-000013130000}"/>
    <cellStyle name="Normal 3 6" xfId="4839" xr:uid="{00000000-0005-0000-0000-000014130000}"/>
    <cellStyle name="Normal 3 6 2" xfId="4840" xr:uid="{00000000-0005-0000-0000-000015130000}"/>
    <cellStyle name="Normal 3 6 2 2" xfId="4841" xr:uid="{00000000-0005-0000-0000-000016130000}"/>
    <cellStyle name="Normal 3 6 2 3" xfId="4842" xr:uid="{00000000-0005-0000-0000-000017130000}"/>
    <cellStyle name="Normal 3 6 3" xfId="4843" xr:uid="{00000000-0005-0000-0000-000018130000}"/>
    <cellStyle name="Normal 3 6 4" xfId="4844" xr:uid="{00000000-0005-0000-0000-000019130000}"/>
    <cellStyle name="Normal 3 7" xfId="4845" xr:uid="{00000000-0005-0000-0000-00001A130000}"/>
    <cellStyle name="Normal 3 7 2" xfId="4846" xr:uid="{00000000-0005-0000-0000-00001B130000}"/>
    <cellStyle name="Normal 3 7 3" xfId="4847" xr:uid="{00000000-0005-0000-0000-00001C130000}"/>
    <cellStyle name="Normal 3 8" xfId="4848" xr:uid="{00000000-0005-0000-0000-00001D130000}"/>
    <cellStyle name="Normal 3 9" xfId="4849" xr:uid="{00000000-0005-0000-0000-00001E130000}"/>
    <cellStyle name="Normal 3_UC_ICM" xfId="4850" xr:uid="{00000000-0005-0000-0000-00001F130000}"/>
    <cellStyle name="Normal 30" xfId="4851" xr:uid="{00000000-0005-0000-0000-000020130000}"/>
    <cellStyle name="Normal 30 2" xfId="4852" xr:uid="{00000000-0005-0000-0000-000021130000}"/>
    <cellStyle name="Normal 30 3" xfId="4853" xr:uid="{00000000-0005-0000-0000-000022130000}"/>
    <cellStyle name="Normal 30 4" xfId="4854" xr:uid="{00000000-0005-0000-0000-000023130000}"/>
    <cellStyle name="Normal 31" xfId="4855" xr:uid="{00000000-0005-0000-0000-000024130000}"/>
    <cellStyle name="Normal 31 2" xfId="4856" xr:uid="{00000000-0005-0000-0000-000025130000}"/>
    <cellStyle name="Normal 32" xfId="4857" xr:uid="{00000000-0005-0000-0000-000026130000}"/>
    <cellStyle name="Normal 32 2" xfId="4858" xr:uid="{00000000-0005-0000-0000-000027130000}"/>
    <cellStyle name="Normal 33" xfId="4859" xr:uid="{00000000-0005-0000-0000-000028130000}"/>
    <cellStyle name="Normal 33 10" xfId="4860" xr:uid="{00000000-0005-0000-0000-000029130000}"/>
    <cellStyle name="Normal 33 11" xfId="4861" xr:uid="{00000000-0005-0000-0000-00002A130000}"/>
    <cellStyle name="Normal 33 12" xfId="4862" xr:uid="{00000000-0005-0000-0000-00002B130000}"/>
    <cellStyle name="Normal 33 13" xfId="4863" xr:uid="{00000000-0005-0000-0000-00002C130000}"/>
    <cellStyle name="Normal 33 2" xfId="4864" xr:uid="{00000000-0005-0000-0000-00002D130000}"/>
    <cellStyle name="Normal 33 3" xfId="4865" xr:uid="{00000000-0005-0000-0000-00002E130000}"/>
    <cellStyle name="Normal 33 4" xfId="4866" xr:uid="{00000000-0005-0000-0000-00002F130000}"/>
    <cellStyle name="Normal 33 5" xfId="4867" xr:uid="{00000000-0005-0000-0000-000030130000}"/>
    <cellStyle name="Normal 33 6" xfId="4868" xr:uid="{00000000-0005-0000-0000-000031130000}"/>
    <cellStyle name="Normal 33 7" xfId="4869" xr:uid="{00000000-0005-0000-0000-000032130000}"/>
    <cellStyle name="Normal 33 8" xfId="4870" xr:uid="{00000000-0005-0000-0000-000033130000}"/>
    <cellStyle name="Normal 33 9" xfId="4871" xr:uid="{00000000-0005-0000-0000-000034130000}"/>
    <cellStyle name="Normal 33_Scen_XBase" xfId="4872" xr:uid="{00000000-0005-0000-0000-000035130000}"/>
    <cellStyle name="Normal 34" xfId="4873" xr:uid="{00000000-0005-0000-0000-000036130000}"/>
    <cellStyle name="Normal 35" xfId="4874" xr:uid="{00000000-0005-0000-0000-000037130000}"/>
    <cellStyle name="Normal 35 2" xfId="4875" xr:uid="{00000000-0005-0000-0000-000038130000}"/>
    <cellStyle name="Normal 36" xfId="4876" xr:uid="{00000000-0005-0000-0000-000039130000}"/>
    <cellStyle name="Normal 36 2" xfId="4877" xr:uid="{00000000-0005-0000-0000-00003A130000}"/>
    <cellStyle name="Normal 37" xfId="4878" xr:uid="{00000000-0005-0000-0000-00003B130000}"/>
    <cellStyle name="Normal 37 2" xfId="4879" xr:uid="{00000000-0005-0000-0000-00003C130000}"/>
    <cellStyle name="Normal 38" xfId="4880" xr:uid="{00000000-0005-0000-0000-00003D130000}"/>
    <cellStyle name="Normal 38 2" xfId="4881" xr:uid="{00000000-0005-0000-0000-00003E130000}"/>
    <cellStyle name="Normal 39" xfId="4882" xr:uid="{00000000-0005-0000-0000-00003F130000}"/>
    <cellStyle name="Normal 4" xfId="4883" xr:uid="{00000000-0005-0000-0000-000040130000}"/>
    <cellStyle name="Normal 4 10" xfId="4884" xr:uid="{00000000-0005-0000-0000-000041130000}"/>
    <cellStyle name="Normal 4 10 2" xfId="4885" xr:uid="{00000000-0005-0000-0000-000042130000}"/>
    <cellStyle name="Normal 4 10 3" xfId="4886" xr:uid="{00000000-0005-0000-0000-000043130000}"/>
    <cellStyle name="Normal 4 11" xfId="4887" xr:uid="{00000000-0005-0000-0000-000044130000}"/>
    <cellStyle name="Normal 4 11 2" xfId="4888" xr:uid="{00000000-0005-0000-0000-000045130000}"/>
    <cellStyle name="Normal 4 11 3" xfId="4889" xr:uid="{00000000-0005-0000-0000-000046130000}"/>
    <cellStyle name="Normal 4 12" xfId="4890" xr:uid="{00000000-0005-0000-0000-000047130000}"/>
    <cellStyle name="Normal 4 13" xfId="4891" xr:uid="{00000000-0005-0000-0000-000048130000}"/>
    <cellStyle name="Normal 4 13 2" xfId="4892" xr:uid="{00000000-0005-0000-0000-000049130000}"/>
    <cellStyle name="Normal 4 13 3" xfId="4893" xr:uid="{00000000-0005-0000-0000-00004A130000}"/>
    <cellStyle name="Normal 4 2" xfId="4894" xr:uid="{00000000-0005-0000-0000-00004B130000}"/>
    <cellStyle name="Normal 4 2 10" xfId="4895" xr:uid="{00000000-0005-0000-0000-00004C130000}"/>
    <cellStyle name="Normal 4 2 10 2" xfId="4896" xr:uid="{00000000-0005-0000-0000-00004D130000}"/>
    <cellStyle name="Normal 4 2 11" xfId="4897" xr:uid="{00000000-0005-0000-0000-00004E130000}"/>
    <cellStyle name="Normal 4 2 12" xfId="4898" xr:uid="{00000000-0005-0000-0000-00004F130000}"/>
    <cellStyle name="Normal 4 2 2" xfId="4899" xr:uid="{00000000-0005-0000-0000-000050130000}"/>
    <cellStyle name="Normal 4 2 2 10" xfId="4900" xr:uid="{00000000-0005-0000-0000-000051130000}"/>
    <cellStyle name="Normal 4 2 2 10 2" xfId="4901" xr:uid="{00000000-0005-0000-0000-000052130000}"/>
    <cellStyle name="Normal 4 2 2 10 2 2" xfId="4902" xr:uid="{00000000-0005-0000-0000-000053130000}"/>
    <cellStyle name="Normal 4 2 2 10 3" xfId="4903" xr:uid="{00000000-0005-0000-0000-000054130000}"/>
    <cellStyle name="Normal 4 2 2 11" xfId="4904" xr:uid="{00000000-0005-0000-0000-000055130000}"/>
    <cellStyle name="Normal 4 2 2 11 2" xfId="4905" xr:uid="{00000000-0005-0000-0000-000056130000}"/>
    <cellStyle name="Normal 4 2 2 11 2 2" xfId="4906" xr:uid="{00000000-0005-0000-0000-000057130000}"/>
    <cellStyle name="Normal 4 2 2 11 3" xfId="4907" xr:uid="{00000000-0005-0000-0000-000058130000}"/>
    <cellStyle name="Normal 4 2 2 12" xfId="4908" xr:uid="{00000000-0005-0000-0000-000059130000}"/>
    <cellStyle name="Normal 4 2 2 12 2" xfId="4909" xr:uid="{00000000-0005-0000-0000-00005A130000}"/>
    <cellStyle name="Normal 4 2 2 12 2 2" xfId="4910" xr:uid="{00000000-0005-0000-0000-00005B130000}"/>
    <cellStyle name="Normal 4 2 2 12 3" xfId="4911" xr:uid="{00000000-0005-0000-0000-00005C130000}"/>
    <cellStyle name="Normal 4 2 2 13" xfId="4912" xr:uid="{00000000-0005-0000-0000-00005D130000}"/>
    <cellStyle name="Normal 4 2 2 13 2" xfId="4913" xr:uid="{00000000-0005-0000-0000-00005E130000}"/>
    <cellStyle name="Normal 4 2 2 13 2 2" xfId="4914" xr:uid="{00000000-0005-0000-0000-00005F130000}"/>
    <cellStyle name="Normal 4 2 2 13 3" xfId="4915" xr:uid="{00000000-0005-0000-0000-000060130000}"/>
    <cellStyle name="Normal 4 2 2 14" xfId="4916" xr:uid="{00000000-0005-0000-0000-000061130000}"/>
    <cellStyle name="Normal 4 2 2 14 2" xfId="4917" xr:uid="{00000000-0005-0000-0000-000062130000}"/>
    <cellStyle name="Normal 4 2 2 14 3" xfId="4918" xr:uid="{00000000-0005-0000-0000-000063130000}"/>
    <cellStyle name="Normal 4 2 2 15" xfId="4919" xr:uid="{00000000-0005-0000-0000-000064130000}"/>
    <cellStyle name="Normal 4 2 2 2" xfId="4920" xr:uid="{00000000-0005-0000-0000-000065130000}"/>
    <cellStyle name="Normal 4 2 2 2 10" xfId="4921" xr:uid="{00000000-0005-0000-0000-000066130000}"/>
    <cellStyle name="Normal 4 2 2 2 11" xfId="4922" xr:uid="{00000000-0005-0000-0000-000067130000}"/>
    <cellStyle name="Normal 4 2 2 2 12" xfId="4923" xr:uid="{00000000-0005-0000-0000-000068130000}"/>
    <cellStyle name="Normal 4 2 2 2 13" xfId="4924" xr:uid="{00000000-0005-0000-0000-000069130000}"/>
    <cellStyle name="Normal 4 2 2 2 14" xfId="4925" xr:uid="{00000000-0005-0000-0000-00006A130000}"/>
    <cellStyle name="Normal 4 2 2 2 14 2" xfId="4926" xr:uid="{00000000-0005-0000-0000-00006B130000}"/>
    <cellStyle name="Normal 4 2 2 2 14 3" xfId="4927" xr:uid="{00000000-0005-0000-0000-00006C130000}"/>
    <cellStyle name="Normal 4 2 2 2 15" xfId="4928" xr:uid="{00000000-0005-0000-0000-00006D130000}"/>
    <cellStyle name="Normal 4 2 2 2 2" xfId="4929" xr:uid="{00000000-0005-0000-0000-00006E130000}"/>
    <cellStyle name="Normal 4 2 2 2 3" xfId="4930" xr:uid="{00000000-0005-0000-0000-00006F130000}"/>
    <cellStyle name="Normal 4 2 2 2 4" xfId="4931" xr:uid="{00000000-0005-0000-0000-000070130000}"/>
    <cellStyle name="Normal 4 2 2 2 5" xfId="4932" xr:uid="{00000000-0005-0000-0000-000071130000}"/>
    <cellStyle name="Normal 4 2 2 2 6" xfId="4933" xr:uid="{00000000-0005-0000-0000-000072130000}"/>
    <cellStyle name="Normal 4 2 2 2 7" xfId="4934" xr:uid="{00000000-0005-0000-0000-000073130000}"/>
    <cellStyle name="Normal 4 2 2 2 8" xfId="4935" xr:uid="{00000000-0005-0000-0000-000074130000}"/>
    <cellStyle name="Normal 4 2 2 2 9" xfId="4936" xr:uid="{00000000-0005-0000-0000-000075130000}"/>
    <cellStyle name="Normal 4 2 2 3" xfId="4937" xr:uid="{00000000-0005-0000-0000-000076130000}"/>
    <cellStyle name="Normal 4 2 2 3 2" xfId="4938" xr:uid="{00000000-0005-0000-0000-000077130000}"/>
    <cellStyle name="Normal 4 2 2 3 2 2" xfId="4939" xr:uid="{00000000-0005-0000-0000-000078130000}"/>
    <cellStyle name="Normal 4 2 2 3 3" xfId="4940" xr:uid="{00000000-0005-0000-0000-000079130000}"/>
    <cellStyle name="Normal 4 2 2 4" xfId="4941" xr:uid="{00000000-0005-0000-0000-00007A130000}"/>
    <cellStyle name="Normal 4 2 2 4 2" xfId="4942" xr:uid="{00000000-0005-0000-0000-00007B130000}"/>
    <cellStyle name="Normal 4 2 2 4 2 2" xfId="4943" xr:uid="{00000000-0005-0000-0000-00007C130000}"/>
    <cellStyle name="Normal 4 2 2 4 3" xfId="4944" xr:uid="{00000000-0005-0000-0000-00007D130000}"/>
    <cellStyle name="Normal 4 2 2 5" xfId="4945" xr:uid="{00000000-0005-0000-0000-00007E130000}"/>
    <cellStyle name="Normal 4 2 2 5 2" xfId="4946" xr:uid="{00000000-0005-0000-0000-00007F130000}"/>
    <cellStyle name="Normal 4 2 2 5 2 2" xfId="4947" xr:uid="{00000000-0005-0000-0000-000080130000}"/>
    <cellStyle name="Normal 4 2 2 5 3" xfId="4948" xr:uid="{00000000-0005-0000-0000-000081130000}"/>
    <cellStyle name="Normal 4 2 2 6" xfId="4949" xr:uid="{00000000-0005-0000-0000-000082130000}"/>
    <cellStyle name="Normal 4 2 2 6 2" xfId="4950" xr:uid="{00000000-0005-0000-0000-000083130000}"/>
    <cellStyle name="Normal 4 2 2 6 2 2" xfId="4951" xr:uid="{00000000-0005-0000-0000-000084130000}"/>
    <cellStyle name="Normal 4 2 2 6 3" xfId="4952" xr:uid="{00000000-0005-0000-0000-000085130000}"/>
    <cellStyle name="Normal 4 2 2 7" xfId="4953" xr:uid="{00000000-0005-0000-0000-000086130000}"/>
    <cellStyle name="Normal 4 2 2 7 2" xfId="4954" xr:uid="{00000000-0005-0000-0000-000087130000}"/>
    <cellStyle name="Normal 4 2 2 7 2 2" xfId="4955" xr:uid="{00000000-0005-0000-0000-000088130000}"/>
    <cellStyle name="Normal 4 2 2 7 3" xfId="4956" xr:uid="{00000000-0005-0000-0000-000089130000}"/>
    <cellStyle name="Normal 4 2 2 8" xfId="4957" xr:uid="{00000000-0005-0000-0000-00008A130000}"/>
    <cellStyle name="Normal 4 2 2 8 2" xfId="4958" xr:uid="{00000000-0005-0000-0000-00008B130000}"/>
    <cellStyle name="Normal 4 2 2 8 2 2" xfId="4959" xr:uid="{00000000-0005-0000-0000-00008C130000}"/>
    <cellStyle name="Normal 4 2 2 8 3" xfId="4960" xr:uid="{00000000-0005-0000-0000-00008D130000}"/>
    <cellStyle name="Normal 4 2 2 9" xfId="4961" xr:uid="{00000000-0005-0000-0000-00008E130000}"/>
    <cellStyle name="Normal 4 2 2 9 2" xfId="4962" xr:uid="{00000000-0005-0000-0000-00008F130000}"/>
    <cellStyle name="Normal 4 2 2 9 2 2" xfId="4963" xr:uid="{00000000-0005-0000-0000-000090130000}"/>
    <cellStyle name="Normal 4 2 2 9 3" xfId="4964" xr:uid="{00000000-0005-0000-0000-000091130000}"/>
    <cellStyle name="Normal 4 2 3" xfId="4965" xr:uid="{00000000-0005-0000-0000-000092130000}"/>
    <cellStyle name="Normal 4 2 3 2" xfId="4966" xr:uid="{00000000-0005-0000-0000-000093130000}"/>
    <cellStyle name="Normal 4 2 3 2 2" xfId="4967" xr:uid="{00000000-0005-0000-0000-000094130000}"/>
    <cellStyle name="Normal 4 2 3 3" xfId="4968" xr:uid="{00000000-0005-0000-0000-000095130000}"/>
    <cellStyle name="Normal 4 2 3 4" xfId="4969" xr:uid="{00000000-0005-0000-0000-000096130000}"/>
    <cellStyle name="Normal 4 2 4" xfId="4970" xr:uid="{00000000-0005-0000-0000-000097130000}"/>
    <cellStyle name="Normal 4 2 4 2" xfId="4971" xr:uid="{00000000-0005-0000-0000-000098130000}"/>
    <cellStyle name="Normal 4 2 5" xfId="4972" xr:uid="{00000000-0005-0000-0000-000099130000}"/>
    <cellStyle name="Normal 4 2 6" xfId="4973" xr:uid="{00000000-0005-0000-0000-00009A130000}"/>
    <cellStyle name="Normal 4 2 7" xfId="4974" xr:uid="{00000000-0005-0000-0000-00009B130000}"/>
    <cellStyle name="Normal 4 2 8" xfId="4975" xr:uid="{00000000-0005-0000-0000-00009C130000}"/>
    <cellStyle name="Normal 4 2 9" xfId="4976" xr:uid="{00000000-0005-0000-0000-00009D130000}"/>
    <cellStyle name="Normal 4 2_Scen_XBase" xfId="4977" xr:uid="{00000000-0005-0000-0000-00009E130000}"/>
    <cellStyle name="Normal 4 3" xfId="4978" xr:uid="{00000000-0005-0000-0000-00009F130000}"/>
    <cellStyle name="Normal 4 3 10" xfId="4979" xr:uid="{00000000-0005-0000-0000-0000A0130000}"/>
    <cellStyle name="Normal 4 3 11" xfId="4980" xr:uid="{00000000-0005-0000-0000-0000A1130000}"/>
    <cellStyle name="Normal 4 3 12" xfId="4981" xr:uid="{00000000-0005-0000-0000-0000A2130000}"/>
    <cellStyle name="Normal 4 3 2" xfId="4982" xr:uid="{00000000-0005-0000-0000-0000A3130000}"/>
    <cellStyle name="Normal 4 3 2 2" xfId="4983" xr:uid="{00000000-0005-0000-0000-0000A4130000}"/>
    <cellStyle name="Normal 4 3 2 3" xfId="4984" xr:uid="{00000000-0005-0000-0000-0000A5130000}"/>
    <cellStyle name="Normal 4 3 2 4" xfId="4985" xr:uid="{00000000-0005-0000-0000-0000A6130000}"/>
    <cellStyle name="Normal 4 3 3" xfId="4986" xr:uid="{00000000-0005-0000-0000-0000A7130000}"/>
    <cellStyle name="Normal 4 3 3 2" xfId="4987" xr:uid="{00000000-0005-0000-0000-0000A8130000}"/>
    <cellStyle name="Normal 4 3 3 2 2" xfId="4988" xr:uid="{00000000-0005-0000-0000-0000A9130000}"/>
    <cellStyle name="Normal 4 3 3 3" xfId="4989" xr:uid="{00000000-0005-0000-0000-0000AA130000}"/>
    <cellStyle name="Normal 4 3 3 4" xfId="4990" xr:uid="{00000000-0005-0000-0000-0000AB130000}"/>
    <cellStyle name="Normal 4 3 3 5" xfId="4991" xr:uid="{00000000-0005-0000-0000-0000AC130000}"/>
    <cellStyle name="Normal 4 3 4" xfId="4992" xr:uid="{00000000-0005-0000-0000-0000AD130000}"/>
    <cellStyle name="Normal 4 3 4 2" xfId="4993" xr:uid="{00000000-0005-0000-0000-0000AE130000}"/>
    <cellStyle name="Normal 4 3 4 3" xfId="4994" xr:uid="{00000000-0005-0000-0000-0000AF130000}"/>
    <cellStyle name="Normal 4 3 4 4" xfId="4995" xr:uid="{00000000-0005-0000-0000-0000B0130000}"/>
    <cellStyle name="Normal 4 3 4 5" xfId="4996" xr:uid="{00000000-0005-0000-0000-0000B1130000}"/>
    <cellStyle name="Normal 4 3 5" xfId="4997" xr:uid="{00000000-0005-0000-0000-0000B2130000}"/>
    <cellStyle name="Normal 4 3 5 2" xfId="4998" xr:uid="{00000000-0005-0000-0000-0000B3130000}"/>
    <cellStyle name="Normal 4 3 5 3" xfId="4999" xr:uid="{00000000-0005-0000-0000-0000B4130000}"/>
    <cellStyle name="Normal 4 3 5 4" xfId="5000" xr:uid="{00000000-0005-0000-0000-0000B5130000}"/>
    <cellStyle name="Normal 4 3 6" xfId="5001" xr:uid="{00000000-0005-0000-0000-0000B6130000}"/>
    <cellStyle name="Normal 4 3 7" xfId="5002" xr:uid="{00000000-0005-0000-0000-0000B7130000}"/>
    <cellStyle name="Normal 4 3 8" xfId="5003" xr:uid="{00000000-0005-0000-0000-0000B8130000}"/>
    <cellStyle name="Normal 4 3 9" xfId="5004" xr:uid="{00000000-0005-0000-0000-0000B9130000}"/>
    <cellStyle name="Normal 4 3 9 2" xfId="5005" xr:uid="{00000000-0005-0000-0000-0000BA130000}"/>
    <cellStyle name="Normal 4 3 9 3" xfId="5006" xr:uid="{00000000-0005-0000-0000-0000BB130000}"/>
    <cellStyle name="Normal 4 3_Scen_XBase" xfId="5007" xr:uid="{00000000-0005-0000-0000-0000BC130000}"/>
    <cellStyle name="Normal 4 4" xfId="5008" xr:uid="{00000000-0005-0000-0000-0000BD130000}"/>
    <cellStyle name="Normal 4 4 10" xfId="5009" xr:uid="{00000000-0005-0000-0000-0000BE130000}"/>
    <cellStyle name="Normal 4 4 2" xfId="5010" xr:uid="{00000000-0005-0000-0000-0000BF130000}"/>
    <cellStyle name="Normal 4 4 3" xfId="5011" xr:uid="{00000000-0005-0000-0000-0000C0130000}"/>
    <cellStyle name="Normal 4 4 3 2" xfId="5012" xr:uid="{00000000-0005-0000-0000-0000C1130000}"/>
    <cellStyle name="Normal 4 4 3 3" xfId="5013" xr:uid="{00000000-0005-0000-0000-0000C2130000}"/>
    <cellStyle name="Normal 4 4 4" xfId="5014" xr:uid="{00000000-0005-0000-0000-0000C3130000}"/>
    <cellStyle name="Normal 4 4 5" xfId="5015" xr:uid="{00000000-0005-0000-0000-0000C4130000}"/>
    <cellStyle name="Normal 4 4 6" xfId="5016" xr:uid="{00000000-0005-0000-0000-0000C5130000}"/>
    <cellStyle name="Normal 4 4 7" xfId="5017" xr:uid="{00000000-0005-0000-0000-0000C6130000}"/>
    <cellStyle name="Normal 4 4 8" xfId="5018" xr:uid="{00000000-0005-0000-0000-0000C7130000}"/>
    <cellStyle name="Normal 4 4 9" xfId="5019" xr:uid="{00000000-0005-0000-0000-0000C8130000}"/>
    <cellStyle name="Normal 4 5" xfId="5020" xr:uid="{00000000-0005-0000-0000-0000C9130000}"/>
    <cellStyle name="Normal 4 5 10" xfId="5021" xr:uid="{00000000-0005-0000-0000-0000CA130000}"/>
    <cellStyle name="Normal 4 5 11" xfId="5022" xr:uid="{00000000-0005-0000-0000-0000CB130000}"/>
    <cellStyle name="Normal 4 5 12" xfId="5023" xr:uid="{00000000-0005-0000-0000-0000CC130000}"/>
    <cellStyle name="Normal 4 5 2" xfId="5024" xr:uid="{00000000-0005-0000-0000-0000CD130000}"/>
    <cellStyle name="Normal 4 5 2 2" xfId="5025" xr:uid="{00000000-0005-0000-0000-0000CE130000}"/>
    <cellStyle name="Normal 4 5 2 3" xfId="5026" xr:uid="{00000000-0005-0000-0000-0000CF130000}"/>
    <cellStyle name="Normal 4 5 2 4" xfId="5027" xr:uid="{00000000-0005-0000-0000-0000D0130000}"/>
    <cellStyle name="Normal 4 5 3" xfId="5028" xr:uid="{00000000-0005-0000-0000-0000D1130000}"/>
    <cellStyle name="Normal 4 5 3 2" xfId="5029" xr:uid="{00000000-0005-0000-0000-0000D2130000}"/>
    <cellStyle name="Normal 4 5 3 3" xfId="5030" xr:uid="{00000000-0005-0000-0000-0000D3130000}"/>
    <cellStyle name="Normal 4 5 3 4" xfId="5031" xr:uid="{00000000-0005-0000-0000-0000D4130000}"/>
    <cellStyle name="Normal 4 5 4" xfId="5032" xr:uid="{00000000-0005-0000-0000-0000D5130000}"/>
    <cellStyle name="Normal 4 5 5" xfId="5033" xr:uid="{00000000-0005-0000-0000-0000D6130000}"/>
    <cellStyle name="Normal 4 5 6" xfId="5034" xr:uid="{00000000-0005-0000-0000-0000D7130000}"/>
    <cellStyle name="Normal 4 5 7" xfId="5035" xr:uid="{00000000-0005-0000-0000-0000D8130000}"/>
    <cellStyle name="Normal 4 5 8" xfId="5036" xr:uid="{00000000-0005-0000-0000-0000D9130000}"/>
    <cellStyle name="Normal 4 5 9" xfId="5037" xr:uid="{00000000-0005-0000-0000-0000DA130000}"/>
    <cellStyle name="Normal 4 5 9 2" xfId="5038" xr:uid="{00000000-0005-0000-0000-0000DB130000}"/>
    <cellStyle name="Normal 4 5 9 3" xfId="5039" xr:uid="{00000000-0005-0000-0000-0000DC130000}"/>
    <cellStyle name="Normal 4 5 9 4" xfId="5040" xr:uid="{00000000-0005-0000-0000-0000DD130000}"/>
    <cellStyle name="Normal 4 6" xfId="5041" xr:uid="{00000000-0005-0000-0000-0000DE130000}"/>
    <cellStyle name="Normal 4 6 2" xfId="5042" xr:uid="{00000000-0005-0000-0000-0000DF130000}"/>
    <cellStyle name="Normal 4 6 2 2" xfId="5043" xr:uid="{00000000-0005-0000-0000-0000E0130000}"/>
    <cellStyle name="Normal 4 6 2 3" xfId="5044" xr:uid="{00000000-0005-0000-0000-0000E1130000}"/>
    <cellStyle name="Normal 4 6 3" xfId="5045" xr:uid="{00000000-0005-0000-0000-0000E2130000}"/>
    <cellStyle name="Normal 4 6 4" xfId="5046" xr:uid="{00000000-0005-0000-0000-0000E3130000}"/>
    <cellStyle name="Normal 4 6 4 2" xfId="5047" xr:uid="{00000000-0005-0000-0000-0000E4130000}"/>
    <cellStyle name="Normal 4 6 5" xfId="5048" xr:uid="{00000000-0005-0000-0000-0000E5130000}"/>
    <cellStyle name="Normal 4 6 5 2" xfId="5049" xr:uid="{00000000-0005-0000-0000-0000E6130000}"/>
    <cellStyle name="Normal 4 6 6" xfId="5050" xr:uid="{00000000-0005-0000-0000-0000E7130000}"/>
    <cellStyle name="Normal 4 6 7" xfId="5051" xr:uid="{00000000-0005-0000-0000-0000E8130000}"/>
    <cellStyle name="Normal 4 7" xfId="5052" xr:uid="{00000000-0005-0000-0000-0000E9130000}"/>
    <cellStyle name="Normal 4 7 2" xfId="5053" xr:uid="{00000000-0005-0000-0000-0000EA130000}"/>
    <cellStyle name="Normal 4 7 2 2" xfId="5054" xr:uid="{00000000-0005-0000-0000-0000EB130000}"/>
    <cellStyle name="Normal 4 7 3" xfId="5055" xr:uid="{00000000-0005-0000-0000-0000EC130000}"/>
    <cellStyle name="Normal 4 7 4" xfId="5056" xr:uid="{00000000-0005-0000-0000-0000ED130000}"/>
    <cellStyle name="Normal 4 7 5" xfId="5057" xr:uid="{00000000-0005-0000-0000-0000EE130000}"/>
    <cellStyle name="Normal 4 8" xfId="5058" xr:uid="{00000000-0005-0000-0000-0000EF130000}"/>
    <cellStyle name="Normal 4 8 2" xfId="5059" xr:uid="{00000000-0005-0000-0000-0000F0130000}"/>
    <cellStyle name="Normal 4 8 3" xfId="5060" xr:uid="{00000000-0005-0000-0000-0000F1130000}"/>
    <cellStyle name="Normal 4 8 4" xfId="5061" xr:uid="{00000000-0005-0000-0000-0000F2130000}"/>
    <cellStyle name="Normal 4 8 5" xfId="5062" xr:uid="{00000000-0005-0000-0000-0000F3130000}"/>
    <cellStyle name="Normal 4 9" xfId="5063" xr:uid="{00000000-0005-0000-0000-0000F4130000}"/>
    <cellStyle name="Normal 4 9 2" xfId="5064" xr:uid="{00000000-0005-0000-0000-0000F5130000}"/>
    <cellStyle name="Normal 4 9 3" xfId="5065" xr:uid="{00000000-0005-0000-0000-0000F6130000}"/>
    <cellStyle name="Normal 4_SUP" xfId="5066" xr:uid="{00000000-0005-0000-0000-0000F7130000}"/>
    <cellStyle name="Normal 40" xfId="5067" xr:uid="{00000000-0005-0000-0000-0000F8130000}"/>
    <cellStyle name="Normal 41" xfId="5068" xr:uid="{00000000-0005-0000-0000-0000F9130000}"/>
    <cellStyle name="Normal 5" xfId="5069" xr:uid="{00000000-0005-0000-0000-0000FA130000}"/>
    <cellStyle name="Normal 5 10" xfId="5070" xr:uid="{00000000-0005-0000-0000-0000FB130000}"/>
    <cellStyle name="Normal 5 10 2" xfId="5071" xr:uid="{00000000-0005-0000-0000-0000FC130000}"/>
    <cellStyle name="Normal 5 10 3" xfId="5072" xr:uid="{00000000-0005-0000-0000-0000FD130000}"/>
    <cellStyle name="Normal 5 11" xfId="5073" xr:uid="{00000000-0005-0000-0000-0000FE130000}"/>
    <cellStyle name="Normal 5 11 2" xfId="5074" xr:uid="{00000000-0005-0000-0000-0000FF130000}"/>
    <cellStyle name="Normal 5 11 3" xfId="5075" xr:uid="{00000000-0005-0000-0000-000000140000}"/>
    <cellStyle name="Normal 5 12" xfId="5076" xr:uid="{00000000-0005-0000-0000-000001140000}"/>
    <cellStyle name="Normal 5 12 2" xfId="5077" xr:uid="{00000000-0005-0000-0000-000002140000}"/>
    <cellStyle name="Normal 5 12 3" xfId="5078" xr:uid="{00000000-0005-0000-0000-000003140000}"/>
    <cellStyle name="Normal 5 12 4" xfId="5079" xr:uid="{00000000-0005-0000-0000-000004140000}"/>
    <cellStyle name="Normal 5 13" xfId="5080" xr:uid="{00000000-0005-0000-0000-000005140000}"/>
    <cellStyle name="Normal 5 13 2" xfId="5081" xr:uid="{00000000-0005-0000-0000-000006140000}"/>
    <cellStyle name="Normal 5 13 3" xfId="5082" xr:uid="{00000000-0005-0000-0000-000007140000}"/>
    <cellStyle name="Normal 5 13 4" xfId="5083" xr:uid="{00000000-0005-0000-0000-000008140000}"/>
    <cellStyle name="Normal 5 14" xfId="5084" xr:uid="{00000000-0005-0000-0000-000009140000}"/>
    <cellStyle name="Normal 5 15" xfId="5085" xr:uid="{00000000-0005-0000-0000-00000A140000}"/>
    <cellStyle name="Normal 5 16" xfId="5086" xr:uid="{00000000-0005-0000-0000-00000B140000}"/>
    <cellStyle name="Normal 5 17" xfId="5087" xr:uid="{00000000-0005-0000-0000-00000C140000}"/>
    <cellStyle name="Normal 5 2" xfId="5088" xr:uid="{00000000-0005-0000-0000-00000D140000}"/>
    <cellStyle name="Normal 5 2 2" xfId="5089" xr:uid="{00000000-0005-0000-0000-00000E140000}"/>
    <cellStyle name="Normal 5 2 2 10" xfId="5090" xr:uid="{00000000-0005-0000-0000-00000F140000}"/>
    <cellStyle name="Normal 5 2 2 10 2" xfId="5091" xr:uid="{00000000-0005-0000-0000-000010140000}"/>
    <cellStyle name="Normal 5 2 2 10 2 2" xfId="5092" xr:uid="{00000000-0005-0000-0000-000011140000}"/>
    <cellStyle name="Normal 5 2 2 10 3" xfId="5093" xr:uid="{00000000-0005-0000-0000-000012140000}"/>
    <cellStyle name="Normal 5 2 2 11" xfId="5094" xr:uid="{00000000-0005-0000-0000-000013140000}"/>
    <cellStyle name="Normal 5 2 2 11 2" xfId="5095" xr:uid="{00000000-0005-0000-0000-000014140000}"/>
    <cellStyle name="Normal 5 2 2 11 2 2" xfId="5096" xr:uid="{00000000-0005-0000-0000-000015140000}"/>
    <cellStyle name="Normal 5 2 2 11 3" xfId="5097" xr:uid="{00000000-0005-0000-0000-000016140000}"/>
    <cellStyle name="Normal 5 2 2 12" xfId="5098" xr:uid="{00000000-0005-0000-0000-000017140000}"/>
    <cellStyle name="Normal 5 2 2 12 2" xfId="5099" xr:uid="{00000000-0005-0000-0000-000018140000}"/>
    <cellStyle name="Normal 5 2 2 12 2 2" xfId="5100" xr:uid="{00000000-0005-0000-0000-000019140000}"/>
    <cellStyle name="Normal 5 2 2 12 3" xfId="5101" xr:uid="{00000000-0005-0000-0000-00001A140000}"/>
    <cellStyle name="Normal 5 2 2 13" xfId="5102" xr:uid="{00000000-0005-0000-0000-00001B140000}"/>
    <cellStyle name="Normal 5 2 2 13 2" xfId="5103" xr:uid="{00000000-0005-0000-0000-00001C140000}"/>
    <cellStyle name="Normal 5 2 2 13 2 2" xfId="5104" xr:uid="{00000000-0005-0000-0000-00001D140000}"/>
    <cellStyle name="Normal 5 2 2 13 3" xfId="5105" xr:uid="{00000000-0005-0000-0000-00001E140000}"/>
    <cellStyle name="Normal 5 2 2 14" xfId="5106" xr:uid="{00000000-0005-0000-0000-00001F140000}"/>
    <cellStyle name="Normal 5 2 2 15" xfId="5107" xr:uid="{00000000-0005-0000-0000-000020140000}"/>
    <cellStyle name="Normal 5 2 2 2" xfId="5108" xr:uid="{00000000-0005-0000-0000-000021140000}"/>
    <cellStyle name="Normal 5 2 2 2 10" xfId="5109" xr:uid="{00000000-0005-0000-0000-000022140000}"/>
    <cellStyle name="Normal 5 2 2 2 11" xfId="5110" xr:uid="{00000000-0005-0000-0000-000023140000}"/>
    <cellStyle name="Normal 5 2 2 2 12" xfId="5111" xr:uid="{00000000-0005-0000-0000-000024140000}"/>
    <cellStyle name="Normal 5 2 2 2 13" xfId="5112" xr:uid="{00000000-0005-0000-0000-000025140000}"/>
    <cellStyle name="Normal 5 2 2 2 14" xfId="5113" xr:uid="{00000000-0005-0000-0000-000026140000}"/>
    <cellStyle name="Normal 5 2 2 2 14 2" xfId="5114" xr:uid="{00000000-0005-0000-0000-000027140000}"/>
    <cellStyle name="Normal 5 2 2 2 14 3" xfId="5115" xr:uid="{00000000-0005-0000-0000-000028140000}"/>
    <cellStyle name="Normal 5 2 2 2 15" xfId="5116" xr:uid="{00000000-0005-0000-0000-000029140000}"/>
    <cellStyle name="Normal 5 2 2 2 16" xfId="5117" xr:uid="{00000000-0005-0000-0000-00002A140000}"/>
    <cellStyle name="Normal 5 2 2 2 2" xfId="5118" xr:uid="{00000000-0005-0000-0000-00002B140000}"/>
    <cellStyle name="Normal 5 2 2 2 3" xfId="5119" xr:uid="{00000000-0005-0000-0000-00002C140000}"/>
    <cellStyle name="Normal 5 2 2 2 4" xfId="5120" xr:uid="{00000000-0005-0000-0000-00002D140000}"/>
    <cellStyle name="Normal 5 2 2 2 5" xfId="5121" xr:uid="{00000000-0005-0000-0000-00002E140000}"/>
    <cellStyle name="Normal 5 2 2 2 6" xfId="5122" xr:uid="{00000000-0005-0000-0000-00002F140000}"/>
    <cellStyle name="Normal 5 2 2 2 7" xfId="5123" xr:uid="{00000000-0005-0000-0000-000030140000}"/>
    <cellStyle name="Normal 5 2 2 2 8" xfId="5124" xr:uid="{00000000-0005-0000-0000-000031140000}"/>
    <cellStyle name="Normal 5 2 2 2 9" xfId="5125" xr:uid="{00000000-0005-0000-0000-000032140000}"/>
    <cellStyle name="Normal 5 2 2 3" xfId="5126" xr:uid="{00000000-0005-0000-0000-000033140000}"/>
    <cellStyle name="Normal 5 2 2 3 2" xfId="5127" xr:uid="{00000000-0005-0000-0000-000034140000}"/>
    <cellStyle name="Normal 5 2 2 3 2 2" xfId="5128" xr:uid="{00000000-0005-0000-0000-000035140000}"/>
    <cellStyle name="Normal 5 2 2 3 2 3" xfId="5129" xr:uid="{00000000-0005-0000-0000-000036140000}"/>
    <cellStyle name="Normal 5 2 2 3 3" xfId="5130" xr:uid="{00000000-0005-0000-0000-000037140000}"/>
    <cellStyle name="Normal 5 2 2 3 4" xfId="5131" xr:uid="{00000000-0005-0000-0000-000038140000}"/>
    <cellStyle name="Normal 5 2 2 4" xfId="5132" xr:uid="{00000000-0005-0000-0000-000039140000}"/>
    <cellStyle name="Normal 5 2 2 4 2" xfId="5133" xr:uid="{00000000-0005-0000-0000-00003A140000}"/>
    <cellStyle name="Normal 5 2 2 4 2 2" xfId="5134" xr:uid="{00000000-0005-0000-0000-00003B140000}"/>
    <cellStyle name="Normal 5 2 2 4 3" xfId="5135" xr:uid="{00000000-0005-0000-0000-00003C140000}"/>
    <cellStyle name="Normal 5 2 2 5" xfId="5136" xr:uid="{00000000-0005-0000-0000-00003D140000}"/>
    <cellStyle name="Normal 5 2 2 5 2" xfId="5137" xr:uid="{00000000-0005-0000-0000-00003E140000}"/>
    <cellStyle name="Normal 5 2 2 5 2 2" xfId="5138" xr:uid="{00000000-0005-0000-0000-00003F140000}"/>
    <cellStyle name="Normal 5 2 2 5 3" xfId="5139" xr:uid="{00000000-0005-0000-0000-000040140000}"/>
    <cellStyle name="Normal 5 2 2 6" xfId="5140" xr:uid="{00000000-0005-0000-0000-000041140000}"/>
    <cellStyle name="Normal 5 2 2 6 2" xfId="5141" xr:uid="{00000000-0005-0000-0000-000042140000}"/>
    <cellStyle name="Normal 5 2 2 6 2 2" xfId="5142" xr:uid="{00000000-0005-0000-0000-000043140000}"/>
    <cellStyle name="Normal 5 2 2 6 3" xfId="5143" xr:uid="{00000000-0005-0000-0000-000044140000}"/>
    <cellStyle name="Normal 5 2 2 7" xfId="5144" xr:uid="{00000000-0005-0000-0000-000045140000}"/>
    <cellStyle name="Normal 5 2 2 7 2" xfId="5145" xr:uid="{00000000-0005-0000-0000-000046140000}"/>
    <cellStyle name="Normal 5 2 2 7 2 2" xfId="5146" xr:uid="{00000000-0005-0000-0000-000047140000}"/>
    <cellStyle name="Normal 5 2 2 7 3" xfId="5147" xr:uid="{00000000-0005-0000-0000-000048140000}"/>
    <cellStyle name="Normal 5 2 2 8" xfId="5148" xr:uid="{00000000-0005-0000-0000-000049140000}"/>
    <cellStyle name="Normal 5 2 2 8 2" xfId="5149" xr:uid="{00000000-0005-0000-0000-00004A140000}"/>
    <cellStyle name="Normal 5 2 2 8 2 2" xfId="5150" xr:uid="{00000000-0005-0000-0000-00004B140000}"/>
    <cellStyle name="Normal 5 2 2 8 3" xfId="5151" xr:uid="{00000000-0005-0000-0000-00004C140000}"/>
    <cellStyle name="Normal 5 2 2 9" xfId="5152" xr:uid="{00000000-0005-0000-0000-00004D140000}"/>
    <cellStyle name="Normal 5 2 2 9 2" xfId="5153" xr:uid="{00000000-0005-0000-0000-00004E140000}"/>
    <cellStyle name="Normal 5 2 2 9 2 2" xfId="5154" xr:uid="{00000000-0005-0000-0000-00004F140000}"/>
    <cellStyle name="Normal 5 2 2 9 3" xfId="5155" xr:uid="{00000000-0005-0000-0000-000050140000}"/>
    <cellStyle name="Normal 5 2 3" xfId="5156" xr:uid="{00000000-0005-0000-0000-000051140000}"/>
    <cellStyle name="Normal 5 2 3 2" xfId="5157" xr:uid="{00000000-0005-0000-0000-000052140000}"/>
    <cellStyle name="Normal 5 2 3 3" xfId="5158" xr:uid="{00000000-0005-0000-0000-000053140000}"/>
    <cellStyle name="Normal 5 2 3 4" xfId="5159" xr:uid="{00000000-0005-0000-0000-000054140000}"/>
    <cellStyle name="Normal 5 2 4" xfId="5160" xr:uid="{00000000-0005-0000-0000-000055140000}"/>
    <cellStyle name="Normal 5 2 5" xfId="5161" xr:uid="{00000000-0005-0000-0000-000056140000}"/>
    <cellStyle name="Normal 5 2 6" xfId="5162" xr:uid="{00000000-0005-0000-0000-000057140000}"/>
    <cellStyle name="Normal 5 2 7" xfId="5163" xr:uid="{00000000-0005-0000-0000-000058140000}"/>
    <cellStyle name="Normal 5 2 8" xfId="5164" xr:uid="{00000000-0005-0000-0000-000059140000}"/>
    <cellStyle name="Normal 5 3" xfId="5165" xr:uid="{00000000-0005-0000-0000-00005A140000}"/>
    <cellStyle name="Normal 5 3 10" xfId="5166" xr:uid="{00000000-0005-0000-0000-00005B140000}"/>
    <cellStyle name="Normal 5 3 11" xfId="5167" xr:uid="{00000000-0005-0000-0000-00005C140000}"/>
    <cellStyle name="Normal 5 3 2" xfId="5168" xr:uid="{00000000-0005-0000-0000-00005D140000}"/>
    <cellStyle name="Normal 5 3 2 2" xfId="5169" xr:uid="{00000000-0005-0000-0000-00005E140000}"/>
    <cellStyle name="Normal 5 3 2 3" xfId="5170" xr:uid="{00000000-0005-0000-0000-00005F140000}"/>
    <cellStyle name="Normal 5 3 3" xfId="5171" xr:uid="{00000000-0005-0000-0000-000060140000}"/>
    <cellStyle name="Normal 5 3 3 2" xfId="5172" xr:uid="{00000000-0005-0000-0000-000061140000}"/>
    <cellStyle name="Normal 5 3 3 3" xfId="5173" xr:uid="{00000000-0005-0000-0000-000062140000}"/>
    <cellStyle name="Normal 5 3 3 4" xfId="5174" xr:uid="{00000000-0005-0000-0000-000063140000}"/>
    <cellStyle name="Normal 5 3 4" xfId="5175" xr:uid="{00000000-0005-0000-0000-000064140000}"/>
    <cellStyle name="Normal 5 3 5" xfId="5176" xr:uid="{00000000-0005-0000-0000-000065140000}"/>
    <cellStyle name="Normal 5 3 6" xfId="5177" xr:uid="{00000000-0005-0000-0000-000066140000}"/>
    <cellStyle name="Normal 5 3 7" xfId="5178" xr:uid="{00000000-0005-0000-0000-000067140000}"/>
    <cellStyle name="Normal 5 3 8" xfId="5179" xr:uid="{00000000-0005-0000-0000-000068140000}"/>
    <cellStyle name="Normal 5 3 9" xfId="5180" xr:uid="{00000000-0005-0000-0000-000069140000}"/>
    <cellStyle name="Normal 5 3 9 2" xfId="5181" xr:uid="{00000000-0005-0000-0000-00006A140000}"/>
    <cellStyle name="Normal 5 3 9 3" xfId="5182" xr:uid="{00000000-0005-0000-0000-00006B140000}"/>
    <cellStyle name="Normal 5 4" xfId="5183" xr:uid="{00000000-0005-0000-0000-00006C140000}"/>
    <cellStyle name="Normal 5 4 2" xfId="5184" xr:uid="{00000000-0005-0000-0000-00006D140000}"/>
    <cellStyle name="Normal 5 4 3" xfId="5185" xr:uid="{00000000-0005-0000-0000-00006E140000}"/>
    <cellStyle name="Normal 5 4 4" xfId="5186" xr:uid="{00000000-0005-0000-0000-00006F140000}"/>
    <cellStyle name="Normal 5 4 5" xfId="5187" xr:uid="{00000000-0005-0000-0000-000070140000}"/>
    <cellStyle name="Normal 5 4 6" xfId="5188" xr:uid="{00000000-0005-0000-0000-000071140000}"/>
    <cellStyle name="Normal 5 4 7" xfId="5189" xr:uid="{00000000-0005-0000-0000-000072140000}"/>
    <cellStyle name="Normal 5 4 8" xfId="5190" xr:uid="{00000000-0005-0000-0000-000073140000}"/>
    <cellStyle name="Normal 5 5" xfId="5191" xr:uid="{00000000-0005-0000-0000-000074140000}"/>
    <cellStyle name="Normal 5 5 10" xfId="5192" xr:uid="{00000000-0005-0000-0000-000075140000}"/>
    <cellStyle name="Normal 5 5 11" xfId="5193" xr:uid="{00000000-0005-0000-0000-000076140000}"/>
    <cellStyle name="Normal 5 5 12" xfId="5194" xr:uid="{00000000-0005-0000-0000-000077140000}"/>
    <cellStyle name="Normal 5 5 2" xfId="5195" xr:uid="{00000000-0005-0000-0000-000078140000}"/>
    <cellStyle name="Normal 5 5 2 2" xfId="5196" xr:uid="{00000000-0005-0000-0000-000079140000}"/>
    <cellStyle name="Normal 5 5 2 2 2" xfId="5197" xr:uid="{00000000-0005-0000-0000-00007A140000}"/>
    <cellStyle name="Normal 5 5 2 3" xfId="5198" xr:uid="{00000000-0005-0000-0000-00007B140000}"/>
    <cellStyle name="Normal 5 5 2 4" xfId="5199" xr:uid="{00000000-0005-0000-0000-00007C140000}"/>
    <cellStyle name="Normal 5 5 2 5" xfId="5200" xr:uid="{00000000-0005-0000-0000-00007D140000}"/>
    <cellStyle name="Normal 5 5 2 6" xfId="5201" xr:uid="{00000000-0005-0000-0000-00007E140000}"/>
    <cellStyle name="Normal 5 5 3" xfId="5202" xr:uid="{00000000-0005-0000-0000-00007F140000}"/>
    <cellStyle name="Normal 5 5 3 2" xfId="5203" xr:uid="{00000000-0005-0000-0000-000080140000}"/>
    <cellStyle name="Normal 5 5 3 3" xfId="5204" xr:uid="{00000000-0005-0000-0000-000081140000}"/>
    <cellStyle name="Normal 5 5 3 4" xfId="5205" xr:uid="{00000000-0005-0000-0000-000082140000}"/>
    <cellStyle name="Normal 5 5 4" xfId="5206" xr:uid="{00000000-0005-0000-0000-000083140000}"/>
    <cellStyle name="Normal 5 5 4 2" xfId="5207" xr:uid="{00000000-0005-0000-0000-000084140000}"/>
    <cellStyle name="Normal 5 5 4 3" xfId="5208" xr:uid="{00000000-0005-0000-0000-000085140000}"/>
    <cellStyle name="Normal 5 5 4 4" xfId="5209" xr:uid="{00000000-0005-0000-0000-000086140000}"/>
    <cellStyle name="Normal 5 5 5" xfId="5210" xr:uid="{00000000-0005-0000-0000-000087140000}"/>
    <cellStyle name="Normal 5 5 6" xfId="5211" xr:uid="{00000000-0005-0000-0000-000088140000}"/>
    <cellStyle name="Normal 5 5 7" xfId="5212" xr:uid="{00000000-0005-0000-0000-000089140000}"/>
    <cellStyle name="Normal 5 5 8" xfId="5213" xr:uid="{00000000-0005-0000-0000-00008A140000}"/>
    <cellStyle name="Normal 5 5 9" xfId="5214" xr:uid="{00000000-0005-0000-0000-00008B140000}"/>
    <cellStyle name="Normal 5 5 9 2" xfId="5215" xr:uid="{00000000-0005-0000-0000-00008C140000}"/>
    <cellStyle name="Normal 5 5 9 3" xfId="5216" xr:uid="{00000000-0005-0000-0000-00008D140000}"/>
    <cellStyle name="Normal 5 6" xfId="5217" xr:uid="{00000000-0005-0000-0000-00008E140000}"/>
    <cellStyle name="Normal 5 6 2" xfId="5218" xr:uid="{00000000-0005-0000-0000-00008F140000}"/>
    <cellStyle name="Normal 5 6 3" xfId="5219" xr:uid="{00000000-0005-0000-0000-000090140000}"/>
    <cellStyle name="Normal 5 6 4" xfId="5220" xr:uid="{00000000-0005-0000-0000-000091140000}"/>
    <cellStyle name="Normal 5 7" xfId="5221" xr:uid="{00000000-0005-0000-0000-000092140000}"/>
    <cellStyle name="Normal 5 8" xfId="5222" xr:uid="{00000000-0005-0000-0000-000093140000}"/>
    <cellStyle name="Normal 5 9" xfId="5223" xr:uid="{00000000-0005-0000-0000-000094140000}"/>
    <cellStyle name="Normal 50" xfId="5224" xr:uid="{00000000-0005-0000-0000-000095140000}"/>
    <cellStyle name="Normal 51" xfId="5225" xr:uid="{00000000-0005-0000-0000-000096140000}"/>
    <cellStyle name="Normal 52" xfId="5226" xr:uid="{00000000-0005-0000-0000-000097140000}"/>
    <cellStyle name="Normal 53" xfId="5227" xr:uid="{00000000-0005-0000-0000-000098140000}"/>
    <cellStyle name="Normal 54" xfId="5228" xr:uid="{00000000-0005-0000-0000-000099140000}"/>
    <cellStyle name="Normal 55" xfId="5229" xr:uid="{00000000-0005-0000-0000-00009A140000}"/>
    <cellStyle name="Normal 6" xfId="5230" xr:uid="{00000000-0005-0000-0000-00009B140000}"/>
    <cellStyle name="Normal 6 10" xfId="5231" xr:uid="{00000000-0005-0000-0000-00009C140000}"/>
    <cellStyle name="Normal 6 10 2" xfId="5232" xr:uid="{00000000-0005-0000-0000-00009D140000}"/>
    <cellStyle name="Normal 6 10 3" xfId="5233" xr:uid="{00000000-0005-0000-0000-00009E140000}"/>
    <cellStyle name="Normal 6 11" xfId="5234" xr:uid="{00000000-0005-0000-0000-00009F140000}"/>
    <cellStyle name="Normal 6 12" xfId="5235" xr:uid="{00000000-0005-0000-0000-0000A0140000}"/>
    <cellStyle name="Normal 6 12 2" xfId="5236" xr:uid="{00000000-0005-0000-0000-0000A1140000}"/>
    <cellStyle name="Normal 6 12 3" xfId="5237" xr:uid="{00000000-0005-0000-0000-0000A2140000}"/>
    <cellStyle name="Normal 6 13" xfId="5238" xr:uid="{00000000-0005-0000-0000-0000A3140000}"/>
    <cellStyle name="Normal 6 2" xfId="5239" xr:uid="{00000000-0005-0000-0000-0000A4140000}"/>
    <cellStyle name="Normal 6 2 10" xfId="5240" xr:uid="{00000000-0005-0000-0000-0000A5140000}"/>
    <cellStyle name="Normal 6 2 11" xfId="5241" xr:uid="{00000000-0005-0000-0000-0000A6140000}"/>
    <cellStyle name="Normal 6 2 12" xfId="5242" xr:uid="{00000000-0005-0000-0000-0000A7140000}"/>
    <cellStyle name="Normal 6 2 13" xfId="5243" xr:uid="{00000000-0005-0000-0000-0000A8140000}"/>
    <cellStyle name="Normal 6 2 14" xfId="5244" xr:uid="{00000000-0005-0000-0000-0000A9140000}"/>
    <cellStyle name="Normal 6 2 2" xfId="5245" xr:uid="{00000000-0005-0000-0000-0000AA140000}"/>
    <cellStyle name="Normal 6 2 2 10" xfId="5246" xr:uid="{00000000-0005-0000-0000-0000AB140000}"/>
    <cellStyle name="Normal 6 2 2 10 2" xfId="5247" xr:uid="{00000000-0005-0000-0000-0000AC140000}"/>
    <cellStyle name="Normal 6 2 2 10 2 2" xfId="5248" xr:uid="{00000000-0005-0000-0000-0000AD140000}"/>
    <cellStyle name="Normal 6 2 2 10 3" xfId="5249" xr:uid="{00000000-0005-0000-0000-0000AE140000}"/>
    <cellStyle name="Normal 6 2 2 11" xfId="5250" xr:uid="{00000000-0005-0000-0000-0000AF140000}"/>
    <cellStyle name="Normal 6 2 2 11 2" xfId="5251" xr:uid="{00000000-0005-0000-0000-0000B0140000}"/>
    <cellStyle name="Normal 6 2 2 11 2 2" xfId="5252" xr:uid="{00000000-0005-0000-0000-0000B1140000}"/>
    <cellStyle name="Normal 6 2 2 11 3" xfId="5253" xr:uid="{00000000-0005-0000-0000-0000B2140000}"/>
    <cellStyle name="Normal 6 2 2 12" xfId="5254" xr:uid="{00000000-0005-0000-0000-0000B3140000}"/>
    <cellStyle name="Normal 6 2 2 12 2" xfId="5255" xr:uid="{00000000-0005-0000-0000-0000B4140000}"/>
    <cellStyle name="Normal 6 2 2 12 2 2" xfId="5256" xr:uid="{00000000-0005-0000-0000-0000B5140000}"/>
    <cellStyle name="Normal 6 2 2 12 3" xfId="5257" xr:uid="{00000000-0005-0000-0000-0000B6140000}"/>
    <cellStyle name="Normal 6 2 2 13" xfId="5258" xr:uid="{00000000-0005-0000-0000-0000B7140000}"/>
    <cellStyle name="Normal 6 2 2 13 2" xfId="5259" xr:uid="{00000000-0005-0000-0000-0000B8140000}"/>
    <cellStyle name="Normal 6 2 2 13 2 2" xfId="5260" xr:uid="{00000000-0005-0000-0000-0000B9140000}"/>
    <cellStyle name="Normal 6 2 2 13 3" xfId="5261" xr:uid="{00000000-0005-0000-0000-0000BA140000}"/>
    <cellStyle name="Normal 6 2 2 2" xfId="5262" xr:uid="{00000000-0005-0000-0000-0000BB140000}"/>
    <cellStyle name="Normal 6 2 2 2 2" xfId="5263" xr:uid="{00000000-0005-0000-0000-0000BC140000}"/>
    <cellStyle name="Normal 6 2 2 2 2 2" xfId="5264" xr:uid="{00000000-0005-0000-0000-0000BD140000}"/>
    <cellStyle name="Normal 6 2 2 2 3" xfId="5265" xr:uid="{00000000-0005-0000-0000-0000BE140000}"/>
    <cellStyle name="Normal 6 2 2 3" xfId="5266" xr:uid="{00000000-0005-0000-0000-0000BF140000}"/>
    <cellStyle name="Normal 6 2 2 3 2" xfId="5267" xr:uid="{00000000-0005-0000-0000-0000C0140000}"/>
    <cellStyle name="Normal 6 2 2 3 2 2" xfId="5268" xr:uid="{00000000-0005-0000-0000-0000C1140000}"/>
    <cellStyle name="Normal 6 2 2 3 3" xfId="5269" xr:uid="{00000000-0005-0000-0000-0000C2140000}"/>
    <cellStyle name="Normal 6 2 2 4" xfId="5270" xr:uid="{00000000-0005-0000-0000-0000C3140000}"/>
    <cellStyle name="Normal 6 2 2 4 2" xfId="5271" xr:uid="{00000000-0005-0000-0000-0000C4140000}"/>
    <cellStyle name="Normal 6 2 2 4 2 2" xfId="5272" xr:uid="{00000000-0005-0000-0000-0000C5140000}"/>
    <cellStyle name="Normal 6 2 2 4 3" xfId="5273" xr:uid="{00000000-0005-0000-0000-0000C6140000}"/>
    <cellStyle name="Normal 6 2 2 5" xfId="5274" xr:uid="{00000000-0005-0000-0000-0000C7140000}"/>
    <cellStyle name="Normal 6 2 2 5 2" xfId="5275" xr:uid="{00000000-0005-0000-0000-0000C8140000}"/>
    <cellStyle name="Normal 6 2 2 5 2 2" xfId="5276" xr:uid="{00000000-0005-0000-0000-0000C9140000}"/>
    <cellStyle name="Normal 6 2 2 5 3" xfId="5277" xr:uid="{00000000-0005-0000-0000-0000CA140000}"/>
    <cellStyle name="Normal 6 2 2 6" xfId="5278" xr:uid="{00000000-0005-0000-0000-0000CB140000}"/>
    <cellStyle name="Normal 6 2 2 6 2" xfId="5279" xr:uid="{00000000-0005-0000-0000-0000CC140000}"/>
    <cellStyle name="Normal 6 2 2 6 2 2" xfId="5280" xr:uid="{00000000-0005-0000-0000-0000CD140000}"/>
    <cellStyle name="Normal 6 2 2 6 3" xfId="5281" xr:uid="{00000000-0005-0000-0000-0000CE140000}"/>
    <cellStyle name="Normal 6 2 2 7" xfId="5282" xr:uid="{00000000-0005-0000-0000-0000CF140000}"/>
    <cellStyle name="Normal 6 2 2 7 2" xfId="5283" xr:uid="{00000000-0005-0000-0000-0000D0140000}"/>
    <cellStyle name="Normal 6 2 2 7 2 2" xfId="5284" xr:uid="{00000000-0005-0000-0000-0000D1140000}"/>
    <cellStyle name="Normal 6 2 2 7 3" xfId="5285" xr:uid="{00000000-0005-0000-0000-0000D2140000}"/>
    <cellStyle name="Normal 6 2 2 8" xfId="5286" xr:uid="{00000000-0005-0000-0000-0000D3140000}"/>
    <cellStyle name="Normal 6 2 2 8 2" xfId="5287" xr:uid="{00000000-0005-0000-0000-0000D4140000}"/>
    <cellStyle name="Normal 6 2 2 8 2 2" xfId="5288" xr:uid="{00000000-0005-0000-0000-0000D5140000}"/>
    <cellStyle name="Normal 6 2 2 8 3" xfId="5289" xr:uid="{00000000-0005-0000-0000-0000D6140000}"/>
    <cellStyle name="Normal 6 2 2 9" xfId="5290" xr:uid="{00000000-0005-0000-0000-0000D7140000}"/>
    <cellStyle name="Normal 6 2 2 9 2" xfId="5291" xr:uid="{00000000-0005-0000-0000-0000D8140000}"/>
    <cellStyle name="Normal 6 2 2 9 2 2" xfId="5292" xr:uid="{00000000-0005-0000-0000-0000D9140000}"/>
    <cellStyle name="Normal 6 2 2 9 3" xfId="5293" xr:uid="{00000000-0005-0000-0000-0000DA140000}"/>
    <cellStyle name="Normal 6 2 3" xfId="5294" xr:uid="{00000000-0005-0000-0000-0000DB140000}"/>
    <cellStyle name="Normal 6 2 4" xfId="5295" xr:uid="{00000000-0005-0000-0000-0000DC140000}"/>
    <cellStyle name="Normal 6 2 4 2" xfId="5296" xr:uid="{00000000-0005-0000-0000-0000DD140000}"/>
    <cellStyle name="Normal 6 2 5" xfId="5297" xr:uid="{00000000-0005-0000-0000-0000DE140000}"/>
    <cellStyle name="Normal 6 2 6" xfId="5298" xr:uid="{00000000-0005-0000-0000-0000DF140000}"/>
    <cellStyle name="Normal 6 2 7" xfId="5299" xr:uid="{00000000-0005-0000-0000-0000E0140000}"/>
    <cellStyle name="Normal 6 2 8" xfId="5300" xr:uid="{00000000-0005-0000-0000-0000E1140000}"/>
    <cellStyle name="Normal 6 2 9" xfId="5301" xr:uid="{00000000-0005-0000-0000-0000E2140000}"/>
    <cellStyle name="Normal 6 3" xfId="5302" xr:uid="{00000000-0005-0000-0000-0000E3140000}"/>
    <cellStyle name="Normal 6 3 10" xfId="5303" xr:uid="{00000000-0005-0000-0000-0000E4140000}"/>
    <cellStyle name="Normal 6 3 11" xfId="5304" xr:uid="{00000000-0005-0000-0000-0000E5140000}"/>
    <cellStyle name="Normal 6 3 12" xfId="5305" xr:uid="{00000000-0005-0000-0000-0000E6140000}"/>
    <cellStyle name="Normal 6 3 13" xfId="5306" xr:uid="{00000000-0005-0000-0000-0000E7140000}"/>
    <cellStyle name="Normal 6 3 14" xfId="5307" xr:uid="{00000000-0005-0000-0000-0000E8140000}"/>
    <cellStyle name="Normal 6 3 15" xfId="5308" xr:uid="{00000000-0005-0000-0000-0000E9140000}"/>
    <cellStyle name="Normal 6 3 16" xfId="5309" xr:uid="{00000000-0005-0000-0000-0000EA140000}"/>
    <cellStyle name="Normal 6 3 17" xfId="5310" xr:uid="{00000000-0005-0000-0000-0000EB140000}"/>
    <cellStyle name="Normal 6 3 17 2" xfId="5311" xr:uid="{00000000-0005-0000-0000-0000EC140000}"/>
    <cellStyle name="Normal 6 3 18" xfId="5312" xr:uid="{00000000-0005-0000-0000-0000ED140000}"/>
    <cellStyle name="Normal 6 3 19" xfId="5313" xr:uid="{00000000-0005-0000-0000-0000EE140000}"/>
    <cellStyle name="Normal 6 3 2" xfId="5314" xr:uid="{00000000-0005-0000-0000-0000EF140000}"/>
    <cellStyle name="Normal 6 3 3" xfId="5315" xr:uid="{00000000-0005-0000-0000-0000F0140000}"/>
    <cellStyle name="Normal 6 3 4" xfId="5316" xr:uid="{00000000-0005-0000-0000-0000F1140000}"/>
    <cellStyle name="Normal 6 3 5" xfId="5317" xr:uid="{00000000-0005-0000-0000-0000F2140000}"/>
    <cellStyle name="Normal 6 3 6" xfId="5318" xr:uid="{00000000-0005-0000-0000-0000F3140000}"/>
    <cellStyle name="Normal 6 3 7" xfId="5319" xr:uid="{00000000-0005-0000-0000-0000F4140000}"/>
    <cellStyle name="Normal 6 3 8" xfId="5320" xr:uid="{00000000-0005-0000-0000-0000F5140000}"/>
    <cellStyle name="Normal 6 3 9" xfId="5321" xr:uid="{00000000-0005-0000-0000-0000F6140000}"/>
    <cellStyle name="Normal 6 3 9 2" xfId="5322" xr:uid="{00000000-0005-0000-0000-0000F7140000}"/>
    <cellStyle name="Normal 6 3 9 3" xfId="5323" xr:uid="{00000000-0005-0000-0000-0000F8140000}"/>
    <cellStyle name="Normal 6 4" xfId="5324" xr:uid="{00000000-0005-0000-0000-0000F9140000}"/>
    <cellStyle name="Normal 6 4 2" xfId="5325" xr:uid="{00000000-0005-0000-0000-0000FA140000}"/>
    <cellStyle name="Normal 6 4 3" xfId="5326" xr:uid="{00000000-0005-0000-0000-0000FB140000}"/>
    <cellStyle name="Normal 6 4 4" xfId="5327" xr:uid="{00000000-0005-0000-0000-0000FC140000}"/>
    <cellStyle name="Normal 6 4 5" xfId="5328" xr:uid="{00000000-0005-0000-0000-0000FD140000}"/>
    <cellStyle name="Normal 6 4 6" xfId="5329" xr:uid="{00000000-0005-0000-0000-0000FE140000}"/>
    <cellStyle name="Normal 6 4 7" xfId="5330" xr:uid="{00000000-0005-0000-0000-0000FF140000}"/>
    <cellStyle name="Normal 6 4 8" xfId="5331" xr:uid="{00000000-0005-0000-0000-000000150000}"/>
    <cellStyle name="Normal 6 5" xfId="5332" xr:uid="{00000000-0005-0000-0000-000001150000}"/>
    <cellStyle name="Normal 6 5 2" xfId="5333" xr:uid="{00000000-0005-0000-0000-000002150000}"/>
    <cellStyle name="Normal 6 5 3" xfId="5334" xr:uid="{00000000-0005-0000-0000-000003150000}"/>
    <cellStyle name="Normal 6 5 4" xfId="5335" xr:uid="{00000000-0005-0000-0000-000004150000}"/>
    <cellStyle name="Normal 6 5 5" xfId="5336" xr:uid="{00000000-0005-0000-0000-000005150000}"/>
    <cellStyle name="Normal 6 5 6" xfId="5337" xr:uid="{00000000-0005-0000-0000-000006150000}"/>
    <cellStyle name="Normal 6 5 7" xfId="5338" xr:uid="{00000000-0005-0000-0000-000007150000}"/>
    <cellStyle name="Normal 6 5 8" xfId="5339" xr:uid="{00000000-0005-0000-0000-000008150000}"/>
    <cellStyle name="Normal 6 6" xfId="5340" xr:uid="{00000000-0005-0000-0000-000009150000}"/>
    <cellStyle name="Normal 6 7" xfId="5341" xr:uid="{00000000-0005-0000-0000-00000A150000}"/>
    <cellStyle name="Normal 6 8" xfId="5342" xr:uid="{00000000-0005-0000-0000-00000B150000}"/>
    <cellStyle name="Normal 6 9" xfId="5343" xr:uid="{00000000-0005-0000-0000-00000C150000}"/>
    <cellStyle name="Normal 6_ELC" xfId="5344" xr:uid="{00000000-0005-0000-0000-00000D150000}"/>
    <cellStyle name="Normal 7" xfId="5345" xr:uid="{00000000-0005-0000-0000-00000E150000}"/>
    <cellStyle name="Normal 7 10" xfId="5346" xr:uid="{00000000-0005-0000-0000-00000F150000}"/>
    <cellStyle name="Normal 7 11" xfId="5347" xr:uid="{00000000-0005-0000-0000-000010150000}"/>
    <cellStyle name="Normal 7 12" xfId="5348" xr:uid="{00000000-0005-0000-0000-000011150000}"/>
    <cellStyle name="Normal 7 13" xfId="5349" xr:uid="{00000000-0005-0000-0000-000012150000}"/>
    <cellStyle name="Normal 7 14" xfId="5350" xr:uid="{00000000-0005-0000-0000-000013150000}"/>
    <cellStyle name="Normal 7 15" xfId="5351" xr:uid="{00000000-0005-0000-0000-000014150000}"/>
    <cellStyle name="Normal 7 2" xfId="5352" xr:uid="{00000000-0005-0000-0000-000015150000}"/>
    <cellStyle name="Normal 7 2 2" xfId="5353" xr:uid="{00000000-0005-0000-0000-000016150000}"/>
    <cellStyle name="Normal 7 2 3" xfId="5354" xr:uid="{00000000-0005-0000-0000-000017150000}"/>
    <cellStyle name="Normal 7 2 3 2" xfId="5355" xr:uid="{00000000-0005-0000-0000-000018150000}"/>
    <cellStyle name="Normal 7 2 3 3" xfId="5356" xr:uid="{00000000-0005-0000-0000-000019150000}"/>
    <cellStyle name="Normal 7 2 4" xfId="5357" xr:uid="{00000000-0005-0000-0000-00001A150000}"/>
    <cellStyle name="Normal 7 2 5" xfId="5358" xr:uid="{00000000-0005-0000-0000-00001B150000}"/>
    <cellStyle name="Normal 7 2 6" xfId="5359" xr:uid="{00000000-0005-0000-0000-00001C150000}"/>
    <cellStyle name="Normal 7 2 7" xfId="5360" xr:uid="{00000000-0005-0000-0000-00001D150000}"/>
    <cellStyle name="Normal 7 2 8" xfId="5361" xr:uid="{00000000-0005-0000-0000-00001E150000}"/>
    <cellStyle name="Normal 7 2 9" xfId="5362" xr:uid="{00000000-0005-0000-0000-00001F150000}"/>
    <cellStyle name="Normal 7 2_Scen_XBase" xfId="5363" xr:uid="{00000000-0005-0000-0000-000020150000}"/>
    <cellStyle name="Normal 7 3" xfId="5364" xr:uid="{00000000-0005-0000-0000-000021150000}"/>
    <cellStyle name="Normal 7 3 10" xfId="5365" xr:uid="{00000000-0005-0000-0000-000022150000}"/>
    <cellStyle name="Normal 7 3 11" xfId="5366" xr:uid="{00000000-0005-0000-0000-000023150000}"/>
    <cellStyle name="Normal 7 3 12" xfId="5367" xr:uid="{00000000-0005-0000-0000-000024150000}"/>
    <cellStyle name="Normal 7 3 2" xfId="5368" xr:uid="{00000000-0005-0000-0000-000025150000}"/>
    <cellStyle name="Normal 7 3 3" xfId="5369" xr:uid="{00000000-0005-0000-0000-000026150000}"/>
    <cellStyle name="Normal 7 3 4" xfId="5370" xr:uid="{00000000-0005-0000-0000-000027150000}"/>
    <cellStyle name="Normal 7 3 5" xfId="5371" xr:uid="{00000000-0005-0000-0000-000028150000}"/>
    <cellStyle name="Normal 7 3 6" xfId="5372" xr:uid="{00000000-0005-0000-0000-000029150000}"/>
    <cellStyle name="Normal 7 3 7" xfId="5373" xr:uid="{00000000-0005-0000-0000-00002A150000}"/>
    <cellStyle name="Normal 7 3 8" xfId="5374" xr:uid="{00000000-0005-0000-0000-00002B150000}"/>
    <cellStyle name="Normal 7 3 9" xfId="5375" xr:uid="{00000000-0005-0000-0000-00002C150000}"/>
    <cellStyle name="Normal 7 4" xfId="5376" xr:uid="{00000000-0005-0000-0000-00002D150000}"/>
    <cellStyle name="Normal 7 4 2" xfId="5377" xr:uid="{00000000-0005-0000-0000-00002E150000}"/>
    <cellStyle name="Normal 7 4 3" xfId="5378" xr:uid="{00000000-0005-0000-0000-00002F150000}"/>
    <cellStyle name="Normal 7 4 4" xfId="5379" xr:uid="{00000000-0005-0000-0000-000030150000}"/>
    <cellStyle name="Normal 7 4 5" xfId="5380" xr:uid="{00000000-0005-0000-0000-000031150000}"/>
    <cellStyle name="Normal 7 4 6" xfId="5381" xr:uid="{00000000-0005-0000-0000-000032150000}"/>
    <cellStyle name="Normal 7 4 7" xfId="5382" xr:uid="{00000000-0005-0000-0000-000033150000}"/>
    <cellStyle name="Normal 7 4 8" xfId="5383" xr:uid="{00000000-0005-0000-0000-000034150000}"/>
    <cellStyle name="Normal 7 5" xfId="5384" xr:uid="{00000000-0005-0000-0000-000035150000}"/>
    <cellStyle name="Normal 7 5 2" xfId="5385" xr:uid="{00000000-0005-0000-0000-000036150000}"/>
    <cellStyle name="Normal 7 5 3" xfId="5386" xr:uid="{00000000-0005-0000-0000-000037150000}"/>
    <cellStyle name="Normal 7 5 4" xfId="5387" xr:uid="{00000000-0005-0000-0000-000038150000}"/>
    <cellStyle name="Normal 7 5 5" xfId="5388" xr:uid="{00000000-0005-0000-0000-000039150000}"/>
    <cellStyle name="Normal 7 5 6" xfId="5389" xr:uid="{00000000-0005-0000-0000-00003A150000}"/>
    <cellStyle name="Normal 7 5 7" xfId="5390" xr:uid="{00000000-0005-0000-0000-00003B150000}"/>
    <cellStyle name="Normal 7 5 8" xfId="5391" xr:uid="{00000000-0005-0000-0000-00003C150000}"/>
    <cellStyle name="Normal 7 6" xfId="5392" xr:uid="{00000000-0005-0000-0000-00003D150000}"/>
    <cellStyle name="Normal 7 7" xfId="5393" xr:uid="{00000000-0005-0000-0000-00003E150000}"/>
    <cellStyle name="Normal 7 8" xfId="5394" xr:uid="{00000000-0005-0000-0000-00003F150000}"/>
    <cellStyle name="Normal 7 9" xfId="5395" xr:uid="{00000000-0005-0000-0000-000040150000}"/>
    <cellStyle name="Normal 8" xfId="5396" xr:uid="{00000000-0005-0000-0000-000041150000}"/>
    <cellStyle name="Normal 8 10" xfId="5397" xr:uid="{00000000-0005-0000-0000-000042150000}"/>
    <cellStyle name="Normal 8 10 2" xfId="5398" xr:uid="{00000000-0005-0000-0000-000043150000}"/>
    <cellStyle name="Normal 8 10 3" xfId="5399" xr:uid="{00000000-0005-0000-0000-000044150000}"/>
    <cellStyle name="Normal 8 11" xfId="5400" xr:uid="{00000000-0005-0000-0000-000045150000}"/>
    <cellStyle name="Normal 8 11 2" xfId="5401" xr:uid="{00000000-0005-0000-0000-000046150000}"/>
    <cellStyle name="Normal 8 11 3" xfId="5402" xr:uid="{00000000-0005-0000-0000-000047150000}"/>
    <cellStyle name="Normal 8 11 4" xfId="5403" xr:uid="{00000000-0005-0000-0000-000048150000}"/>
    <cellStyle name="Normal 8 12" xfId="5404" xr:uid="{00000000-0005-0000-0000-000049150000}"/>
    <cellStyle name="Normal 8 13" xfId="5405" xr:uid="{00000000-0005-0000-0000-00004A150000}"/>
    <cellStyle name="Normal 8 2" xfId="5406" xr:uid="{00000000-0005-0000-0000-00004B150000}"/>
    <cellStyle name="Normal 8 2 2" xfId="5407" xr:uid="{00000000-0005-0000-0000-00004C150000}"/>
    <cellStyle name="Normal 8 2 3" xfId="5408" xr:uid="{00000000-0005-0000-0000-00004D150000}"/>
    <cellStyle name="Normal 8 2 4" xfId="5409" xr:uid="{00000000-0005-0000-0000-00004E150000}"/>
    <cellStyle name="Normal 8 2 5" xfId="5410" xr:uid="{00000000-0005-0000-0000-00004F150000}"/>
    <cellStyle name="Normal 8 2 6" xfId="5411" xr:uid="{00000000-0005-0000-0000-000050150000}"/>
    <cellStyle name="Normal 8 2 7" xfId="5412" xr:uid="{00000000-0005-0000-0000-000051150000}"/>
    <cellStyle name="Normal 8 2 8" xfId="5413" xr:uid="{00000000-0005-0000-0000-000052150000}"/>
    <cellStyle name="Normal 8 2 9" xfId="5414" xr:uid="{00000000-0005-0000-0000-000053150000}"/>
    <cellStyle name="Normal 8 3" xfId="5415" xr:uid="{00000000-0005-0000-0000-000054150000}"/>
    <cellStyle name="Normal 8 3 2" xfId="5416" xr:uid="{00000000-0005-0000-0000-000055150000}"/>
    <cellStyle name="Normal 8 3 2 2" xfId="5417" xr:uid="{00000000-0005-0000-0000-000056150000}"/>
    <cellStyle name="Normal 8 3 3" xfId="5418" xr:uid="{00000000-0005-0000-0000-000057150000}"/>
    <cellStyle name="Normal 8 3 4" xfId="5419" xr:uid="{00000000-0005-0000-0000-000058150000}"/>
    <cellStyle name="Normal 8 3 5" xfId="5420" xr:uid="{00000000-0005-0000-0000-000059150000}"/>
    <cellStyle name="Normal 8 3 6" xfId="5421" xr:uid="{00000000-0005-0000-0000-00005A150000}"/>
    <cellStyle name="Normal 8 3 7" xfId="5422" xr:uid="{00000000-0005-0000-0000-00005B150000}"/>
    <cellStyle name="Normal 8 3 8" xfId="5423" xr:uid="{00000000-0005-0000-0000-00005C150000}"/>
    <cellStyle name="Normal 8 3 9" xfId="5424" xr:uid="{00000000-0005-0000-0000-00005D150000}"/>
    <cellStyle name="Normal 8 3 9 2" xfId="5425" xr:uid="{00000000-0005-0000-0000-00005E150000}"/>
    <cellStyle name="Normal 8 4" xfId="5426" xr:uid="{00000000-0005-0000-0000-00005F150000}"/>
    <cellStyle name="Normal 8 4 2" xfId="5427" xr:uid="{00000000-0005-0000-0000-000060150000}"/>
    <cellStyle name="Normal 8 4 3" xfId="5428" xr:uid="{00000000-0005-0000-0000-000061150000}"/>
    <cellStyle name="Normal 8 4 4" xfId="5429" xr:uid="{00000000-0005-0000-0000-000062150000}"/>
    <cellStyle name="Normal 8 4 5" xfId="5430" xr:uid="{00000000-0005-0000-0000-000063150000}"/>
    <cellStyle name="Normal 8 4 6" xfId="5431" xr:uid="{00000000-0005-0000-0000-000064150000}"/>
    <cellStyle name="Normal 8 4 7" xfId="5432" xr:uid="{00000000-0005-0000-0000-000065150000}"/>
    <cellStyle name="Normal 8 4 8" xfId="5433" xr:uid="{00000000-0005-0000-0000-000066150000}"/>
    <cellStyle name="Normal 8 5" xfId="5434" xr:uid="{00000000-0005-0000-0000-000067150000}"/>
    <cellStyle name="Normal 8 5 2" xfId="5435" xr:uid="{00000000-0005-0000-0000-000068150000}"/>
    <cellStyle name="Normal 8 5 3" xfId="5436" xr:uid="{00000000-0005-0000-0000-000069150000}"/>
    <cellStyle name="Normal 8 5 4" xfId="5437" xr:uid="{00000000-0005-0000-0000-00006A150000}"/>
    <cellStyle name="Normal 8 5 5" xfId="5438" xr:uid="{00000000-0005-0000-0000-00006B150000}"/>
    <cellStyle name="Normal 8 5 6" xfId="5439" xr:uid="{00000000-0005-0000-0000-00006C150000}"/>
    <cellStyle name="Normal 8 5 7" xfId="5440" xr:uid="{00000000-0005-0000-0000-00006D150000}"/>
    <cellStyle name="Normal 8 5 8" xfId="5441" xr:uid="{00000000-0005-0000-0000-00006E150000}"/>
    <cellStyle name="Normal 8 6" xfId="5442" xr:uid="{00000000-0005-0000-0000-00006F150000}"/>
    <cellStyle name="Normal 8 7" xfId="5443" xr:uid="{00000000-0005-0000-0000-000070150000}"/>
    <cellStyle name="Normal 8 8" xfId="5444" xr:uid="{00000000-0005-0000-0000-000071150000}"/>
    <cellStyle name="Normal 8 9" xfId="5445" xr:uid="{00000000-0005-0000-0000-000072150000}"/>
    <cellStyle name="Normal 9" xfId="5446" xr:uid="{00000000-0005-0000-0000-000073150000}"/>
    <cellStyle name="Normal 9 10" xfId="5447" xr:uid="{00000000-0005-0000-0000-000074150000}"/>
    <cellStyle name="Normal 9 10 2" xfId="5448" xr:uid="{00000000-0005-0000-0000-000075150000}"/>
    <cellStyle name="Normal 9 11" xfId="5449" xr:uid="{00000000-0005-0000-0000-000076150000}"/>
    <cellStyle name="Normal 9 11 2" xfId="5450" xr:uid="{00000000-0005-0000-0000-000077150000}"/>
    <cellStyle name="Normal 9 12" xfId="5451" xr:uid="{00000000-0005-0000-0000-000078150000}"/>
    <cellStyle name="Normal 9 13" xfId="5452" xr:uid="{00000000-0005-0000-0000-000079150000}"/>
    <cellStyle name="Normal 9 2" xfId="5453" xr:uid="{00000000-0005-0000-0000-00007A150000}"/>
    <cellStyle name="Normal 9 2 2" xfId="5454" xr:uid="{00000000-0005-0000-0000-00007B150000}"/>
    <cellStyle name="Normal 9 2 2 2" xfId="5455" xr:uid="{00000000-0005-0000-0000-00007C150000}"/>
    <cellStyle name="Normal 9 2 2 3" xfId="5456" xr:uid="{00000000-0005-0000-0000-00007D150000}"/>
    <cellStyle name="Normal 9 2 3" xfId="5457" xr:uid="{00000000-0005-0000-0000-00007E150000}"/>
    <cellStyle name="Normal 9 2 3 2" xfId="5458" xr:uid="{00000000-0005-0000-0000-00007F150000}"/>
    <cellStyle name="Normal 9 2 4" xfId="5459" xr:uid="{00000000-0005-0000-0000-000080150000}"/>
    <cellStyle name="Normal 9 2 4 2" xfId="5460" xr:uid="{00000000-0005-0000-0000-000081150000}"/>
    <cellStyle name="Normal 9 2 5" xfId="5461" xr:uid="{00000000-0005-0000-0000-000082150000}"/>
    <cellStyle name="Normal 9 2 6" xfId="5462" xr:uid="{00000000-0005-0000-0000-000083150000}"/>
    <cellStyle name="Normal 9 3" xfId="5463" xr:uid="{00000000-0005-0000-0000-000084150000}"/>
    <cellStyle name="Normal 9 3 2" xfId="5464" xr:uid="{00000000-0005-0000-0000-000085150000}"/>
    <cellStyle name="Normal 9 3 3" xfId="5465" xr:uid="{00000000-0005-0000-0000-000086150000}"/>
    <cellStyle name="Normal 9 3 4" xfId="5466" xr:uid="{00000000-0005-0000-0000-000087150000}"/>
    <cellStyle name="Normal 9 3 5" xfId="5467" xr:uid="{00000000-0005-0000-0000-000088150000}"/>
    <cellStyle name="Normal 9 4" xfId="5468" xr:uid="{00000000-0005-0000-0000-000089150000}"/>
    <cellStyle name="Normal 9 5" xfId="5469" xr:uid="{00000000-0005-0000-0000-00008A150000}"/>
    <cellStyle name="Normal 9 6" xfId="5470" xr:uid="{00000000-0005-0000-0000-00008B150000}"/>
    <cellStyle name="Normal 9 7" xfId="5471" xr:uid="{00000000-0005-0000-0000-00008C150000}"/>
    <cellStyle name="Normal 9 8" xfId="5472" xr:uid="{00000000-0005-0000-0000-00008D150000}"/>
    <cellStyle name="Normal 9 9" xfId="5473" xr:uid="{00000000-0005-0000-0000-00008E150000}"/>
    <cellStyle name="Normal 9 9 2" xfId="5474" xr:uid="{00000000-0005-0000-0000-00008F150000}"/>
    <cellStyle name="Normal 9 9 3" xfId="5475" xr:uid="{00000000-0005-0000-0000-000090150000}"/>
    <cellStyle name="Normal GHG Numbers (0.00)" xfId="5476" xr:uid="{00000000-0005-0000-0000-000091150000}"/>
    <cellStyle name="Normal GHG Textfiels Bold" xfId="5477" xr:uid="{00000000-0005-0000-0000-000092150000}"/>
    <cellStyle name="Normal GHG whole table" xfId="5478" xr:uid="{00000000-0005-0000-0000-000093150000}"/>
    <cellStyle name="Normal GHG-Shade" xfId="5479" xr:uid="{00000000-0005-0000-0000-000094150000}"/>
    <cellStyle name="Normál_C3EM_v2" xfId="5480" xr:uid="{00000000-0005-0000-0000-000095150000}"/>
    <cellStyle name="Normale 2" xfId="5481" xr:uid="{00000000-0005-0000-0000-000096150000}"/>
    <cellStyle name="Normale_B2020" xfId="5482" xr:uid="{00000000-0005-0000-0000-000097150000}"/>
    <cellStyle name="normální_List1" xfId="5483" xr:uid="{00000000-0005-0000-0000-000098150000}"/>
    <cellStyle name="Note 10" xfId="5484" xr:uid="{00000000-0005-0000-0000-000099150000}"/>
    <cellStyle name="Note 10 2" xfId="5485" xr:uid="{00000000-0005-0000-0000-00009A150000}"/>
    <cellStyle name="Note 10 3" xfId="5486" xr:uid="{00000000-0005-0000-0000-00009B150000}"/>
    <cellStyle name="Note 10 3 2" xfId="5487" xr:uid="{00000000-0005-0000-0000-00009C150000}"/>
    <cellStyle name="Note 10 3_ELC_final" xfId="5488" xr:uid="{00000000-0005-0000-0000-00009D150000}"/>
    <cellStyle name="Note 10_ELC_final" xfId="5489" xr:uid="{00000000-0005-0000-0000-00009E150000}"/>
    <cellStyle name="Note 11" xfId="5490" xr:uid="{00000000-0005-0000-0000-00009F150000}"/>
    <cellStyle name="Note 11 2" xfId="5491" xr:uid="{00000000-0005-0000-0000-0000A0150000}"/>
    <cellStyle name="Note 11_ELC_final" xfId="5492" xr:uid="{00000000-0005-0000-0000-0000A1150000}"/>
    <cellStyle name="Note 12" xfId="5493" xr:uid="{00000000-0005-0000-0000-0000A2150000}"/>
    <cellStyle name="Note 12 2" xfId="5494" xr:uid="{00000000-0005-0000-0000-0000A3150000}"/>
    <cellStyle name="Note 12_ELC_final" xfId="5495" xr:uid="{00000000-0005-0000-0000-0000A4150000}"/>
    <cellStyle name="Note 13" xfId="5496" xr:uid="{00000000-0005-0000-0000-0000A5150000}"/>
    <cellStyle name="Note 13 2" xfId="5497" xr:uid="{00000000-0005-0000-0000-0000A6150000}"/>
    <cellStyle name="Note 13_ELC_final" xfId="5498" xr:uid="{00000000-0005-0000-0000-0000A7150000}"/>
    <cellStyle name="Note 14" xfId="5499" xr:uid="{00000000-0005-0000-0000-0000A8150000}"/>
    <cellStyle name="Note 14 2" xfId="5500" xr:uid="{00000000-0005-0000-0000-0000A9150000}"/>
    <cellStyle name="Note 14_ELC_final" xfId="5501" xr:uid="{00000000-0005-0000-0000-0000AA150000}"/>
    <cellStyle name="Note 15" xfId="5502" xr:uid="{00000000-0005-0000-0000-0000AB150000}"/>
    <cellStyle name="Note 15 2" xfId="5503" xr:uid="{00000000-0005-0000-0000-0000AC150000}"/>
    <cellStyle name="Note 15_ELC_final" xfId="5504" xr:uid="{00000000-0005-0000-0000-0000AD150000}"/>
    <cellStyle name="Note 16" xfId="5505" xr:uid="{00000000-0005-0000-0000-0000AE150000}"/>
    <cellStyle name="Note 16 2" xfId="5506" xr:uid="{00000000-0005-0000-0000-0000AF150000}"/>
    <cellStyle name="Note 16_ELC_final" xfId="5507" xr:uid="{00000000-0005-0000-0000-0000B0150000}"/>
    <cellStyle name="Note 17" xfId="5508" xr:uid="{00000000-0005-0000-0000-0000B1150000}"/>
    <cellStyle name="Note 17 2" xfId="5509" xr:uid="{00000000-0005-0000-0000-0000B2150000}"/>
    <cellStyle name="Note 17_ELC_final" xfId="5510" xr:uid="{00000000-0005-0000-0000-0000B3150000}"/>
    <cellStyle name="Note 18" xfId="5511" xr:uid="{00000000-0005-0000-0000-0000B4150000}"/>
    <cellStyle name="Note 18 2" xfId="5512" xr:uid="{00000000-0005-0000-0000-0000B5150000}"/>
    <cellStyle name="Note 18_ELC_final" xfId="5513" xr:uid="{00000000-0005-0000-0000-0000B6150000}"/>
    <cellStyle name="Note 19" xfId="5514" xr:uid="{00000000-0005-0000-0000-0000B7150000}"/>
    <cellStyle name="Note 2" xfId="5515" xr:uid="{00000000-0005-0000-0000-0000B8150000}"/>
    <cellStyle name="Note 2 10" xfId="5516" xr:uid="{00000000-0005-0000-0000-0000B9150000}"/>
    <cellStyle name="Note 2 11" xfId="5517" xr:uid="{00000000-0005-0000-0000-0000BA150000}"/>
    <cellStyle name="Note 2 12" xfId="5518" xr:uid="{00000000-0005-0000-0000-0000BB150000}"/>
    <cellStyle name="Note 2 13" xfId="5519" xr:uid="{00000000-0005-0000-0000-0000BC150000}"/>
    <cellStyle name="Note 2 14" xfId="5520" xr:uid="{00000000-0005-0000-0000-0000BD150000}"/>
    <cellStyle name="Note 2 15" xfId="5521" xr:uid="{00000000-0005-0000-0000-0000BE150000}"/>
    <cellStyle name="Note 2 16" xfId="5522" xr:uid="{00000000-0005-0000-0000-0000BF150000}"/>
    <cellStyle name="Note 2 17" xfId="5523" xr:uid="{00000000-0005-0000-0000-0000C0150000}"/>
    <cellStyle name="Note 2 2" xfId="5524" xr:uid="{00000000-0005-0000-0000-0000C1150000}"/>
    <cellStyle name="Note 2 2 2" xfId="5525" xr:uid="{00000000-0005-0000-0000-0000C2150000}"/>
    <cellStyle name="Note 2 3" xfId="5526" xr:uid="{00000000-0005-0000-0000-0000C3150000}"/>
    <cellStyle name="Note 2 3 2" xfId="5527" xr:uid="{00000000-0005-0000-0000-0000C4150000}"/>
    <cellStyle name="Note 2 3 3" xfId="5528" xr:uid="{00000000-0005-0000-0000-0000C5150000}"/>
    <cellStyle name="Note 2 4" xfId="5529" xr:uid="{00000000-0005-0000-0000-0000C6150000}"/>
    <cellStyle name="Note 2 5" xfId="5530" xr:uid="{00000000-0005-0000-0000-0000C7150000}"/>
    <cellStyle name="Note 2 6" xfId="5531" xr:uid="{00000000-0005-0000-0000-0000C8150000}"/>
    <cellStyle name="Note 2 7" xfId="5532" xr:uid="{00000000-0005-0000-0000-0000C9150000}"/>
    <cellStyle name="Note 2 8" xfId="5533" xr:uid="{00000000-0005-0000-0000-0000CA150000}"/>
    <cellStyle name="Note 2 9" xfId="5534" xr:uid="{00000000-0005-0000-0000-0000CB150000}"/>
    <cellStyle name="Note 2_PrimaryEnergyPrices_TIMES" xfId="5535" xr:uid="{00000000-0005-0000-0000-0000CC150000}"/>
    <cellStyle name="Note 20" xfId="5536" xr:uid="{00000000-0005-0000-0000-0000CD150000}"/>
    <cellStyle name="Note 21" xfId="5537" xr:uid="{00000000-0005-0000-0000-0000CE150000}"/>
    <cellStyle name="Note 22" xfId="5538" xr:uid="{00000000-0005-0000-0000-0000CF150000}"/>
    <cellStyle name="Note 23" xfId="5539" xr:uid="{00000000-0005-0000-0000-0000D0150000}"/>
    <cellStyle name="Note 24" xfId="5540" xr:uid="{00000000-0005-0000-0000-0000D1150000}"/>
    <cellStyle name="Note 25" xfId="5541" xr:uid="{00000000-0005-0000-0000-0000D2150000}"/>
    <cellStyle name="Note 26" xfId="5542" xr:uid="{00000000-0005-0000-0000-0000D3150000}"/>
    <cellStyle name="Note 27" xfId="5543" xr:uid="{00000000-0005-0000-0000-0000D4150000}"/>
    <cellStyle name="Note 28" xfId="5544" xr:uid="{00000000-0005-0000-0000-0000D5150000}"/>
    <cellStyle name="Note 29" xfId="5545" xr:uid="{00000000-0005-0000-0000-0000D6150000}"/>
    <cellStyle name="Note 3" xfId="5546" xr:uid="{00000000-0005-0000-0000-0000D7150000}"/>
    <cellStyle name="Note 3 2" xfId="5547" xr:uid="{00000000-0005-0000-0000-0000D8150000}"/>
    <cellStyle name="Note 3 2 2" xfId="5548" xr:uid="{00000000-0005-0000-0000-0000D9150000}"/>
    <cellStyle name="Note 3 3" xfId="5549" xr:uid="{00000000-0005-0000-0000-0000DA150000}"/>
    <cellStyle name="Note 3 4" xfId="5550" xr:uid="{00000000-0005-0000-0000-0000DB150000}"/>
    <cellStyle name="Note 3 4 2" xfId="5551" xr:uid="{00000000-0005-0000-0000-0000DC150000}"/>
    <cellStyle name="Note 3 4 3" xfId="5552" xr:uid="{00000000-0005-0000-0000-0000DD150000}"/>
    <cellStyle name="Note 3 5" xfId="5553" xr:uid="{00000000-0005-0000-0000-0000DE150000}"/>
    <cellStyle name="Note 3 6" xfId="5554" xr:uid="{00000000-0005-0000-0000-0000DF150000}"/>
    <cellStyle name="Note 3 7" xfId="5555" xr:uid="{00000000-0005-0000-0000-0000E0150000}"/>
    <cellStyle name="Note 30" xfId="5556" xr:uid="{00000000-0005-0000-0000-0000E1150000}"/>
    <cellStyle name="Note 31" xfId="5557" xr:uid="{00000000-0005-0000-0000-0000E2150000}"/>
    <cellStyle name="Note 32" xfId="5558" xr:uid="{00000000-0005-0000-0000-0000E3150000}"/>
    <cellStyle name="Note 33" xfId="5559" xr:uid="{00000000-0005-0000-0000-0000E4150000}"/>
    <cellStyle name="Note 34" xfId="5560" xr:uid="{00000000-0005-0000-0000-0000E5150000}"/>
    <cellStyle name="Note 35" xfId="5561" xr:uid="{00000000-0005-0000-0000-0000E6150000}"/>
    <cellStyle name="Note 36" xfId="5562" xr:uid="{00000000-0005-0000-0000-0000E7150000}"/>
    <cellStyle name="Note 37" xfId="5563" xr:uid="{00000000-0005-0000-0000-0000E8150000}"/>
    <cellStyle name="Note 38" xfId="5564" xr:uid="{00000000-0005-0000-0000-0000E9150000}"/>
    <cellStyle name="Note 39" xfId="5565" xr:uid="{00000000-0005-0000-0000-0000EA150000}"/>
    <cellStyle name="Note 4" xfId="5566" xr:uid="{00000000-0005-0000-0000-0000EB150000}"/>
    <cellStyle name="Note 4 2" xfId="5567" xr:uid="{00000000-0005-0000-0000-0000EC150000}"/>
    <cellStyle name="Note 4 3" xfId="5568" xr:uid="{00000000-0005-0000-0000-0000ED150000}"/>
    <cellStyle name="Note 4 3 2" xfId="5569" xr:uid="{00000000-0005-0000-0000-0000EE150000}"/>
    <cellStyle name="Note 4 3_ELC_final" xfId="5570" xr:uid="{00000000-0005-0000-0000-0000EF150000}"/>
    <cellStyle name="Note 4 4" xfId="5571" xr:uid="{00000000-0005-0000-0000-0000F0150000}"/>
    <cellStyle name="Note 4_ELC_final" xfId="5572" xr:uid="{00000000-0005-0000-0000-0000F1150000}"/>
    <cellStyle name="Note 40" xfId="5573" xr:uid="{00000000-0005-0000-0000-0000F2150000}"/>
    <cellStyle name="Note 41" xfId="5574" xr:uid="{00000000-0005-0000-0000-0000F3150000}"/>
    <cellStyle name="Note 5" xfId="5575" xr:uid="{00000000-0005-0000-0000-0000F4150000}"/>
    <cellStyle name="Note 5 2" xfId="5576" xr:uid="{00000000-0005-0000-0000-0000F5150000}"/>
    <cellStyle name="Note 5 3" xfId="5577" xr:uid="{00000000-0005-0000-0000-0000F6150000}"/>
    <cellStyle name="Note 5 3 2" xfId="5578" xr:uid="{00000000-0005-0000-0000-0000F7150000}"/>
    <cellStyle name="Note 5 3_ELC_final" xfId="5579" xr:uid="{00000000-0005-0000-0000-0000F8150000}"/>
    <cellStyle name="Note 5 4" xfId="5580" xr:uid="{00000000-0005-0000-0000-0000F9150000}"/>
    <cellStyle name="Note 5_ELC_final" xfId="5581" xr:uid="{00000000-0005-0000-0000-0000FA150000}"/>
    <cellStyle name="Note 6" xfId="5582" xr:uid="{00000000-0005-0000-0000-0000FB150000}"/>
    <cellStyle name="Note 6 2" xfId="5583" xr:uid="{00000000-0005-0000-0000-0000FC150000}"/>
    <cellStyle name="Note 6 3" xfId="5584" xr:uid="{00000000-0005-0000-0000-0000FD150000}"/>
    <cellStyle name="Note 6 3 2" xfId="5585" xr:uid="{00000000-0005-0000-0000-0000FE150000}"/>
    <cellStyle name="Note 6 3_ELC_final" xfId="5586" xr:uid="{00000000-0005-0000-0000-0000FF150000}"/>
    <cellStyle name="Note 6 4" xfId="5587" xr:uid="{00000000-0005-0000-0000-000000160000}"/>
    <cellStyle name="Note 6_ELC_final" xfId="5588" xr:uid="{00000000-0005-0000-0000-000001160000}"/>
    <cellStyle name="Note 7" xfId="5589" xr:uid="{00000000-0005-0000-0000-000002160000}"/>
    <cellStyle name="Note 7 2" xfId="5590" xr:uid="{00000000-0005-0000-0000-000003160000}"/>
    <cellStyle name="Note 7 2 2" xfId="5591" xr:uid="{00000000-0005-0000-0000-000004160000}"/>
    <cellStyle name="Note 7 3" xfId="5592" xr:uid="{00000000-0005-0000-0000-000005160000}"/>
    <cellStyle name="Note 7 3 2" xfId="5593" xr:uid="{00000000-0005-0000-0000-000006160000}"/>
    <cellStyle name="Note 7 3_ELC_final" xfId="5594" xr:uid="{00000000-0005-0000-0000-000007160000}"/>
    <cellStyle name="Note 7 4" xfId="5595" xr:uid="{00000000-0005-0000-0000-000008160000}"/>
    <cellStyle name="Note 7 5" xfId="5596" xr:uid="{00000000-0005-0000-0000-000009160000}"/>
    <cellStyle name="Note 7_ELC_final" xfId="5597" xr:uid="{00000000-0005-0000-0000-00000A160000}"/>
    <cellStyle name="Note 8" xfId="5598" xr:uid="{00000000-0005-0000-0000-00000B160000}"/>
    <cellStyle name="Note 8 2" xfId="5599" xr:uid="{00000000-0005-0000-0000-00000C160000}"/>
    <cellStyle name="Note 8 2 2" xfId="5600" xr:uid="{00000000-0005-0000-0000-00000D160000}"/>
    <cellStyle name="Note 8 3" xfId="5601" xr:uid="{00000000-0005-0000-0000-00000E160000}"/>
    <cellStyle name="Note 8 3 2" xfId="5602" xr:uid="{00000000-0005-0000-0000-00000F160000}"/>
    <cellStyle name="Note 8 3_ELC_final" xfId="5603" xr:uid="{00000000-0005-0000-0000-000010160000}"/>
    <cellStyle name="Note 8 4" xfId="5604" xr:uid="{00000000-0005-0000-0000-000011160000}"/>
    <cellStyle name="Note 8 5" xfId="5605" xr:uid="{00000000-0005-0000-0000-000012160000}"/>
    <cellStyle name="Note 8_ELC_final" xfId="5606" xr:uid="{00000000-0005-0000-0000-000013160000}"/>
    <cellStyle name="Note 9" xfId="5607" xr:uid="{00000000-0005-0000-0000-000014160000}"/>
    <cellStyle name="Note 9 2" xfId="5608" xr:uid="{00000000-0005-0000-0000-000015160000}"/>
    <cellStyle name="Note 9 3" xfId="5609" xr:uid="{00000000-0005-0000-0000-000016160000}"/>
    <cellStyle name="Note 9 3 2" xfId="5610" xr:uid="{00000000-0005-0000-0000-000017160000}"/>
    <cellStyle name="Note 9 3_ELC_final" xfId="5611" xr:uid="{00000000-0005-0000-0000-000018160000}"/>
    <cellStyle name="Note 9 4" xfId="5612" xr:uid="{00000000-0005-0000-0000-000019160000}"/>
    <cellStyle name="Note 9 5" xfId="5613" xr:uid="{00000000-0005-0000-0000-00001A160000}"/>
    <cellStyle name="Note 9_ELC_final" xfId="5614" xr:uid="{00000000-0005-0000-0000-00001B160000}"/>
    <cellStyle name="Notiz" xfId="5615" xr:uid="{00000000-0005-0000-0000-00001C160000}"/>
    <cellStyle name="Notiz 2" xfId="5616" xr:uid="{00000000-0005-0000-0000-00001D160000}"/>
    <cellStyle name="Notiz 3" xfId="5617" xr:uid="{00000000-0005-0000-0000-00001E160000}"/>
    <cellStyle name="num_note" xfId="5618" xr:uid="{00000000-0005-0000-0000-00001F160000}"/>
    <cellStyle name="Nuovo" xfId="5619" xr:uid="{00000000-0005-0000-0000-000020160000}"/>
    <cellStyle name="Nuovo 10" xfId="5620" xr:uid="{00000000-0005-0000-0000-000021160000}"/>
    <cellStyle name="Nuovo 11" xfId="5621" xr:uid="{00000000-0005-0000-0000-000022160000}"/>
    <cellStyle name="Nuovo 12" xfId="5622" xr:uid="{00000000-0005-0000-0000-000023160000}"/>
    <cellStyle name="Nuovo 13" xfId="5623" xr:uid="{00000000-0005-0000-0000-000024160000}"/>
    <cellStyle name="Nuovo 14" xfId="5624" xr:uid="{00000000-0005-0000-0000-000025160000}"/>
    <cellStyle name="Nuovo 15" xfId="5625" xr:uid="{00000000-0005-0000-0000-000026160000}"/>
    <cellStyle name="Nuovo 16" xfId="5626" xr:uid="{00000000-0005-0000-0000-000027160000}"/>
    <cellStyle name="Nuovo 17" xfId="5627" xr:uid="{00000000-0005-0000-0000-000028160000}"/>
    <cellStyle name="Nuovo 18" xfId="5628" xr:uid="{00000000-0005-0000-0000-000029160000}"/>
    <cellStyle name="Nuovo 19" xfId="5629" xr:uid="{00000000-0005-0000-0000-00002A160000}"/>
    <cellStyle name="Nuovo 2" xfId="5630" xr:uid="{00000000-0005-0000-0000-00002B160000}"/>
    <cellStyle name="Nuovo 2 2" xfId="5631" xr:uid="{00000000-0005-0000-0000-00002C160000}"/>
    <cellStyle name="Nuovo 2 3" xfId="5632" xr:uid="{00000000-0005-0000-0000-00002D160000}"/>
    <cellStyle name="Nuovo 20" xfId="5633" xr:uid="{00000000-0005-0000-0000-00002E160000}"/>
    <cellStyle name="Nuovo 21" xfId="5634" xr:uid="{00000000-0005-0000-0000-00002F160000}"/>
    <cellStyle name="Nuovo 22" xfId="5635" xr:uid="{00000000-0005-0000-0000-000030160000}"/>
    <cellStyle name="Nuovo 23" xfId="5636" xr:uid="{00000000-0005-0000-0000-000031160000}"/>
    <cellStyle name="Nuovo 24" xfId="5637" xr:uid="{00000000-0005-0000-0000-000032160000}"/>
    <cellStyle name="Nuovo 25" xfId="5638" xr:uid="{00000000-0005-0000-0000-000033160000}"/>
    <cellStyle name="Nuovo 26" xfId="5639" xr:uid="{00000000-0005-0000-0000-000034160000}"/>
    <cellStyle name="Nuovo 27" xfId="5640" xr:uid="{00000000-0005-0000-0000-000035160000}"/>
    <cellStyle name="Nuovo 28" xfId="5641" xr:uid="{00000000-0005-0000-0000-000036160000}"/>
    <cellStyle name="Nuovo 29" xfId="5642" xr:uid="{00000000-0005-0000-0000-000037160000}"/>
    <cellStyle name="Nuovo 3" xfId="5643" xr:uid="{00000000-0005-0000-0000-000038160000}"/>
    <cellStyle name="Nuovo 30" xfId="5644" xr:uid="{00000000-0005-0000-0000-000039160000}"/>
    <cellStyle name="Nuovo 31" xfId="5645" xr:uid="{00000000-0005-0000-0000-00003A160000}"/>
    <cellStyle name="Nuovo 32" xfId="5646" xr:uid="{00000000-0005-0000-0000-00003B160000}"/>
    <cellStyle name="Nuovo 33" xfId="5647" xr:uid="{00000000-0005-0000-0000-00003C160000}"/>
    <cellStyle name="Nuovo 34" xfId="5648" xr:uid="{00000000-0005-0000-0000-00003D160000}"/>
    <cellStyle name="Nuovo 35" xfId="5649" xr:uid="{00000000-0005-0000-0000-00003E160000}"/>
    <cellStyle name="Nuovo 36" xfId="5650" xr:uid="{00000000-0005-0000-0000-00003F160000}"/>
    <cellStyle name="Nuovo 37" xfId="5651" xr:uid="{00000000-0005-0000-0000-000040160000}"/>
    <cellStyle name="Nuovo 38" xfId="5652" xr:uid="{00000000-0005-0000-0000-000041160000}"/>
    <cellStyle name="Nuovo 4" xfId="5653" xr:uid="{00000000-0005-0000-0000-000042160000}"/>
    <cellStyle name="Nuovo 4 2" xfId="5654" xr:uid="{00000000-0005-0000-0000-000043160000}"/>
    <cellStyle name="Nuovo 5" xfId="5655" xr:uid="{00000000-0005-0000-0000-000044160000}"/>
    <cellStyle name="Nuovo 6" xfId="5656" xr:uid="{00000000-0005-0000-0000-000045160000}"/>
    <cellStyle name="Nuovo 7" xfId="5657" xr:uid="{00000000-0005-0000-0000-000046160000}"/>
    <cellStyle name="Nuovo 8" xfId="5658" xr:uid="{00000000-0005-0000-0000-000047160000}"/>
    <cellStyle name="Nuovo 9" xfId="5659" xr:uid="{00000000-0005-0000-0000-000048160000}"/>
    <cellStyle name="Összesen" xfId="5660" xr:uid="{00000000-0005-0000-0000-000049160000}"/>
    <cellStyle name="Output 10" xfId="5661" xr:uid="{00000000-0005-0000-0000-00004A160000}"/>
    <cellStyle name="Output 11" xfId="5662" xr:uid="{00000000-0005-0000-0000-00004B160000}"/>
    <cellStyle name="Output 12" xfId="5663" xr:uid="{00000000-0005-0000-0000-00004C160000}"/>
    <cellStyle name="Output 13" xfId="5664" xr:uid="{00000000-0005-0000-0000-00004D160000}"/>
    <cellStyle name="Output 14" xfId="5665" xr:uid="{00000000-0005-0000-0000-00004E160000}"/>
    <cellStyle name="Output 15" xfId="5666" xr:uid="{00000000-0005-0000-0000-00004F160000}"/>
    <cellStyle name="Output 16" xfId="5667" xr:uid="{00000000-0005-0000-0000-000050160000}"/>
    <cellStyle name="Output 17" xfId="5668" xr:uid="{00000000-0005-0000-0000-000051160000}"/>
    <cellStyle name="Output 18" xfId="5669" xr:uid="{00000000-0005-0000-0000-000052160000}"/>
    <cellStyle name="Output 19" xfId="5670" xr:uid="{00000000-0005-0000-0000-000053160000}"/>
    <cellStyle name="Output 2" xfId="5671" xr:uid="{00000000-0005-0000-0000-000054160000}"/>
    <cellStyle name="Output 2 10" xfId="5672" xr:uid="{00000000-0005-0000-0000-000055160000}"/>
    <cellStyle name="Output 2 2" xfId="5673" xr:uid="{00000000-0005-0000-0000-000056160000}"/>
    <cellStyle name="Output 2 3" xfId="5674" xr:uid="{00000000-0005-0000-0000-000057160000}"/>
    <cellStyle name="Output 2 4" xfId="5675" xr:uid="{00000000-0005-0000-0000-000058160000}"/>
    <cellStyle name="Output 2 5" xfId="5676" xr:uid="{00000000-0005-0000-0000-000059160000}"/>
    <cellStyle name="Output 2 6" xfId="5677" xr:uid="{00000000-0005-0000-0000-00005A160000}"/>
    <cellStyle name="Output 2 7" xfId="5678" xr:uid="{00000000-0005-0000-0000-00005B160000}"/>
    <cellStyle name="Output 2 8" xfId="5679" xr:uid="{00000000-0005-0000-0000-00005C160000}"/>
    <cellStyle name="Output 2 9" xfId="5680" xr:uid="{00000000-0005-0000-0000-00005D160000}"/>
    <cellStyle name="Output 20" xfId="5681" xr:uid="{00000000-0005-0000-0000-00005E160000}"/>
    <cellStyle name="Output 21" xfId="5682" xr:uid="{00000000-0005-0000-0000-00005F160000}"/>
    <cellStyle name="Output 22" xfId="5683" xr:uid="{00000000-0005-0000-0000-000060160000}"/>
    <cellStyle name="Output 23" xfId="5684" xr:uid="{00000000-0005-0000-0000-000061160000}"/>
    <cellStyle name="Output 24" xfId="5685" xr:uid="{00000000-0005-0000-0000-000062160000}"/>
    <cellStyle name="Output 25" xfId="5686" xr:uid="{00000000-0005-0000-0000-000063160000}"/>
    <cellStyle name="Output 26" xfId="5687" xr:uid="{00000000-0005-0000-0000-000064160000}"/>
    <cellStyle name="Output 27" xfId="5688" xr:uid="{00000000-0005-0000-0000-000065160000}"/>
    <cellStyle name="Output 28" xfId="5689" xr:uid="{00000000-0005-0000-0000-000066160000}"/>
    <cellStyle name="Output 29" xfId="5690" xr:uid="{00000000-0005-0000-0000-000067160000}"/>
    <cellStyle name="Output 3" xfId="5691" xr:uid="{00000000-0005-0000-0000-000068160000}"/>
    <cellStyle name="Output 3 2" xfId="5692" xr:uid="{00000000-0005-0000-0000-000069160000}"/>
    <cellStyle name="Output 3 3" xfId="5693" xr:uid="{00000000-0005-0000-0000-00006A160000}"/>
    <cellStyle name="Output 3 4" xfId="5694" xr:uid="{00000000-0005-0000-0000-00006B160000}"/>
    <cellStyle name="Output 3 5" xfId="5695" xr:uid="{00000000-0005-0000-0000-00006C160000}"/>
    <cellStyle name="Output 30" xfId="5696" xr:uid="{00000000-0005-0000-0000-00006D160000}"/>
    <cellStyle name="Output 31" xfId="5697" xr:uid="{00000000-0005-0000-0000-00006E160000}"/>
    <cellStyle name="Output 32" xfId="5698" xr:uid="{00000000-0005-0000-0000-00006F160000}"/>
    <cellStyle name="Output 33" xfId="5699" xr:uid="{00000000-0005-0000-0000-000070160000}"/>
    <cellStyle name="Output 34" xfId="5700" xr:uid="{00000000-0005-0000-0000-000071160000}"/>
    <cellStyle name="Output 35" xfId="5701" xr:uid="{00000000-0005-0000-0000-000072160000}"/>
    <cellStyle name="Output 36" xfId="5702" xr:uid="{00000000-0005-0000-0000-000073160000}"/>
    <cellStyle name="Output 37" xfId="5703" xr:uid="{00000000-0005-0000-0000-000074160000}"/>
    <cellStyle name="Output 38" xfId="5704" xr:uid="{00000000-0005-0000-0000-000075160000}"/>
    <cellStyle name="Output 39" xfId="5705" xr:uid="{00000000-0005-0000-0000-000076160000}"/>
    <cellStyle name="Output 4" xfId="5706" xr:uid="{00000000-0005-0000-0000-000077160000}"/>
    <cellStyle name="Output 40" xfId="5707" xr:uid="{00000000-0005-0000-0000-000078160000}"/>
    <cellStyle name="Output 41" xfId="5708" xr:uid="{00000000-0005-0000-0000-000079160000}"/>
    <cellStyle name="Output 42" xfId="5709" xr:uid="{00000000-0005-0000-0000-00007A160000}"/>
    <cellStyle name="Output 43" xfId="5710" xr:uid="{00000000-0005-0000-0000-00007B160000}"/>
    <cellStyle name="Output 5" xfId="5711" xr:uid="{00000000-0005-0000-0000-00007C160000}"/>
    <cellStyle name="Output 6" xfId="5712" xr:uid="{00000000-0005-0000-0000-00007D160000}"/>
    <cellStyle name="Output 7" xfId="5713" xr:uid="{00000000-0005-0000-0000-00007E160000}"/>
    <cellStyle name="Output 8" xfId="5714" xr:uid="{00000000-0005-0000-0000-00007F160000}"/>
    <cellStyle name="Output 9" xfId="5715" xr:uid="{00000000-0005-0000-0000-000080160000}"/>
    <cellStyle name="Pattern" xfId="5716" xr:uid="{00000000-0005-0000-0000-000081160000}"/>
    <cellStyle name="Percent 10" xfId="5717" xr:uid="{00000000-0005-0000-0000-000082160000}"/>
    <cellStyle name="Percent 10 10" xfId="5718" xr:uid="{00000000-0005-0000-0000-000083160000}"/>
    <cellStyle name="Percent 10 11" xfId="5719" xr:uid="{00000000-0005-0000-0000-000084160000}"/>
    <cellStyle name="Percent 10 12" xfId="5720" xr:uid="{00000000-0005-0000-0000-000085160000}"/>
    <cellStyle name="Percent 10 12 2" xfId="5721" xr:uid="{00000000-0005-0000-0000-000086160000}"/>
    <cellStyle name="Percent 10 13" xfId="5722" xr:uid="{00000000-0005-0000-0000-000087160000}"/>
    <cellStyle name="Percent 10 13 2" xfId="5723" xr:uid="{00000000-0005-0000-0000-000088160000}"/>
    <cellStyle name="Percent 10 14" xfId="5724" xr:uid="{00000000-0005-0000-0000-000089160000}"/>
    <cellStyle name="Percent 10 14 2" xfId="5725" xr:uid="{00000000-0005-0000-0000-00008A160000}"/>
    <cellStyle name="Percent 10 15" xfId="5726" xr:uid="{00000000-0005-0000-0000-00008B160000}"/>
    <cellStyle name="Percent 10 15 2" xfId="5727" xr:uid="{00000000-0005-0000-0000-00008C160000}"/>
    <cellStyle name="Percent 10 16" xfId="5728" xr:uid="{00000000-0005-0000-0000-00008D160000}"/>
    <cellStyle name="Percent 10 16 2" xfId="5729" xr:uid="{00000000-0005-0000-0000-00008E160000}"/>
    <cellStyle name="Percent 10 17" xfId="5730" xr:uid="{00000000-0005-0000-0000-00008F160000}"/>
    <cellStyle name="Percent 10 17 2" xfId="5731" xr:uid="{00000000-0005-0000-0000-000090160000}"/>
    <cellStyle name="Percent 10 18" xfId="5732" xr:uid="{00000000-0005-0000-0000-000091160000}"/>
    <cellStyle name="Percent 10 18 2" xfId="5733" xr:uid="{00000000-0005-0000-0000-000092160000}"/>
    <cellStyle name="Percent 10 19" xfId="5734" xr:uid="{00000000-0005-0000-0000-000093160000}"/>
    <cellStyle name="Percent 10 19 2" xfId="5735" xr:uid="{00000000-0005-0000-0000-000094160000}"/>
    <cellStyle name="Percent 10 2" xfId="5736" xr:uid="{00000000-0005-0000-0000-000095160000}"/>
    <cellStyle name="Percent 10 2 2" xfId="5737" xr:uid="{00000000-0005-0000-0000-000096160000}"/>
    <cellStyle name="Percent 10 2 2 2" xfId="5738" xr:uid="{00000000-0005-0000-0000-000097160000}"/>
    <cellStyle name="Percent 10 2 3" xfId="5739" xr:uid="{00000000-0005-0000-0000-000098160000}"/>
    <cellStyle name="Percent 10 2 3 2" xfId="5740" xr:uid="{00000000-0005-0000-0000-000099160000}"/>
    <cellStyle name="Percent 10 2 4" xfId="5741" xr:uid="{00000000-0005-0000-0000-00009A160000}"/>
    <cellStyle name="Percent 10 2 5" xfId="5742" xr:uid="{00000000-0005-0000-0000-00009B160000}"/>
    <cellStyle name="Percent 10 20" xfId="5743" xr:uid="{00000000-0005-0000-0000-00009C160000}"/>
    <cellStyle name="Percent 10 20 2" xfId="5744" xr:uid="{00000000-0005-0000-0000-00009D160000}"/>
    <cellStyle name="Percent 10 3" xfId="5745" xr:uid="{00000000-0005-0000-0000-00009E160000}"/>
    <cellStyle name="Percent 10 3 2" xfId="5746" xr:uid="{00000000-0005-0000-0000-00009F160000}"/>
    <cellStyle name="Percent 10 3 2 2" xfId="5747" xr:uid="{00000000-0005-0000-0000-0000A0160000}"/>
    <cellStyle name="Percent 10 3 3" xfId="5748" xr:uid="{00000000-0005-0000-0000-0000A1160000}"/>
    <cellStyle name="Percent 10 3 3 2" xfId="5749" xr:uid="{00000000-0005-0000-0000-0000A2160000}"/>
    <cellStyle name="Percent 10 3 4" xfId="5750" xr:uid="{00000000-0005-0000-0000-0000A3160000}"/>
    <cellStyle name="Percent 10 3 5" xfId="5751" xr:uid="{00000000-0005-0000-0000-0000A4160000}"/>
    <cellStyle name="Percent 10 4" xfId="5752" xr:uid="{00000000-0005-0000-0000-0000A5160000}"/>
    <cellStyle name="Percent 10 4 2" xfId="5753" xr:uid="{00000000-0005-0000-0000-0000A6160000}"/>
    <cellStyle name="Percent 10 4 2 2" xfId="5754" xr:uid="{00000000-0005-0000-0000-0000A7160000}"/>
    <cellStyle name="Percent 10 4 3" xfId="5755" xr:uid="{00000000-0005-0000-0000-0000A8160000}"/>
    <cellStyle name="Percent 10 4 3 2" xfId="5756" xr:uid="{00000000-0005-0000-0000-0000A9160000}"/>
    <cellStyle name="Percent 10 4 4" xfId="5757" xr:uid="{00000000-0005-0000-0000-0000AA160000}"/>
    <cellStyle name="Percent 10 4 5" xfId="5758" xr:uid="{00000000-0005-0000-0000-0000AB160000}"/>
    <cellStyle name="Percent 10 5" xfId="5759" xr:uid="{00000000-0005-0000-0000-0000AC160000}"/>
    <cellStyle name="Percent 10 5 2" xfId="5760" xr:uid="{00000000-0005-0000-0000-0000AD160000}"/>
    <cellStyle name="Percent 10 5 2 2" xfId="5761" xr:uid="{00000000-0005-0000-0000-0000AE160000}"/>
    <cellStyle name="Percent 10 5 3" xfId="5762" xr:uid="{00000000-0005-0000-0000-0000AF160000}"/>
    <cellStyle name="Percent 10 5 3 2" xfId="5763" xr:uid="{00000000-0005-0000-0000-0000B0160000}"/>
    <cellStyle name="Percent 10 5 4" xfId="5764" xr:uid="{00000000-0005-0000-0000-0000B1160000}"/>
    <cellStyle name="Percent 10 5 5" xfId="5765" xr:uid="{00000000-0005-0000-0000-0000B2160000}"/>
    <cellStyle name="Percent 10 6" xfId="5766" xr:uid="{00000000-0005-0000-0000-0000B3160000}"/>
    <cellStyle name="Percent 10 6 2" xfId="5767" xr:uid="{00000000-0005-0000-0000-0000B4160000}"/>
    <cellStyle name="Percent 10 6 2 2" xfId="5768" xr:uid="{00000000-0005-0000-0000-0000B5160000}"/>
    <cellStyle name="Percent 10 6 3" xfId="5769" xr:uid="{00000000-0005-0000-0000-0000B6160000}"/>
    <cellStyle name="Percent 10 6 3 2" xfId="5770" xr:uid="{00000000-0005-0000-0000-0000B7160000}"/>
    <cellStyle name="Percent 10 6 4" xfId="5771" xr:uid="{00000000-0005-0000-0000-0000B8160000}"/>
    <cellStyle name="Percent 10 6 5" xfId="5772" xr:uid="{00000000-0005-0000-0000-0000B9160000}"/>
    <cellStyle name="Percent 10 7" xfId="5773" xr:uid="{00000000-0005-0000-0000-0000BA160000}"/>
    <cellStyle name="Percent 10 7 2" xfId="5774" xr:uid="{00000000-0005-0000-0000-0000BB160000}"/>
    <cellStyle name="Percent 10 7 2 2" xfId="5775" xr:uid="{00000000-0005-0000-0000-0000BC160000}"/>
    <cellStyle name="Percent 10 7 3" xfId="5776" xr:uid="{00000000-0005-0000-0000-0000BD160000}"/>
    <cellStyle name="Percent 10 7 3 2" xfId="5777" xr:uid="{00000000-0005-0000-0000-0000BE160000}"/>
    <cellStyle name="Percent 10 7 4" xfId="5778" xr:uid="{00000000-0005-0000-0000-0000BF160000}"/>
    <cellStyle name="Percent 10 7 4 2" xfId="5779" xr:uid="{00000000-0005-0000-0000-0000C0160000}"/>
    <cellStyle name="Percent 10 7 5" xfId="5780" xr:uid="{00000000-0005-0000-0000-0000C1160000}"/>
    <cellStyle name="Percent 10 7 5 2" xfId="5781" xr:uid="{00000000-0005-0000-0000-0000C2160000}"/>
    <cellStyle name="Percent 10 7 6" xfId="5782" xr:uid="{00000000-0005-0000-0000-0000C3160000}"/>
    <cellStyle name="Percent 10 7 7" xfId="5783" xr:uid="{00000000-0005-0000-0000-0000C4160000}"/>
    <cellStyle name="Percent 10 8" xfId="5784" xr:uid="{00000000-0005-0000-0000-0000C5160000}"/>
    <cellStyle name="Percent 10 8 2" xfId="5785" xr:uid="{00000000-0005-0000-0000-0000C6160000}"/>
    <cellStyle name="Percent 10 8 2 2" xfId="5786" xr:uid="{00000000-0005-0000-0000-0000C7160000}"/>
    <cellStyle name="Percent 10 8 3" xfId="5787" xr:uid="{00000000-0005-0000-0000-0000C8160000}"/>
    <cellStyle name="Percent 10 8 3 2" xfId="5788" xr:uid="{00000000-0005-0000-0000-0000C9160000}"/>
    <cellStyle name="Percent 10 8 4" xfId="5789" xr:uid="{00000000-0005-0000-0000-0000CA160000}"/>
    <cellStyle name="Percent 10 8 5" xfId="5790" xr:uid="{00000000-0005-0000-0000-0000CB160000}"/>
    <cellStyle name="Percent 10 9" xfId="5791" xr:uid="{00000000-0005-0000-0000-0000CC160000}"/>
    <cellStyle name="Percent 10 9 2" xfId="5792" xr:uid="{00000000-0005-0000-0000-0000CD160000}"/>
    <cellStyle name="Percent 11" xfId="5793" xr:uid="{00000000-0005-0000-0000-0000CE160000}"/>
    <cellStyle name="Percent 11 10" xfId="5794" xr:uid="{00000000-0005-0000-0000-0000CF160000}"/>
    <cellStyle name="Percent 11 10 2" xfId="5795" xr:uid="{00000000-0005-0000-0000-0000D0160000}"/>
    <cellStyle name="Percent 11 11" xfId="5796" xr:uid="{00000000-0005-0000-0000-0000D1160000}"/>
    <cellStyle name="Percent 11 12" xfId="5797" xr:uid="{00000000-0005-0000-0000-0000D2160000}"/>
    <cellStyle name="Percent 11 2" xfId="5798" xr:uid="{00000000-0005-0000-0000-0000D3160000}"/>
    <cellStyle name="Percent 11 2 2" xfId="5799" xr:uid="{00000000-0005-0000-0000-0000D4160000}"/>
    <cellStyle name="Percent 11 2 2 2" xfId="5800" xr:uid="{00000000-0005-0000-0000-0000D5160000}"/>
    <cellStyle name="Percent 11 2 3" xfId="5801" xr:uid="{00000000-0005-0000-0000-0000D6160000}"/>
    <cellStyle name="Percent 11 2 3 2" xfId="5802" xr:uid="{00000000-0005-0000-0000-0000D7160000}"/>
    <cellStyle name="Percent 11 2 4" xfId="5803" xr:uid="{00000000-0005-0000-0000-0000D8160000}"/>
    <cellStyle name="Percent 11 2 5" xfId="5804" xr:uid="{00000000-0005-0000-0000-0000D9160000}"/>
    <cellStyle name="Percent 11 3" xfId="5805" xr:uid="{00000000-0005-0000-0000-0000DA160000}"/>
    <cellStyle name="Percent 11 3 2" xfId="5806" xr:uid="{00000000-0005-0000-0000-0000DB160000}"/>
    <cellStyle name="Percent 11 3 2 2" xfId="5807" xr:uid="{00000000-0005-0000-0000-0000DC160000}"/>
    <cellStyle name="Percent 11 3 3" xfId="5808" xr:uid="{00000000-0005-0000-0000-0000DD160000}"/>
    <cellStyle name="Percent 11 3 3 2" xfId="5809" xr:uid="{00000000-0005-0000-0000-0000DE160000}"/>
    <cellStyle name="Percent 11 3 4" xfId="5810" xr:uid="{00000000-0005-0000-0000-0000DF160000}"/>
    <cellStyle name="Percent 11 3 5" xfId="5811" xr:uid="{00000000-0005-0000-0000-0000E0160000}"/>
    <cellStyle name="Percent 11 4" xfId="5812" xr:uid="{00000000-0005-0000-0000-0000E1160000}"/>
    <cellStyle name="Percent 11 4 2" xfId="5813" xr:uid="{00000000-0005-0000-0000-0000E2160000}"/>
    <cellStyle name="Percent 11 4 2 2" xfId="5814" xr:uid="{00000000-0005-0000-0000-0000E3160000}"/>
    <cellStyle name="Percent 11 4 3" xfId="5815" xr:uid="{00000000-0005-0000-0000-0000E4160000}"/>
    <cellStyle name="Percent 11 4 3 2" xfId="5816" xr:uid="{00000000-0005-0000-0000-0000E5160000}"/>
    <cellStyle name="Percent 11 4 4" xfId="5817" xr:uid="{00000000-0005-0000-0000-0000E6160000}"/>
    <cellStyle name="Percent 11 4 5" xfId="5818" xr:uid="{00000000-0005-0000-0000-0000E7160000}"/>
    <cellStyle name="Percent 11 5" xfId="5819" xr:uid="{00000000-0005-0000-0000-0000E8160000}"/>
    <cellStyle name="Percent 11 5 2" xfId="5820" xr:uid="{00000000-0005-0000-0000-0000E9160000}"/>
    <cellStyle name="Percent 11 5 2 2" xfId="5821" xr:uid="{00000000-0005-0000-0000-0000EA160000}"/>
    <cellStyle name="Percent 11 5 3" xfId="5822" xr:uid="{00000000-0005-0000-0000-0000EB160000}"/>
    <cellStyle name="Percent 11 5 3 2" xfId="5823" xr:uid="{00000000-0005-0000-0000-0000EC160000}"/>
    <cellStyle name="Percent 11 5 4" xfId="5824" xr:uid="{00000000-0005-0000-0000-0000ED160000}"/>
    <cellStyle name="Percent 11 5 5" xfId="5825" xr:uid="{00000000-0005-0000-0000-0000EE160000}"/>
    <cellStyle name="Percent 11 6" xfId="5826" xr:uid="{00000000-0005-0000-0000-0000EF160000}"/>
    <cellStyle name="Percent 11 6 2" xfId="5827" xr:uid="{00000000-0005-0000-0000-0000F0160000}"/>
    <cellStyle name="Percent 11 6 2 2" xfId="5828" xr:uid="{00000000-0005-0000-0000-0000F1160000}"/>
    <cellStyle name="Percent 11 6 3" xfId="5829" xr:uid="{00000000-0005-0000-0000-0000F2160000}"/>
    <cellStyle name="Percent 11 6 3 2" xfId="5830" xr:uid="{00000000-0005-0000-0000-0000F3160000}"/>
    <cellStyle name="Percent 11 6 4" xfId="5831" xr:uid="{00000000-0005-0000-0000-0000F4160000}"/>
    <cellStyle name="Percent 11 6 5" xfId="5832" xr:uid="{00000000-0005-0000-0000-0000F5160000}"/>
    <cellStyle name="Percent 11 7" xfId="5833" xr:uid="{00000000-0005-0000-0000-0000F6160000}"/>
    <cellStyle name="Percent 11 7 2" xfId="5834" xr:uid="{00000000-0005-0000-0000-0000F7160000}"/>
    <cellStyle name="Percent 11 7 2 2" xfId="5835" xr:uid="{00000000-0005-0000-0000-0000F8160000}"/>
    <cellStyle name="Percent 11 7 3" xfId="5836" xr:uid="{00000000-0005-0000-0000-0000F9160000}"/>
    <cellStyle name="Percent 11 7 3 2" xfId="5837" xr:uid="{00000000-0005-0000-0000-0000FA160000}"/>
    <cellStyle name="Percent 11 7 4" xfId="5838" xr:uid="{00000000-0005-0000-0000-0000FB160000}"/>
    <cellStyle name="Percent 11 7 4 2" xfId="5839" xr:uid="{00000000-0005-0000-0000-0000FC160000}"/>
    <cellStyle name="Percent 11 7 5" xfId="5840" xr:uid="{00000000-0005-0000-0000-0000FD160000}"/>
    <cellStyle name="Percent 11 7 5 2" xfId="5841" xr:uid="{00000000-0005-0000-0000-0000FE160000}"/>
    <cellStyle name="Percent 11 7 6" xfId="5842" xr:uid="{00000000-0005-0000-0000-0000FF160000}"/>
    <cellStyle name="Percent 11 7 7" xfId="5843" xr:uid="{00000000-0005-0000-0000-000000170000}"/>
    <cellStyle name="Percent 11 8" xfId="5844" xr:uid="{00000000-0005-0000-0000-000001170000}"/>
    <cellStyle name="Percent 11 8 2" xfId="5845" xr:uid="{00000000-0005-0000-0000-000002170000}"/>
    <cellStyle name="Percent 11 8 2 2" xfId="5846" xr:uid="{00000000-0005-0000-0000-000003170000}"/>
    <cellStyle name="Percent 11 8 3" xfId="5847" xr:uid="{00000000-0005-0000-0000-000004170000}"/>
    <cellStyle name="Percent 11 8 3 2" xfId="5848" xr:uid="{00000000-0005-0000-0000-000005170000}"/>
    <cellStyle name="Percent 11 8 4" xfId="5849" xr:uid="{00000000-0005-0000-0000-000006170000}"/>
    <cellStyle name="Percent 11 8 5" xfId="5850" xr:uid="{00000000-0005-0000-0000-000007170000}"/>
    <cellStyle name="Percent 11 9" xfId="5851" xr:uid="{00000000-0005-0000-0000-000008170000}"/>
    <cellStyle name="Percent 11 9 2" xfId="5852" xr:uid="{00000000-0005-0000-0000-000009170000}"/>
    <cellStyle name="Percent 12" xfId="5853" xr:uid="{00000000-0005-0000-0000-00000A170000}"/>
    <cellStyle name="Percent 12 10" xfId="5854" xr:uid="{00000000-0005-0000-0000-00000B170000}"/>
    <cellStyle name="Percent 12 10 2" xfId="5855" xr:uid="{00000000-0005-0000-0000-00000C170000}"/>
    <cellStyle name="Percent 12 11" xfId="5856" xr:uid="{00000000-0005-0000-0000-00000D170000}"/>
    <cellStyle name="Percent 12 12" xfId="5857" xr:uid="{00000000-0005-0000-0000-00000E170000}"/>
    <cellStyle name="Percent 12 2" xfId="5858" xr:uid="{00000000-0005-0000-0000-00000F170000}"/>
    <cellStyle name="Percent 12 2 2" xfId="5859" xr:uid="{00000000-0005-0000-0000-000010170000}"/>
    <cellStyle name="Percent 12 2 2 2" xfId="5860" xr:uid="{00000000-0005-0000-0000-000011170000}"/>
    <cellStyle name="Percent 12 2 3" xfId="5861" xr:uid="{00000000-0005-0000-0000-000012170000}"/>
    <cellStyle name="Percent 12 2 3 2" xfId="5862" xr:uid="{00000000-0005-0000-0000-000013170000}"/>
    <cellStyle name="Percent 12 2 4" xfId="5863" xr:uid="{00000000-0005-0000-0000-000014170000}"/>
    <cellStyle name="Percent 12 2 5" xfId="5864" xr:uid="{00000000-0005-0000-0000-000015170000}"/>
    <cellStyle name="Percent 12 3" xfId="5865" xr:uid="{00000000-0005-0000-0000-000016170000}"/>
    <cellStyle name="Percent 12 3 2" xfId="5866" xr:uid="{00000000-0005-0000-0000-000017170000}"/>
    <cellStyle name="Percent 12 3 2 2" xfId="5867" xr:uid="{00000000-0005-0000-0000-000018170000}"/>
    <cellStyle name="Percent 12 3 3" xfId="5868" xr:uid="{00000000-0005-0000-0000-000019170000}"/>
    <cellStyle name="Percent 12 3 3 2" xfId="5869" xr:uid="{00000000-0005-0000-0000-00001A170000}"/>
    <cellStyle name="Percent 12 3 4" xfId="5870" xr:uid="{00000000-0005-0000-0000-00001B170000}"/>
    <cellStyle name="Percent 12 3 5" xfId="5871" xr:uid="{00000000-0005-0000-0000-00001C170000}"/>
    <cellStyle name="Percent 12 4" xfId="5872" xr:uid="{00000000-0005-0000-0000-00001D170000}"/>
    <cellStyle name="Percent 12 4 2" xfId="5873" xr:uid="{00000000-0005-0000-0000-00001E170000}"/>
    <cellStyle name="Percent 12 4 2 2" xfId="5874" xr:uid="{00000000-0005-0000-0000-00001F170000}"/>
    <cellStyle name="Percent 12 4 3" xfId="5875" xr:uid="{00000000-0005-0000-0000-000020170000}"/>
    <cellStyle name="Percent 12 4 3 2" xfId="5876" xr:uid="{00000000-0005-0000-0000-000021170000}"/>
    <cellStyle name="Percent 12 4 4" xfId="5877" xr:uid="{00000000-0005-0000-0000-000022170000}"/>
    <cellStyle name="Percent 12 4 5" xfId="5878" xr:uid="{00000000-0005-0000-0000-000023170000}"/>
    <cellStyle name="Percent 12 5" xfId="5879" xr:uid="{00000000-0005-0000-0000-000024170000}"/>
    <cellStyle name="Percent 12 5 2" xfId="5880" xr:uid="{00000000-0005-0000-0000-000025170000}"/>
    <cellStyle name="Percent 12 5 2 2" xfId="5881" xr:uid="{00000000-0005-0000-0000-000026170000}"/>
    <cellStyle name="Percent 12 5 3" xfId="5882" xr:uid="{00000000-0005-0000-0000-000027170000}"/>
    <cellStyle name="Percent 12 5 3 2" xfId="5883" xr:uid="{00000000-0005-0000-0000-000028170000}"/>
    <cellStyle name="Percent 12 5 4" xfId="5884" xr:uid="{00000000-0005-0000-0000-000029170000}"/>
    <cellStyle name="Percent 12 5 5" xfId="5885" xr:uid="{00000000-0005-0000-0000-00002A170000}"/>
    <cellStyle name="Percent 12 6" xfId="5886" xr:uid="{00000000-0005-0000-0000-00002B170000}"/>
    <cellStyle name="Percent 12 6 2" xfId="5887" xr:uid="{00000000-0005-0000-0000-00002C170000}"/>
    <cellStyle name="Percent 12 6 2 2" xfId="5888" xr:uid="{00000000-0005-0000-0000-00002D170000}"/>
    <cellStyle name="Percent 12 6 3" xfId="5889" xr:uid="{00000000-0005-0000-0000-00002E170000}"/>
    <cellStyle name="Percent 12 6 3 2" xfId="5890" xr:uid="{00000000-0005-0000-0000-00002F170000}"/>
    <cellStyle name="Percent 12 6 4" xfId="5891" xr:uid="{00000000-0005-0000-0000-000030170000}"/>
    <cellStyle name="Percent 12 6 5" xfId="5892" xr:uid="{00000000-0005-0000-0000-000031170000}"/>
    <cellStyle name="Percent 12 7" xfId="5893" xr:uid="{00000000-0005-0000-0000-000032170000}"/>
    <cellStyle name="Percent 12 7 2" xfId="5894" xr:uid="{00000000-0005-0000-0000-000033170000}"/>
    <cellStyle name="Percent 12 7 2 2" xfId="5895" xr:uid="{00000000-0005-0000-0000-000034170000}"/>
    <cellStyle name="Percent 12 7 3" xfId="5896" xr:uid="{00000000-0005-0000-0000-000035170000}"/>
    <cellStyle name="Percent 12 7 3 2" xfId="5897" xr:uid="{00000000-0005-0000-0000-000036170000}"/>
    <cellStyle name="Percent 12 7 4" xfId="5898" xr:uid="{00000000-0005-0000-0000-000037170000}"/>
    <cellStyle name="Percent 12 7 4 2" xfId="5899" xr:uid="{00000000-0005-0000-0000-000038170000}"/>
    <cellStyle name="Percent 12 7 5" xfId="5900" xr:uid="{00000000-0005-0000-0000-000039170000}"/>
    <cellStyle name="Percent 12 7 5 2" xfId="5901" xr:uid="{00000000-0005-0000-0000-00003A170000}"/>
    <cellStyle name="Percent 12 7 6" xfId="5902" xr:uid="{00000000-0005-0000-0000-00003B170000}"/>
    <cellStyle name="Percent 12 7 7" xfId="5903" xr:uid="{00000000-0005-0000-0000-00003C170000}"/>
    <cellStyle name="Percent 12 8" xfId="5904" xr:uid="{00000000-0005-0000-0000-00003D170000}"/>
    <cellStyle name="Percent 12 8 2" xfId="5905" xr:uid="{00000000-0005-0000-0000-00003E170000}"/>
    <cellStyle name="Percent 12 8 2 2" xfId="5906" xr:uid="{00000000-0005-0000-0000-00003F170000}"/>
    <cellStyle name="Percent 12 8 3" xfId="5907" xr:uid="{00000000-0005-0000-0000-000040170000}"/>
    <cellStyle name="Percent 12 8 3 2" xfId="5908" xr:uid="{00000000-0005-0000-0000-000041170000}"/>
    <cellStyle name="Percent 12 8 4" xfId="5909" xr:uid="{00000000-0005-0000-0000-000042170000}"/>
    <cellStyle name="Percent 12 8 5" xfId="5910" xr:uid="{00000000-0005-0000-0000-000043170000}"/>
    <cellStyle name="Percent 12 9" xfId="5911" xr:uid="{00000000-0005-0000-0000-000044170000}"/>
    <cellStyle name="Percent 12 9 2" xfId="5912" xr:uid="{00000000-0005-0000-0000-000045170000}"/>
    <cellStyle name="Percent 13" xfId="5913" xr:uid="{00000000-0005-0000-0000-000046170000}"/>
    <cellStyle name="Percent 13 10" xfId="5914" xr:uid="{00000000-0005-0000-0000-000047170000}"/>
    <cellStyle name="Percent 13 10 2" xfId="5915" xr:uid="{00000000-0005-0000-0000-000048170000}"/>
    <cellStyle name="Percent 13 11" xfId="5916" xr:uid="{00000000-0005-0000-0000-000049170000}"/>
    <cellStyle name="Percent 13 12" xfId="5917" xr:uid="{00000000-0005-0000-0000-00004A170000}"/>
    <cellStyle name="Percent 13 2" xfId="5918" xr:uid="{00000000-0005-0000-0000-00004B170000}"/>
    <cellStyle name="Percent 13 2 2" xfId="5919" xr:uid="{00000000-0005-0000-0000-00004C170000}"/>
    <cellStyle name="Percent 13 2 2 2" xfId="5920" xr:uid="{00000000-0005-0000-0000-00004D170000}"/>
    <cellStyle name="Percent 13 2 3" xfId="5921" xr:uid="{00000000-0005-0000-0000-00004E170000}"/>
    <cellStyle name="Percent 13 2 3 2" xfId="5922" xr:uid="{00000000-0005-0000-0000-00004F170000}"/>
    <cellStyle name="Percent 13 2 4" xfId="5923" xr:uid="{00000000-0005-0000-0000-000050170000}"/>
    <cellStyle name="Percent 13 2 5" xfId="5924" xr:uid="{00000000-0005-0000-0000-000051170000}"/>
    <cellStyle name="Percent 13 3" xfId="5925" xr:uid="{00000000-0005-0000-0000-000052170000}"/>
    <cellStyle name="Percent 13 3 2" xfId="5926" xr:uid="{00000000-0005-0000-0000-000053170000}"/>
    <cellStyle name="Percent 13 3 2 2" xfId="5927" xr:uid="{00000000-0005-0000-0000-000054170000}"/>
    <cellStyle name="Percent 13 3 3" xfId="5928" xr:uid="{00000000-0005-0000-0000-000055170000}"/>
    <cellStyle name="Percent 13 3 3 2" xfId="5929" xr:uid="{00000000-0005-0000-0000-000056170000}"/>
    <cellStyle name="Percent 13 3 4" xfId="5930" xr:uid="{00000000-0005-0000-0000-000057170000}"/>
    <cellStyle name="Percent 13 3 5" xfId="5931" xr:uid="{00000000-0005-0000-0000-000058170000}"/>
    <cellStyle name="Percent 13 4" xfId="5932" xr:uid="{00000000-0005-0000-0000-000059170000}"/>
    <cellStyle name="Percent 13 4 2" xfId="5933" xr:uid="{00000000-0005-0000-0000-00005A170000}"/>
    <cellStyle name="Percent 13 4 2 2" xfId="5934" xr:uid="{00000000-0005-0000-0000-00005B170000}"/>
    <cellStyle name="Percent 13 4 3" xfId="5935" xr:uid="{00000000-0005-0000-0000-00005C170000}"/>
    <cellStyle name="Percent 13 4 3 2" xfId="5936" xr:uid="{00000000-0005-0000-0000-00005D170000}"/>
    <cellStyle name="Percent 13 4 4" xfId="5937" xr:uid="{00000000-0005-0000-0000-00005E170000}"/>
    <cellStyle name="Percent 13 4 5" xfId="5938" xr:uid="{00000000-0005-0000-0000-00005F170000}"/>
    <cellStyle name="Percent 13 5" xfId="5939" xr:uid="{00000000-0005-0000-0000-000060170000}"/>
    <cellStyle name="Percent 13 5 2" xfId="5940" xr:uid="{00000000-0005-0000-0000-000061170000}"/>
    <cellStyle name="Percent 13 5 2 2" xfId="5941" xr:uid="{00000000-0005-0000-0000-000062170000}"/>
    <cellStyle name="Percent 13 5 3" xfId="5942" xr:uid="{00000000-0005-0000-0000-000063170000}"/>
    <cellStyle name="Percent 13 5 3 2" xfId="5943" xr:uid="{00000000-0005-0000-0000-000064170000}"/>
    <cellStyle name="Percent 13 5 4" xfId="5944" xr:uid="{00000000-0005-0000-0000-000065170000}"/>
    <cellStyle name="Percent 13 5 5" xfId="5945" xr:uid="{00000000-0005-0000-0000-000066170000}"/>
    <cellStyle name="Percent 13 6" xfId="5946" xr:uid="{00000000-0005-0000-0000-000067170000}"/>
    <cellStyle name="Percent 13 6 2" xfId="5947" xr:uid="{00000000-0005-0000-0000-000068170000}"/>
    <cellStyle name="Percent 13 6 2 2" xfId="5948" xr:uid="{00000000-0005-0000-0000-000069170000}"/>
    <cellStyle name="Percent 13 6 3" xfId="5949" xr:uid="{00000000-0005-0000-0000-00006A170000}"/>
    <cellStyle name="Percent 13 6 3 2" xfId="5950" xr:uid="{00000000-0005-0000-0000-00006B170000}"/>
    <cellStyle name="Percent 13 6 4" xfId="5951" xr:uid="{00000000-0005-0000-0000-00006C170000}"/>
    <cellStyle name="Percent 13 6 5" xfId="5952" xr:uid="{00000000-0005-0000-0000-00006D170000}"/>
    <cellStyle name="Percent 13 7" xfId="5953" xr:uid="{00000000-0005-0000-0000-00006E170000}"/>
    <cellStyle name="Percent 13 7 2" xfId="5954" xr:uid="{00000000-0005-0000-0000-00006F170000}"/>
    <cellStyle name="Percent 13 7 2 2" xfId="5955" xr:uid="{00000000-0005-0000-0000-000070170000}"/>
    <cellStyle name="Percent 13 7 3" xfId="5956" xr:uid="{00000000-0005-0000-0000-000071170000}"/>
    <cellStyle name="Percent 13 7 3 2" xfId="5957" xr:uid="{00000000-0005-0000-0000-000072170000}"/>
    <cellStyle name="Percent 13 7 4" xfId="5958" xr:uid="{00000000-0005-0000-0000-000073170000}"/>
    <cellStyle name="Percent 13 7 4 2" xfId="5959" xr:uid="{00000000-0005-0000-0000-000074170000}"/>
    <cellStyle name="Percent 13 7 5" xfId="5960" xr:uid="{00000000-0005-0000-0000-000075170000}"/>
    <cellStyle name="Percent 13 7 5 2" xfId="5961" xr:uid="{00000000-0005-0000-0000-000076170000}"/>
    <cellStyle name="Percent 13 7 6" xfId="5962" xr:uid="{00000000-0005-0000-0000-000077170000}"/>
    <cellStyle name="Percent 13 7 7" xfId="5963" xr:uid="{00000000-0005-0000-0000-000078170000}"/>
    <cellStyle name="Percent 13 8" xfId="5964" xr:uid="{00000000-0005-0000-0000-000079170000}"/>
    <cellStyle name="Percent 13 8 2" xfId="5965" xr:uid="{00000000-0005-0000-0000-00007A170000}"/>
    <cellStyle name="Percent 13 8 2 2" xfId="5966" xr:uid="{00000000-0005-0000-0000-00007B170000}"/>
    <cellStyle name="Percent 13 8 3" xfId="5967" xr:uid="{00000000-0005-0000-0000-00007C170000}"/>
    <cellStyle name="Percent 13 8 3 2" xfId="5968" xr:uid="{00000000-0005-0000-0000-00007D170000}"/>
    <cellStyle name="Percent 13 8 4" xfId="5969" xr:uid="{00000000-0005-0000-0000-00007E170000}"/>
    <cellStyle name="Percent 13 8 5" xfId="5970" xr:uid="{00000000-0005-0000-0000-00007F170000}"/>
    <cellStyle name="Percent 13 9" xfId="5971" xr:uid="{00000000-0005-0000-0000-000080170000}"/>
    <cellStyle name="Percent 13 9 2" xfId="5972" xr:uid="{00000000-0005-0000-0000-000081170000}"/>
    <cellStyle name="Percent 14" xfId="5973" xr:uid="{00000000-0005-0000-0000-000082170000}"/>
    <cellStyle name="Percent 14 10" xfId="5974" xr:uid="{00000000-0005-0000-0000-000083170000}"/>
    <cellStyle name="Percent 14 10 2" xfId="5975" xr:uid="{00000000-0005-0000-0000-000084170000}"/>
    <cellStyle name="Percent 14 11" xfId="5976" xr:uid="{00000000-0005-0000-0000-000085170000}"/>
    <cellStyle name="Percent 14 12" xfId="5977" xr:uid="{00000000-0005-0000-0000-000086170000}"/>
    <cellStyle name="Percent 14 2" xfId="5978" xr:uid="{00000000-0005-0000-0000-000087170000}"/>
    <cellStyle name="Percent 14 2 2" xfId="5979" xr:uid="{00000000-0005-0000-0000-000088170000}"/>
    <cellStyle name="Percent 14 2 2 2" xfId="5980" xr:uid="{00000000-0005-0000-0000-000089170000}"/>
    <cellStyle name="Percent 14 2 3" xfId="5981" xr:uid="{00000000-0005-0000-0000-00008A170000}"/>
    <cellStyle name="Percent 14 2 3 2" xfId="5982" xr:uid="{00000000-0005-0000-0000-00008B170000}"/>
    <cellStyle name="Percent 14 2 4" xfId="5983" xr:uid="{00000000-0005-0000-0000-00008C170000}"/>
    <cellStyle name="Percent 14 2 5" xfId="5984" xr:uid="{00000000-0005-0000-0000-00008D170000}"/>
    <cellStyle name="Percent 14 3" xfId="5985" xr:uid="{00000000-0005-0000-0000-00008E170000}"/>
    <cellStyle name="Percent 14 3 2" xfId="5986" xr:uid="{00000000-0005-0000-0000-00008F170000}"/>
    <cellStyle name="Percent 14 3 2 2" xfId="5987" xr:uid="{00000000-0005-0000-0000-000090170000}"/>
    <cellStyle name="Percent 14 3 3" xfId="5988" xr:uid="{00000000-0005-0000-0000-000091170000}"/>
    <cellStyle name="Percent 14 3 3 2" xfId="5989" xr:uid="{00000000-0005-0000-0000-000092170000}"/>
    <cellStyle name="Percent 14 3 4" xfId="5990" xr:uid="{00000000-0005-0000-0000-000093170000}"/>
    <cellStyle name="Percent 14 3 5" xfId="5991" xr:uid="{00000000-0005-0000-0000-000094170000}"/>
    <cellStyle name="Percent 14 4" xfId="5992" xr:uid="{00000000-0005-0000-0000-000095170000}"/>
    <cellStyle name="Percent 14 4 2" xfId="5993" xr:uid="{00000000-0005-0000-0000-000096170000}"/>
    <cellStyle name="Percent 14 4 2 2" xfId="5994" xr:uid="{00000000-0005-0000-0000-000097170000}"/>
    <cellStyle name="Percent 14 4 3" xfId="5995" xr:uid="{00000000-0005-0000-0000-000098170000}"/>
    <cellStyle name="Percent 14 4 3 2" xfId="5996" xr:uid="{00000000-0005-0000-0000-000099170000}"/>
    <cellStyle name="Percent 14 4 4" xfId="5997" xr:uid="{00000000-0005-0000-0000-00009A170000}"/>
    <cellStyle name="Percent 14 4 5" xfId="5998" xr:uid="{00000000-0005-0000-0000-00009B170000}"/>
    <cellStyle name="Percent 14 5" xfId="5999" xr:uid="{00000000-0005-0000-0000-00009C170000}"/>
    <cellStyle name="Percent 14 5 2" xfId="6000" xr:uid="{00000000-0005-0000-0000-00009D170000}"/>
    <cellStyle name="Percent 14 5 2 2" xfId="6001" xr:uid="{00000000-0005-0000-0000-00009E170000}"/>
    <cellStyle name="Percent 14 5 3" xfId="6002" xr:uid="{00000000-0005-0000-0000-00009F170000}"/>
    <cellStyle name="Percent 14 5 3 2" xfId="6003" xr:uid="{00000000-0005-0000-0000-0000A0170000}"/>
    <cellStyle name="Percent 14 5 4" xfId="6004" xr:uid="{00000000-0005-0000-0000-0000A1170000}"/>
    <cellStyle name="Percent 14 5 5" xfId="6005" xr:uid="{00000000-0005-0000-0000-0000A2170000}"/>
    <cellStyle name="Percent 14 6" xfId="6006" xr:uid="{00000000-0005-0000-0000-0000A3170000}"/>
    <cellStyle name="Percent 14 6 2" xfId="6007" xr:uid="{00000000-0005-0000-0000-0000A4170000}"/>
    <cellStyle name="Percent 14 6 2 2" xfId="6008" xr:uid="{00000000-0005-0000-0000-0000A5170000}"/>
    <cellStyle name="Percent 14 6 3" xfId="6009" xr:uid="{00000000-0005-0000-0000-0000A6170000}"/>
    <cellStyle name="Percent 14 6 3 2" xfId="6010" xr:uid="{00000000-0005-0000-0000-0000A7170000}"/>
    <cellStyle name="Percent 14 6 4" xfId="6011" xr:uid="{00000000-0005-0000-0000-0000A8170000}"/>
    <cellStyle name="Percent 14 6 5" xfId="6012" xr:uid="{00000000-0005-0000-0000-0000A9170000}"/>
    <cellStyle name="Percent 14 7" xfId="6013" xr:uid="{00000000-0005-0000-0000-0000AA170000}"/>
    <cellStyle name="Percent 14 7 2" xfId="6014" xr:uid="{00000000-0005-0000-0000-0000AB170000}"/>
    <cellStyle name="Percent 14 7 2 2" xfId="6015" xr:uid="{00000000-0005-0000-0000-0000AC170000}"/>
    <cellStyle name="Percent 14 7 3" xfId="6016" xr:uid="{00000000-0005-0000-0000-0000AD170000}"/>
    <cellStyle name="Percent 14 7 3 2" xfId="6017" xr:uid="{00000000-0005-0000-0000-0000AE170000}"/>
    <cellStyle name="Percent 14 7 4" xfId="6018" xr:uid="{00000000-0005-0000-0000-0000AF170000}"/>
    <cellStyle name="Percent 14 7 4 2" xfId="6019" xr:uid="{00000000-0005-0000-0000-0000B0170000}"/>
    <cellStyle name="Percent 14 7 5" xfId="6020" xr:uid="{00000000-0005-0000-0000-0000B1170000}"/>
    <cellStyle name="Percent 14 7 5 2" xfId="6021" xr:uid="{00000000-0005-0000-0000-0000B2170000}"/>
    <cellStyle name="Percent 14 7 6" xfId="6022" xr:uid="{00000000-0005-0000-0000-0000B3170000}"/>
    <cellStyle name="Percent 14 7 7" xfId="6023" xr:uid="{00000000-0005-0000-0000-0000B4170000}"/>
    <cellStyle name="Percent 14 8" xfId="6024" xr:uid="{00000000-0005-0000-0000-0000B5170000}"/>
    <cellStyle name="Percent 14 8 2" xfId="6025" xr:uid="{00000000-0005-0000-0000-0000B6170000}"/>
    <cellStyle name="Percent 14 8 2 2" xfId="6026" xr:uid="{00000000-0005-0000-0000-0000B7170000}"/>
    <cellStyle name="Percent 14 8 3" xfId="6027" xr:uid="{00000000-0005-0000-0000-0000B8170000}"/>
    <cellStyle name="Percent 14 8 3 2" xfId="6028" xr:uid="{00000000-0005-0000-0000-0000B9170000}"/>
    <cellStyle name="Percent 14 8 4" xfId="6029" xr:uid="{00000000-0005-0000-0000-0000BA170000}"/>
    <cellStyle name="Percent 14 8 5" xfId="6030" xr:uid="{00000000-0005-0000-0000-0000BB170000}"/>
    <cellStyle name="Percent 14 9" xfId="6031" xr:uid="{00000000-0005-0000-0000-0000BC170000}"/>
    <cellStyle name="Percent 14 9 2" xfId="6032" xr:uid="{00000000-0005-0000-0000-0000BD170000}"/>
    <cellStyle name="Percent 15" xfId="6033" xr:uid="{00000000-0005-0000-0000-0000BE170000}"/>
    <cellStyle name="Percent 15 10" xfId="6034" xr:uid="{00000000-0005-0000-0000-0000BF170000}"/>
    <cellStyle name="Percent 15 10 2" xfId="6035" xr:uid="{00000000-0005-0000-0000-0000C0170000}"/>
    <cellStyle name="Percent 15 10 3" xfId="6036" xr:uid="{00000000-0005-0000-0000-0000C1170000}"/>
    <cellStyle name="Percent 15 11" xfId="6037" xr:uid="{00000000-0005-0000-0000-0000C2170000}"/>
    <cellStyle name="Percent 15 11 2" xfId="6038" xr:uid="{00000000-0005-0000-0000-0000C3170000}"/>
    <cellStyle name="Percent 15 11 3" xfId="6039" xr:uid="{00000000-0005-0000-0000-0000C4170000}"/>
    <cellStyle name="Percent 15 12" xfId="6040" xr:uid="{00000000-0005-0000-0000-0000C5170000}"/>
    <cellStyle name="Percent 15 12 2" xfId="6041" xr:uid="{00000000-0005-0000-0000-0000C6170000}"/>
    <cellStyle name="Percent 15 12 3" xfId="6042" xr:uid="{00000000-0005-0000-0000-0000C7170000}"/>
    <cellStyle name="Percent 15 13" xfId="6043" xr:uid="{00000000-0005-0000-0000-0000C8170000}"/>
    <cellStyle name="Percent 15 13 2" xfId="6044" xr:uid="{00000000-0005-0000-0000-0000C9170000}"/>
    <cellStyle name="Percent 15 13 3" xfId="6045" xr:uid="{00000000-0005-0000-0000-0000CA170000}"/>
    <cellStyle name="Percent 15 14" xfId="6046" xr:uid="{00000000-0005-0000-0000-0000CB170000}"/>
    <cellStyle name="Percent 15 14 2" xfId="6047" xr:uid="{00000000-0005-0000-0000-0000CC170000}"/>
    <cellStyle name="Percent 15 14 3" xfId="6048" xr:uid="{00000000-0005-0000-0000-0000CD170000}"/>
    <cellStyle name="Percent 15 15" xfId="6049" xr:uid="{00000000-0005-0000-0000-0000CE170000}"/>
    <cellStyle name="Percent 15 15 2" xfId="6050" xr:uid="{00000000-0005-0000-0000-0000CF170000}"/>
    <cellStyle name="Percent 15 16" xfId="6051" xr:uid="{00000000-0005-0000-0000-0000D0170000}"/>
    <cellStyle name="Percent 15 17" xfId="6052" xr:uid="{00000000-0005-0000-0000-0000D1170000}"/>
    <cellStyle name="Percent 15 2" xfId="6053" xr:uid="{00000000-0005-0000-0000-0000D2170000}"/>
    <cellStyle name="Percent 15 2 10" xfId="6054" xr:uid="{00000000-0005-0000-0000-0000D3170000}"/>
    <cellStyle name="Percent 15 2 2" xfId="6055" xr:uid="{00000000-0005-0000-0000-0000D4170000}"/>
    <cellStyle name="Percent 15 2 2 2" xfId="6056" xr:uid="{00000000-0005-0000-0000-0000D5170000}"/>
    <cellStyle name="Percent 15 2 2 3" xfId="6057" xr:uid="{00000000-0005-0000-0000-0000D6170000}"/>
    <cellStyle name="Percent 15 2 2 4" xfId="6058" xr:uid="{00000000-0005-0000-0000-0000D7170000}"/>
    <cellStyle name="Percent 15 2 3" xfId="6059" xr:uid="{00000000-0005-0000-0000-0000D8170000}"/>
    <cellStyle name="Percent 15 2 3 2" xfId="6060" xr:uid="{00000000-0005-0000-0000-0000D9170000}"/>
    <cellStyle name="Percent 15 2 3 3" xfId="6061" xr:uid="{00000000-0005-0000-0000-0000DA170000}"/>
    <cellStyle name="Percent 15 2 3 4" xfId="6062" xr:uid="{00000000-0005-0000-0000-0000DB170000}"/>
    <cellStyle name="Percent 15 2 4" xfId="6063" xr:uid="{00000000-0005-0000-0000-0000DC170000}"/>
    <cellStyle name="Percent 15 2 4 2" xfId="6064" xr:uid="{00000000-0005-0000-0000-0000DD170000}"/>
    <cellStyle name="Percent 15 2 4 3" xfId="6065" xr:uid="{00000000-0005-0000-0000-0000DE170000}"/>
    <cellStyle name="Percent 15 2 4 4" xfId="6066" xr:uid="{00000000-0005-0000-0000-0000DF170000}"/>
    <cellStyle name="Percent 15 2 5" xfId="6067" xr:uid="{00000000-0005-0000-0000-0000E0170000}"/>
    <cellStyle name="Percent 15 2 5 2" xfId="6068" xr:uid="{00000000-0005-0000-0000-0000E1170000}"/>
    <cellStyle name="Percent 15 2 5 3" xfId="6069" xr:uid="{00000000-0005-0000-0000-0000E2170000}"/>
    <cellStyle name="Percent 15 2 5 4" xfId="6070" xr:uid="{00000000-0005-0000-0000-0000E3170000}"/>
    <cellStyle name="Percent 15 2 6" xfId="6071" xr:uid="{00000000-0005-0000-0000-0000E4170000}"/>
    <cellStyle name="Percent 15 2 6 2" xfId="6072" xr:uid="{00000000-0005-0000-0000-0000E5170000}"/>
    <cellStyle name="Percent 15 2 6 3" xfId="6073" xr:uid="{00000000-0005-0000-0000-0000E6170000}"/>
    <cellStyle name="Percent 15 2 6 4" xfId="6074" xr:uid="{00000000-0005-0000-0000-0000E7170000}"/>
    <cellStyle name="Percent 15 2 7" xfId="6075" xr:uid="{00000000-0005-0000-0000-0000E8170000}"/>
    <cellStyle name="Percent 15 2 7 2" xfId="6076" xr:uid="{00000000-0005-0000-0000-0000E9170000}"/>
    <cellStyle name="Percent 15 2 7 3" xfId="6077" xr:uid="{00000000-0005-0000-0000-0000EA170000}"/>
    <cellStyle name="Percent 15 2 7 4" xfId="6078" xr:uid="{00000000-0005-0000-0000-0000EB170000}"/>
    <cellStyle name="Percent 15 2 8" xfId="6079" xr:uid="{00000000-0005-0000-0000-0000EC170000}"/>
    <cellStyle name="Percent 15 2 8 2" xfId="6080" xr:uid="{00000000-0005-0000-0000-0000ED170000}"/>
    <cellStyle name="Percent 15 2 9" xfId="6081" xr:uid="{00000000-0005-0000-0000-0000EE170000}"/>
    <cellStyle name="Percent 15 3" xfId="6082" xr:uid="{00000000-0005-0000-0000-0000EF170000}"/>
    <cellStyle name="Percent 15 3 2" xfId="6083" xr:uid="{00000000-0005-0000-0000-0000F0170000}"/>
    <cellStyle name="Percent 15 3 3" xfId="6084" xr:uid="{00000000-0005-0000-0000-0000F1170000}"/>
    <cellStyle name="Percent 15 3 4" xfId="6085" xr:uid="{00000000-0005-0000-0000-0000F2170000}"/>
    <cellStyle name="Percent 15 4" xfId="6086" xr:uid="{00000000-0005-0000-0000-0000F3170000}"/>
    <cellStyle name="Percent 15 4 2" xfId="6087" xr:uid="{00000000-0005-0000-0000-0000F4170000}"/>
    <cellStyle name="Percent 15 4 2 2" xfId="6088" xr:uid="{00000000-0005-0000-0000-0000F5170000}"/>
    <cellStyle name="Percent 15 4 3" xfId="6089" xr:uid="{00000000-0005-0000-0000-0000F6170000}"/>
    <cellStyle name="Percent 15 4 3 2" xfId="6090" xr:uid="{00000000-0005-0000-0000-0000F7170000}"/>
    <cellStyle name="Percent 15 4 4" xfId="6091" xr:uid="{00000000-0005-0000-0000-0000F8170000}"/>
    <cellStyle name="Percent 15 4 5" xfId="6092" xr:uid="{00000000-0005-0000-0000-0000F9170000}"/>
    <cellStyle name="Percent 15 5" xfId="6093" xr:uid="{00000000-0005-0000-0000-0000FA170000}"/>
    <cellStyle name="Percent 15 5 2" xfId="6094" xr:uid="{00000000-0005-0000-0000-0000FB170000}"/>
    <cellStyle name="Percent 15 5 3" xfId="6095" xr:uid="{00000000-0005-0000-0000-0000FC170000}"/>
    <cellStyle name="Percent 15 5 4" xfId="6096" xr:uid="{00000000-0005-0000-0000-0000FD170000}"/>
    <cellStyle name="Percent 15 6" xfId="6097" xr:uid="{00000000-0005-0000-0000-0000FE170000}"/>
    <cellStyle name="Percent 15 6 2" xfId="6098" xr:uid="{00000000-0005-0000-0000-0000FF170000}"/>
    <cellStyle name="Percent 15 6 3" xfId="6099" xr:uid="{00000000-0005-0000-0000-000000180000}"/>
    <cellStyle name="Percent 15 6 4" xfId="6100" xr:uid="{00000000-0005-0000-0000-000001180000}"/>
    <cellStyle name="Percent 15 7" xfId="6101" xr:uid="{00000000-0005-0000-0000-000002180000}"/>
    <cellStyle name="Percent 15 7 2" xfId="6102" xr:uid="{00000000-0005-0000-0000-000003180000}"/>
    <cellStyle name="Percent 15 7 2 2" xfId="6103" xr:uid="{00000000-0005-0000-0000-000004180000}"/>
    <cellStyle name="Percent 15 7 2 3" xfId="6104" xr:uid="{00000000-0005-0000-0000-000005180000}"/>
    <cellStyle name="Percent 15 7 3" xfId="6105" xr:uid="{00000000-0005-0000-0000-000006180000}"/>
    <cellStyle name="Percent 15 7 3 2" xfId="6106" xr:uid="{00000000-0005-0000-0000-000007180000}"/>
    <cellStyle name="Percent 15 7 4" xfId="6107" xr:uid="{00000000-0005-0000-0000-000008180000}"/>
    <cellStyle name="Percent 15 7 5" xfId="6108" xr:uid="{00000000-0005-0000-0000-000009180000}"/>
    <cellStyle name="Percent 15 8" xfId="6109" xr:uid="{00000000-0005-0000-0000-00000A180000}"/>
    <cellStyle name="Percent 15 8 2" xfId="6110" xr:uid="{00000000-0005-0000-0000-00000B180000}"/>
    <cellStyle name="Percent 15 8 3" xfId="6111" xr:uid="{00000000-0005-0000-0000-00000C180000}"/>
    <cellStyle name="Percent 15 8 4" xfId="6112" xr:uid="{00000000-0005-0000-0000-00000D180000}"/>
    <cellStyle name="Percent 15 9" xfId="6113" xr:uid="{00000000-0005-0000-0000-00000E180000}"/>
    <cellStyle name="Percent 15 9 2" xfId="6114" xr:uid="{00000000-0005-0000-0000-00000F180000}"/>
    <cellStyle name="Percent 15 9 3" xfId="6115" xr:uid="{00000000-0005-0000-0000-000010180000}"/>
    <cellStyle name="Percent 16" xfId="6116" xr:uid="{00000000-0005-0000-0000-000011180000}"/>
    <cellStyle name="Percent 16 10" xfId="6117" xr:uid="{00000000-0005-0000-0000-000012180000}"/>
    <cellStyle name="Percent 16 11" xfId="6118" xr:uid="{00000000-0005-0000-0000-000013180000}"/>
    <cellStyle name="Percent 16 2" xfId="6119" xr:uid="{00000000-0005-0000-0000-000014180000}"/>
    <cellStyle name="Percent 16 2 2" xfId="6120" xr:uid="{00000000-0005-0000-0000-000015180000}"/>
    <cellStyle name="Percent 16 2 2 2" xfId="6121" xr:uid="{00000000-0005-0000-0000-000016180000}"/>
    <cellStyle name="Percent 16 2 3" xfId="6122" xr:uid="{00000000-0005-0000-0000-000017180000}"/>
    <cellStyle name="Percent 16 2 3 2" xfId="6123" xr:uid="{00000000-0005-0000-0000-000018180000}"/>
    <cellStyle name="Percent 16 2 4" xfId="6124" xr:uid="{00000000-0005-0000-0000-000019180000}"/>
    <cellStyle name="Percent 16 2 5" xfId="6125" xr:uid="{00000000-0005-0000-0000-00001A180000}"/>
    <cellStyle name="Percent 16 3" xfId="6126" xr:uid="{00000000-0005-0000-0000-00001B180000}"/>
    <cellStyle name="Percent 16 3 10" xfId="6127" xr:uid="{00000000-0005-0000-0000-00001C180000}"/>
    <cellStyle name="Percent 16 3 10 2" xfId="6128" xr:uid="{00000000-0005-0000-0000-00001D180000}"/>
    <cellStyle name="Percent 16 3 10 3" xfId="6129" xr:uid="{00000000-0005-0000-0000-00001E180000}"/>
    <cellStyle name="Percent 16 3 11" xfId="6130" xr:uid="{00000000-0005-0000-0000-00001F180000}"/>
    <cellStyle name="Percent 16 3 11 2" xfId="6131" xr:uid="{00000000-0005-0000-0000-000020180000}"/>
    <cellStyle name="Percent 16 3 11 3" xfId="6132" xr:uid="{00000000-0005-0000-0000-000021180000}"/>
    <cellStyle name="Percent 16 3 12" xfId="6133" xr:uid="{00000000-0005-0000-0000-000022180000}"/>
    <cellStyle name="Percent 16 3 12 2" xfId="6134" xr:uid="{00000000-0005-0000-0000-000023180000}"/>
    <cellStyle name="Percent 16 3 12 3" xfId="6135" xr:uid="{00000000-0005-0000-0000-000024180000}"/>
    <cellStyle name="Percent 16 3 13" xfId="6136" xr:uid="{00000000-0005-0000-0000-000025180000}"/>
    <cellStyle name="Percent 16 3 13 2" xfId="6137" xr:uid="{00000000-0005-0000-0000-000026180000}"/>
    <cellStyle name="Percent 16 3 13 3" xfId="6138" xr:uid="{00000000-0005-0000-0000-000027180000}"/>
    <cellStyle name="Percent 16 3 14" xfId="6139" xr:uid="{00000000-0005-0000-0000-000028180000}"/>
    <cellStyle name="Percent 16 3 14 2" xfId="6140" xr:uid="{00000000-0005-0000-0000-000029180000}"/>
    <cellStyle name="Percent 16 3 14 3" xfId="6141" xr:uid="{00000000-0005-0000-0000-00002A180000}"/>
    <cellStyle name="Percent 16 3 15" xfId="6142" xr:uid="{00000000-0005-0000-0000-00002B180000}"/>
    <cellStyle name="Percent 16 3 15 2" xfId="6143" xr:uid="{00000000-0005-0000-0000-00002C180000}"/>
    <cellStyle name="Percent 16 3 15 3" xfId="6144" xr:uid="{00000000-0005-0000-0000-00002D180000}"/>
    <cellStyle name="Percent 16 3 16" xfId="6145" xr:uid="{00000000-0005-0000-0000-00002E180000}"/>
    <cellStyle name="Percent 16 3 16 2" xfId="6146" xr:uid="{00000000-0005-0000-0000-00002F180000}"/>
    <cellStyle name="Percent 16 3 16 3" xfId="6147" xr:uid="{00000000-0005-0000-0000-000030180000}"/>
    <cellStyle name="Percent 16 3 17" xfId="6148" xr:uid="{00000000-0005-0000-0000-000031180000}"/>
    <cellStyle name="Percent 16 3 17 2" xfId="6149" xr:uid="{00000000-0005-0000-0000-000032180000}"/>
    <cellStyle name="Percent 16 3 17 3" xfId="6150" xr:uid="{00000000-0005-0000-0000-000033180000}"/>
    <cellStyle name="Percent 16 3 18" xfId="6151" xr:uid="{00000000-0005-0000-0000-000034180000}"/>
    <cellStyle name="Percent 16 3 18 2" xfId="6152" xr:uid="{00000000-0005-0000-0000-000035180000}"/>
    <cellStyle name="Percent 16 3 19" xfId="6153" xr:uid="{00000000-0005-0000-0000-000036180000}"/>
    <cellStyle name="Percent 16 3 19 2" xfId="6154" xr:uid="{00000000-0005-0000-0000-000037180000}"/>
    <cellStyle name="Percent 16 3 2" xfId="6155" xr:uid="{00000000-0005-0000-0000-000038180000}"/>
    <cellStyle name="Percent 16 3 2 2" xfId="6156" xr:uid="{00000000-0005-0000-0000-000039180000}"/>
    <cellStyle name="Percent 16 3 2 3" xfId="6157" xr:uid="{00000000-0005-0000-0000-00003A180000}"/>
    <cellStyle name="Percent 16 3 20" xfId="6158" xr:uid="{00000000-0005-0000-0000-00003B180000}"/>
    <cellStyle name="Percent 16 3 21" xfId="6159" xr:uid="{00000000-0005-0000-0000-00003C180000}"/>
    <cellStyle name="Percent 16 3 3" xfId="6160" xr:uid="{00000000-0005-0000-0000-00003D180000}"/>
    <cellStyle name="Percent 16 3 3 2" xfId="6161" xr:uid="{00000000-0005-0000-0000-00003E180000}"/>
    <cellStyle name="Percent 16 3 3 3" xfId="6162" xr:uid="{00000000-0005-0000-0000-00003F180000}"/>
    <cellStyle name="Percent 16 3 4" xfId="6163" xr:uid="{00000000-0005-0000-0000-000040180000}"/>
    <cellStyle name="Percent 16 3 4 2" xfId="6164" xr:uid="{00000000-0005-0000-0000-000041180000}"/>
    <cellStyle name="Percent 16 3 4 3" xfId="6165" xr:uid="{00000000-0005-0000-0000-000042180000}"/>
    <cellStyle name="Percent 16 3 5" xfId="6166" xr:uid="{00000000-0005-0000-0000-000043180000}"/>
    <cellStyle name="Percent 16 3 5 2" xfId="6167" xr:uid="{00000000-0005-0000-0000-000044180000}"/>
    <cellStyle name="Percent 16 3 5 3" xfId="6168" xr:uid="{00000000-0005-0000-0000-000045180000}"/>
    <cellStyle name="Percent 16 3 6" xfId="6169" xr:uid="{00000000-0005-0000-0000-000046180000}"/>
    <cellStyle name="Percent 16 3 6 2" xfId="6170" xr:uid="{00000000-0005-0000-0000-000047180000}"/>
    <cellStyle name="Percent 16 3 6 3" xfId="6171" xr:uid="{00000000-0005-0000-0000-000048180000}"/>
    <cellStyle name="Percent 16 3 7" xfId="6172" xr:uid="{00000000-0005-0000-0000-000049180000}"/>
    <cellStyle name="Percent 16 3 7 2" xfId="6173" xr:uid="{00000000-0005-0000-0000-00004A180000}"/>
    <cellStyle name="Percent 16 3 7 3" xfId="6174" xr:uid="{00000000-0005-0000-0000-00004B180000}"/>
    <cellStyle name="Percent 16 3 8" xfId="6175" xr:uid="{00000000-0005-0000-0000-00004C180000}"/>
    <cellStyle name="Percent 16 3 8 2" xfId="6176" xr:uid="{00000000-0005-0000-0000-00004D180000}"/>
    <cellStyle name="Percent 16 3 8 3" xfId="6177" xr:uid="{00000000-0005-0000-0000-00004E180000}"/>
    <cellStyle name="Percent 16 3 9" xfId="6178" xr:uid="{00000000-0005-0000-0000-00004F180000}"/>
    <cellStyle name="Percent 16 3 9 2" xfId="6179" xr:uid="{00000000-0005-0000-0000-000050180000}"/>
    <cellStyle name="Percent 16 3 9 3" xfId="6180" xr:uid="{00000000-0005-0000-0000-000051180000}"/>
    <cellStyle name="Percent 16 4" xfId="6181" xr:uid="{00000000-0005-0000-0000-000052180000}"/>
    <cellStyle name="Percent 16 4 10" xfId="6182" xr:uid="{00000000-0005-0000-0000-000053180000}"/>
    <cellStyle name="Percent 16 4 10 2" xfId="6183" xr:uid="{00000000-0005-0000-0000-000054180000}"/>
    <cellStyle name="Percent 16 4 10 3" xfId="6184" xr:uid="{00000000-0005-0000-0000-000055180000}"/>
    <cellStyle name="Percent 16 4 11" xfId="6185" xr:uid="{00000000-0005-0000-0000-000056180000}"/>
    <cellStyle name="Percent 16 4 11 2" xfId="6186" xr:uid="{00000000-0005-0000-0000-000057180000}"/>
    <cellStyle name="Percent 16 4 11 3" xfId="6187" xr:uid="{00000000-0005-0000-0000-000058180000}"/>
    <cellStyle name="Percent 16 4 12" xfId="6188" xr:uid="{00000000-0005-0000-0000-000059180000}"/>
    <cellStyle name="Percent 16 4 12 2" xfId="6189" xr:uid="{00000000-0005-0000-0000-00005A180000}"/>
    <cellStyle name="Percent 16 4 12 3" xfId="6190" xr:uid="{00000000-0005-0000-0000-00005B180000}"/>
    <cellStyle name="Percent 16 4 13" xfId="6191" xr:uid="{00000000-0005-0000-0000-00005C180000}"/>
    <cellStyle name="Percent 16 4 13 2" xfId="6192" xr:uid="{00000000-0005-0000-0000-00005D180000}"/>
    <cellStyle name="Percent 16 4 13 3" xfId="6193" xr:uid="{00000000-0005-0000-0000-00005E180000}"/>
    <cellStyle name="Percent 16 4 14" xfId="6194" xr:uid="{00000000-0005-0000-0000-00005F180000}"/>
    <cellStyle name="Percent 16 4 14 2" xfId="6195" xr:uid="{00000000-0005-0000-0000-000060180000}"/>
    <cellStyle name="Percent 16 4 14 3" xfId="6196" xr:uid="{00000000-0005-0000-0000-000061180000}"/>
    <cellStyle name="Percent 16 4 15" xfId="6197" xr:uid="{00000000-0005-0000-0000-000062180000}"/>
    <cellStyle name="Percent 16 4 15 2" xfId="6198" xr:uid="{00000000-0005-0000-0000-000063180000}"/>
    <cellStyle name="Percent 16 4 15 3" xfId="6199" xr:uid="{00000000-0005-0000-0000-000064180000}"/>
    <cellStyle name="Percent 16 4 16" xfId="6200" xr:uid="{00000000-0005-0000-0000-000065180000}"/>
    <cellStyle name="Percent 16 4 16 2" xfId="6201" xr:uid="{00000000-0005-0000-0000-000066180000}"/>
    <cellStyle name="Percent 16 4 16 3" xfId="6202" xr:uid="{00000000-0005-0000-0000-000067180000}"/>
    <cellStyle name="Percent 16 4 17" xfId="6203" xr:uid="{00000000-0005-0000-0000-000068180000}"/>
    <cellStyle name="Percent 16 4 17 2" xfId="6204" xr:uid="{00000000-0005-0000-0000-000069180000}"/>
    <cellStyle name="Percent 16 4 17 3" xfId="6205" xr:uid="{00000000-0005-0000-0000-00006A180000}"/>
    <cellStyle name="Percent 16 4 18" xfId="6206" xr:uid="{00000000-0005-0000-0000-00006B180000}"/>
    <cellStyle name="Percent 16 4 18 2" xfId="6207" xr:uid="{00000000-0005-0000-0000-00006C180000}"/>
    <cellStyle name="Percent 16 4 19" xfId="6208" xr:uid="{00000000-0005-0000-0000-00006D180000}"/>
    <cellStyle name="Percent 16 4 19 2" xfId="6209" xr:uid="{00000000-0005-0000-0000-00006E180000}"/>
    <cellStyle name="Percent 16 4 2" xfId="6210" xr:uid="{00000000-0005-0000-0000-00006F180000}"/>
    <cellStyle name="Percent 16 4 2 2" xfId="6211" xr:uid="{00000000-0005-0000-0000-000070180000}"/>
    <cellStyle name="Percent 16 4 2 3" xfId="6212" xr:uid="{00000000-0005-0000-0000-000071180000}"/>
    <cellStyle name="Percent 16 4 20" xfId="6213" xr:uid="{00000000-0005-0000-0000-000072180000}"/>
    <cellStyle name="Percent 16 4 21" xfId="6214" xr:uid="{00000000-0005-0000-0000-000073180000}"/>
    <cellStyle name="Percent 16 4 3" xfId="6215" xr:uid="{00000000-0005-0000-0000-000074180000}"/>
    <cellStyle name="Percent 16 4 3 2" xfId="6216" xr:uid="{00000000-0005-0000-0000-000075180000}"/>
    <cellStyle name="Percent 16 4 3 3" xfId="6217" xr:uid="{00000000-0005-0000-0000-000076180000}"/>
    <cellStyle name="Percent 16 4 4" xfId="6218" xr:uid="{00000000-0005-0000-0000-000077180000}"/>
    <cellStyle name="Percent 16 4 4 2" xfId="6219" xr:uid="{00000000-0005-0000-0000-000078180000}"/>
    <cellStyle name="Percent 16 4 4 3" xfId="6220" xr:uid="{00000000-0005-0000-0000-000079180000}"/>
    <cellStyle name="Percent 16 4 5" xfId="6221" xr:uid="{00000000-0005-0000-0000-00007A180000}"/>
    <cellStyle name="Percent 16 4 5 2" xfId="6222" xr:uid="{00000000-0005-0000-0000-00007B180000}"/>
    <cellStyle name="Percent 16 4 5 3" xfId="6223" xr:uid="{00000000-0005-0000-0000-00007C180000}"/>
    <cellStyle name="Percent 16 4 6" xfId="6224" xr:uid="{00000000-0005-0000-0000-00007D180000}"/>
    <cellStyle name="Percent 16 4 6 2" xfId="6225" xr:uid="{00000000-0005-0000-0000-00007E180000}"/>
    <cellStyle name="Percent 16 4 6 3" xfId="6226" xr:uid="{00000000-0005-0000-0000-00007F180000}"/>
    <cellStyle name="Percent 16 4 7" xfId="6227" xr:uid="{00000000-0005-0000-0000-000080180000}"/>
    <cellStyle name="Percent 16 4 7 2" xfId="6228" xr:uid="{00000000-0005-0000-0000-000081180000}"/>
    <cellStyle name="Percent 16 4 7 3" xfId="6229" xr:uid="{00000000-0005-0000-0000-000082180000}"/>
    <cellStyle name="Percent 16 4 8" xfId="6230" xr:uid="{00000000-0005-0000-0000-000083180000}"/>
    <cellStyle name="Percent 16 4 8 2" xfId="6231" xr:uid="{00000000-0005-0000-0000-000084180000}"/>
    <cellStyle name="Percent 16 4 8 3" xfId="6232" xr:uid="{00000000-0005-0000-0000-000085180000}"/>
    <cellStyle name="Percent 16 4 9" xfId="6233" xr:uid="{00000000-0005-0000-0000-000086180000}"/>
    <cellStyle name="Percent 16 4 9 2" xfId="6234" xr:uid="{00000000-0005-0000-0000-000087180000}"/>
    <cellStyle name="Percent 16 4 9 3" xfId="6235" xr:uid="{00000000-0005-0000-0000-000088180000}"/>
    <cellStyle name="Percent 16 5" xfId="6236" xr:uid="{00000000-0005-0000-0000-000089180000}"/>
    <cellStyle name="Percent 16 5 10" xfId="6237" xr:uid="{00000000-0005-0000-0000-00008A180000}"/>
    <cellStyle name="Percent 16 5 10 2" xfId="6238" xr:uid="{00000000-0005-0000-0000-00008B180000}"/>
    <cellStyle name="Percent 16 5 10 3" xfId="6239" xr:uid="{00000000-0005-0000-0000-00008C180000}"/>
    <cellStyle name="Percent 16 5 11" xfId="6240" xr:uid="{00000000-0005-0000-0000-00008D180000}"/>
    <cellStyle name="Percent 16 5 11 2" xfId="6241" xr:uid="{00000000-0005-0000-0000-00008E180000}"/>
    <cellStyle name="Percent 16 5 11 3" xfId="6242" xr:uid="{00000000-0005-0000-0000-00008F180000}"/>
    <cellStyle name="Percent 16 5 12" xfId="6243" xr:uid="{00000000-0005-0000-0000-000090180000}"/>
    <cellStyle name="Percent 16 5 12 2" xfId="6244" xr:uid="{00000000-0005-0000-0000-000091180000}"/>
    <cellStyle name="Percent 16 5 12 3" xfId="6245" xr:uid="{00000000-0005-0000-0000-000092180000}"/>
    <cellStyle name="Percent 16 5 13" xfId="6246" xr:uid="{00000000-0005-0000-0000-000093180000}"/>
    <cellStyle name="Percent 16 5 13 2" xfId="6247" xr:uid="{00000000-0005-0000-0000-000094180000}"/>
    <cellStyle name="Percent 16 5 13 3" xfId="6248" xr:uid="{00000000-0005-0000-0000-000095180000}"/>
    <cellStyle name="Percent 16 5 14" xfId="6249" xr:uid="{00000000-0005-0000-0000-000096180000}"/>
    <cellStyle name="Percent 16 5 14 2" xfId="6250" xr:uid="{00000000-0005-0000-0000-000097180000}"/>
    <cellStyle name="Percent 16 5 14 3" xfId="6251" xr:uid="{00000000-0005-0000-0000-000098180000}"/>
    <cellStyle name="Percent 16 5 15" xfId="6252" xr:uid="{00000000-0005-0000-0000-000099180000}"/>
    <cellStyle name="Percent 16 5 15 2" xfId="6253" xr:uid="{00000000-0005-0000-0000-00009A180000}"/>
    <cellStyle name="Percent 16 5 15 3" xfId="6254" xr:uid="{00000000-0005-0000-0000-00009B180000}"/>
    <cellStyle name="Percent 16 5 16" xfId="6255" xr:uid="{00000000-0005-0000-0000-00009C180000}"/>
    <cellStyle name="Percent 16 5 16 2" xfId="6256" xr:uid="{00000000-0005-0000-0000-00009D180000}"/>
    <cellStyle name="Percent 16 5 16 3" xfId="6257" xr:uid="{00000000-0005-0000-0000-00009E180000}"/>
    <cellStyle name="Percent 16 5 17" xfId="6258" xr:uid="{00000000-0005-0000-0000-00009F180000}"/>
    <cellStyle name="Percent 16 5 17 2" xfId="6259" xr:uid="{00000000-0005-0000-0000-0000A0180000}"/>
    <cellStyle name="Percent 16 5 17 3" xfId="6260" xr:uid="{00000000-0005-0000-0000-0000A1180000}"/>
    <cellStyle name="Percent 16 5 18" xfId="6261" xr:uid="{00000000-0005-0000-0000-0000A2180000}"/>
    <cellStyle name="Percent 16 5 18 2" xfId="6262" xr:uid="{00000000-0005-0000-0000-0000A3180000}"/>
    <cellStyle name="Percent 16 5 19" xfId="6263" xr:uid="{00000000-0005-0000-0000-0000A4180000}"/>
    <cellStyle name="Percent 16 5 19 2" xfId="6264" xr:uid="{00000000-0005-0000-0000-0000A5180000}"/>
    <cellStyle name="Percent 16 5 2" xfId="6265" xr:uid="{00000000-0005-0000-0000-0000A6180000}"/>
    <cellStyle name="Percent 16 5 2 2" xfId="6266" xr:uid="{00000000-0005-0000-0000-0000A7180000}"/>
    <cellStyle name="Percent 16 5 2 3" xfId="6267" xr:uid="{00000000-0005-0000-0000-0000A8180000}"/>
    <cellStyle name="Percent 16 5 20" xfId="6268" xr:uid="{00000000-0005-0000-0000-0000A9180000}"/>
    <cellStyle name="Percent 16 5 21" xfId="6269" xr:uid="{00000000-0005-0000-0000-0000AA180000}"/>
    <cellStyle name="Percent 16 5 3" xfId="6270" xr:uid="{00000000-0005-0000-0000-0000AB180000}"/>
    <cellStyle name="Percent 16 5 3 2" xfId="6271" xr:uid="{00000000-0005-0000-0000-0000AC180000}"/>
    <cellStyle name="Percent 16 5 3 3" xfId="6272" xr:uid="{00000000-0005-0000-0000-0000AD180000}"/>
    <cellStyle name="Percent 16 5 4" xfId="6273" xr:uid="{00000000-0005-0000-0000-0000AE180000}"/>
    <cellStyle name="Percent 16 5 4 2" xfId="6274" xr:uid="{00000000-0005-0000-0000-0000AF180000}"/>
    <cellStyle name="Percent 16 5 4 3" xfId="6275" xr:uid="{00000000-0005-0000-0000-0000B0180000}"/>
    <cellStyle name="Percent 16 5 5" xfId="6276" xr:uid="{00000000-0005-0000-0000-0000B1180000}"/>
    <cellStyle name="Percent 16 5 5 2" xfId="6277" xr:uid="{00000000-0005-0000-0000-0000B2180000}"/>
    <cellStyle name="Percent 16 5 5 3" xfId="6278" xr:uid="{00000000-0005-0000-0000-0000B3180000}"/>
    <cellStyle name="Percent 16 5 6" xfId="6279" xr:uid="{00000000-0005-0000-0000-0000B4180000}"/>
    <cellStyle name="Percent 16 5 6 2" xfId="6280" xr:uid="{00000000-0005-0000-0000-0000B5180000}"/>
    <cellStyle name="Percent 16 5 6 3" xfId="6281" xr:uid="{00000000-0005-0000-0000-0000B6180000}"/>
    <cellStyle name="Percent 16 5 7" xfId="6282" xr:uid="{00000000-0005-0000-0000-0000B7180000}"/>
    <cellStyle name="Percent 16 5 7 2" xfId="6283" xr:uid="{00000000-0005-0000-0000-0000B8180000}"/>
    <cellStyle name="Percent 16 5 7 3" xfId="6284" xr:uid="{00000000-0005-0000-0000-0000B9180000}"/>
    <cellStyle name="Percent 16 5 8" xfId="6285" xr:uid="{00000000-0005-0000-0000-0000BA180000}"/>
    <cellStyle name="Percent 16 5 8 2" xfId="6286" xr:uid="{00000000-0005-0000-0000-0000BB180000}"/>
    <cellStyle name="Percent 16 5 8 3" xfId="6287" xr:uid="{00000000-0005-0000-0000-0000BC180000}"/>
    <cellStyle name="Percent 16 5 9" xfId="6288" xr:uid="{00000000-0005-0000-0000-0000BD180000}"/>
    <cellStyle name="Percent 16 5 9 2" xfId="6289" xr:uid="{00000000-0005-0000-0000-0000BE180000}"/>
    <cellStyle name="Percent 16 5 9 3" xfId="6290" xr:uid="{00000000-0005-0000-0000-0000BF180000}"/>
    <cellStyle name="Percent 16 6" xfId="6291" xr:uid="{00000000-0005-0000-0000-0000C0180000}"/>
    <cellStyle name="Percent 16 6 10" xfId="6292" xr:uid="{00000000-0005-0000-0000-0000C1180000}"/>
    <cellStyle name="Percent 16 6 10 2" xfId="6293" xr:uid="{00000000-0005-0000-0000-0000C2180000}"/>
    <cellStyle name="Percent 16 6 10 3" xfId="6294" xr:uid="{00000000-0005-0000-0000-0000C3180000}"/>
    <cellStyle name="Percent 16 6 11" xfId="6295" xr:uid="{00000000-0005-0000-0000-0000C4180000}"/>
    <cellStyle name="Percent 16 6 11 2" xfId="6296" xr:uid="{00000000-0005-0000-0000-0000C5180000}"/>
    <cellStyle name="Percent 16 6 11 3" xfId="6297" xr:uid="{00000000-0005-0000-0000-0000C6180000}"/>
    <cellStyle name="Percent 16 6 12" xfId="6298" xr:uid="{00000000-0005-0000-0000-0000C7180000}"/>
    <cellStyle name="Percent 16 6 12 2" xfId="6299" xr:uid="{00000000-0005-0000-0000-0000C8180000}"/>
    <cellStyle name="Percent 16 6 12 3" xfId="6300" xr:uid="{00000000-0005-0000-0000-0000C9180000}"/>
    <cellStyle name="Percent 16 6 13" xfId="6301" xr:uid="{00000000-0005-0000-0000-0000CA180000}"/>
    <cellStyle name="Percent 16 6 13 2" xfId="6302" xr:uid="{00000000-0005-0000-0000-0000CB180000}"/>
    <cellStyle name="Percent 16 6 13 3" xfId="6303" xr:uid="{00000000-0005-0000-0000-0000CC180000}"/>
    <cellStyle name="Percent 16 6 14" xfId="6304" xr:uid="{00000000-0005-0000-0000-0000CD180000}"/>
    <cellStyle name="Percent 16 6 14 2" xfId="6305" xr:uid="{00000000-0005-0000-0000-0000CE180000}"/>
    <cellStyle name="Percent 16 6 14 3" xfId="6306" xr:uid="{00000000-0005-0000-0000-0000CF180000}"/>
    <cellStyle name="Percent 16 6 15" xfId="6307" xr:uid="{00000000-0005-0000-0000-0000D0180000}"/>
    <cellStyle name="Percent 16 6 15 2" xfId="6308" xr:uid="{00000000-0005-0000-0000-0000D1180000}"/>
    <cellStyle name="Percent 16 6 15 3" xfId="6309" xr:uid="{00000000-0005-0000-0000-0000D2180000}"/>
    <cellStyle name="Percent 16 6 16" xfId="6310" xr:uid="{00000000-0005-0000-0000-0000D3180000}"/>
    <cellStyle name="Percent 16 6 16 2" xfId="6311" xr:uid="{00000000-0005-0000-0000-0000D4180000}"/>
    <cellStyle name="Percent 16 6 16 3" xfId="6312" xr:uid="{00000000-0005-0000-0000-0000D5180000}"/>
    <cellStyle name="Percent 16 6 17" xfId="6313" xr:uid="{00000000-0005-0000-0000-0000D6180000}"/>
    <cellStyle name="Percent 16 6 17 2" xfId="6314" xr:uid="{00000000-0005-0000-0000-0000D7180000}"/>
    <cellStyle name="Percent 16 6 17 3" xfId="6315" xr:uid="{00000000-0005-0000-0000-0000D8180000}"/>
    <cellStyle name="Percent 16 6 18" xfId="6316" xr:uid="{00000000-0005-0000-0000-0000D9180000}"/>
    <cellStyle name="Percent 16 6 18 2" xfId="6317" xr:uid="{00000000-0005-0000-0000-0000DA180000}"/>
    <cellStyle name="Percent 16 6 19" xfId="6318" xr:uid="{00000000-0005-0000-0000-0000DB180000}"/>
    <cellStyle name="Percent 16 6 19 2" xfId="6319" xr:uid="{00000000-0005-0000-0000-0000DC180000}"/>
    <cellStyle name="Percent 16 6 2" xfId="6320" xr:uid="{00000000-0005-0000-0000-0000DD180000}"/>
    <cellStyle name="Percent 16 6 2 2" xfId="6321" xr:uid="{00000000-0005-0000-0000-0000DE180000}"/>
    <cellStyle name="Percent 16 6 2 3" xfId="6322" xr:uid="{00000000-0005-0000-0000-0000DF180000}"/>
    <cellStyle name="Percent 16 6 20" xfId="6323" xr:uid="{00000000-0005-0000-0000-0000E0180000}"/>
    <cellStyle name="Percent 16 6 21" xfId="6324" xr:uid="{00000000-0005-0000-0000-0000E1180000}"/>
    <cellStyle name="Percent 16 6 3" xfId="6325" xr:uid="{00000000-0005-0000-0000-0000E2180000}"/>
    <cellStyle name="Percent 16 6 3 2" xfId="6326" xr:uid="{00000000-0005-0000-0000-0000E3180000}"/>
    <cellStyle name="Percent 16 6 3 3" xfId="6327" xr:uid="{00000000-0005-0000-0000-0000E4180000}"/>
    <cellStyle name="Percent 16 6 4" xfId="6328" xr:uid="{00000000-0005-0000-0000-0000E5180000}"/>
    <cellStyle name="Percent 16 6 4 2" xfId="6329" xr:uid="{00000000-0005-0000-0000-0000E6180000}"/>
    <cellStyle name="Percent 16 6 4 3" xfId="6330" xr:uid="{00000000-0005-0000-0000-0000E7180000}"/>
    <cellStyle name="Percent 16 6 5" xfId="6331" xr:uid="{00000000-0005-0000-0000-0000E8180000}"/>
    <cellStyle name="Percent 16 6 5 2" xfId="6332" xr:uid="{00000000-0005-0000-0000-0000E9180000}"/>
    <cellStyle name="Percent 16 6 5 3" xfId="6333" xr:uid="{00000000-0005-0000-0000-0000EA180000}"/>
    <cellStyle name="Percent 16 6 6" xfId="6334" xr:uid="{00000000-0005-0000-0000-0000EB180000}"/>
    <cellStyle name="Percent 16 6 6 2" xfId="6335" xr:uid="{00000000-0005-0000-0000-0000EC180000}"/>
    <cellStyle name="Percent 16 6 6 3" xfId="6336" xr:uid="{00000000-0005-0000-0000-0000ED180000}"/>
    <cellStyle name="Percent 16 6 7" xfId="6337" xr:uid="{00000000-0005-0000-0000-0000EE180000}"/>
    <cellStyle name="Percent 16 6 7 2" xfId="6338" xr:uid="{00000000-0005-0000-0000-0000EF180000}"/>
    <cellStyle name="Percent 16 6 7 3" xfId="6339" xr:uid="{00000000-0005-0000-0000-0000F0180000}"/>
    <cellStyle name="Percent 16 6 8" xfId="6340" xr:uid="{00000000-0005-0000-0000-0000F1180000}"/>
    <cellStyle name="Percent 16 6 8 2" xfId="6341" xr:uid="{00000000-0005-0000-0000-0000F2180000}"/>
    <cellStyle name="Percent 16 6 8 3" xfId="6342" xr:uid="{00000000-0005-0000-0000-0000F3180000}"/>
    <cellStyle name="Percent 16 6 9" xfId="6343" xr:uid="{00000000-0005-0000-0000-0000F4180000}"/>
    <cellStyle name="Percent 16 6 9 2" xfId="6344" xr:uid="{00000000-0005-0000-0000-0000F5180000}"/>
    <cellStyle name="Percent 16 6 9 3" xfId="6345" xr:uid="{00000000-0005-0000-0000-0000F6180000}"/>
    <cellStyle name="Percent 16 7" xfId="6346" xr:uid="{00000000-0005-0000-0000-0000F7180000}"/>
    <cellStyle name="Percent 16 7 10" xfId="6347" xr:uid="{00000000-0005-0000-0000-0000F8180000}"/>
    <cellStyle name="Percent 16 7 10 2" xfId="6348" xr:uid="{00000000-0005-0000-0000-0000F9180000}"/>
    <cellStyle name="Percent 16 7 10 3" xfId="6349" xr:uid="{00000000-0005-0000-0000-0000FA180000}"/>
    <cellStyle name="Percent 16 7 11" xfId="6350" xr:uid="{00000000-0005-0000-0000-0000FB180000}"/>
    <cellStyle name="Percent 16 7 11 2" xfId="6351" xr:uid="{00000000-0005-0000-0000-0000FC180000}"/>
    <cellStyle name="Percent 16 7 11 3" xfId="6352" xr:uid="{00000000-0005-0000-0000-0000FD180000}"/>
    <cellStyle name="Percent 16 7 12" xfId="6353" xr:uid="{00000000-0005-0000-0000-0000FE180000}"/>
    <cellStyle name="Percent 16 7 12 2" xfId="6354" xr:uid="{00000000-0005-0000-0000-0000FF180000}"/>
    <cellStyle name="Percent 16 7 12 3" xfId="6355" xr:uid="{00000000-0005-0000-0000-000000190000}"/>
    <cellStyle name="Percent 16 7 13" xfId="6356" xr:uid="{00000000-0005-0000-0000-000001190000}"/>
    <cellStyle name="Percent 16 7 13 2" xfId="6357" xr:uid="{00000000-0005-0000-0000-000002190000}"/>
    <cellStyle name="Percent 16 7 13 3" xfId="6358" xr:uid="{00000000-0005-0000-0000-000003190000}"/>
    <cellStyle name="Percent 16 7 14" xfId="6359" xr:uid="{00000000-0005-0000-0000-000004190000}"/>
    <cellStyle name="Percent 16 7 14 2" xfId="6360" xr:uid="{00000000-0005-0000-0000-000005190000}"/>
    <cellStyle name="Percent 16 7 14 3" xfId="6361" xr:uid="{00000000-0005-0000-0000-000006190000}"/>
    <cellStyle name="Percent 16 7 15" xfId="6362" xr:uid="{00000000-0005-0000-0000-000007190000}"/>
    <cellStyle name="Percent 16 7 15 2" xfId="6363" xr:uid="{00000000-0005-0000-0000-000008190000}"/>
    <cellStyle name="Percent 16 7 15 3" xfId="6364" xr:uid="{00000000-0005-0000-0000-000009190000}"/>
    <cellStyle name="Percent 16 7 16" xfId="6365" xr:uid="{00000000-0005-0000-0000-00000A190000}"/>
    <cellStyle name="Percent 16 7 16 2" xfId="6366" xr:uid="{00000000-0005-0000-0000-00000B190000}"/>
    <cellStyle name="Percent 16 7 16 3" xfId="6367" xr:uid="{00000000-0005-0000-0000-00000C190000}"/>
    <cellStyle name="Percent 16 7 17" xfId="6368" xr:uid="{00000000-0005-0000-0000-00000D190000}"/>
    <cellStyle name="Percent 16 7 17 2" xfId="6369" xr:uid="{00000000-0005-0000-0000-00000E190000}"/>
    <cellStyle name="Percent 16 7 17 3" xfId="6370" xr:uid="{00000000-0005-0000-0000-00000F190000}"/>
    <cellStyle name="Percent 16 7 18" xfId="6371" xr:uid="{00000000-0005-0000-0000-000010190000}"/>
    <cellStyle name="Percent 16 7 18 2" xfId="6372" xr:uid="{00000000-0005-0000-0000-000011190000}"/>
    <cellStyle name="Percent 16 7 19" xfId="6373" xr:uid="{00000000-0005-0000-0000-000012190000}"/>
    <cellStyle name="Percent 16 7 19 2" xfId="6374" xr:uid="{00000000-0005-0000-0000-000013190000}"/>
    <cellStyle name="Percent 16 7 2" xfId="6375" xr:uid="{00000000-0005-0000-0000-000014190000}"/>
    <cellStyle name="Percent 16 7 2 2" xfId="6376" xr:uid="{00000000-0005-0000-0000-000015190000}"/>
    <cellStyle name="Percent 16 7 2 2 2" xfId="6377" xr:uid="{00000000-0005-0000-0000-000016190000}"/>
    <cellStyle name="Percent 16 7 2 3" xfId="6378" xr:uid="{00000000-0005-0000-0000-000017190000}"/>
    <cellStyle name="Percent 16 7 2 3 2" xfId="6379" xr:uid="{00000000-0005-0000-0000-000018190000}"/>
    <cellStyle name="Percent 16 7 2 4" xfId="6380" xr:uid="{00000000-0005-0000-0000-000019190000}"/>
    <cellStyle name="Percent 16 7 2 5" xfId="6381" xr:uid="{00000000-0005-0000-0000-00001A190000}"/>
    <cellStyle name="Percent 16 7 20" xfId="6382" xr:uid="{00000000-0005-0000-0000-00001B190000}"/>
    <cellStyle name="Percent 16 7 21" xfId="6383" xr:uid="{00000000-0005-0000-0000-00001C190000}"/>
    <cellStyle name="Percent 16 7 3" xfId="6384" xr:uid="{00000000-0005-0000-0000-00001D190000}"/>
    <cellStyle name="Percent 16 7 3 2" xfId="6385" xr:uid="{00000000-0005-0000-0000-00001E190000}"/>
    <cellStyle name="Percent 16 7 3 2 2" xfId="6386" xr:uid="{00000000-0005-0000-0000-00001F190000}"/>
    <cellStyle name="Percent 16 7 3 3" xfId="6387" xr:uid="{00000000-0005-0000-0000-000020190000}"/>
    <cellStyle name="Percent 16 7 3 3 2" xfId="6388" xr:uid="{00000000-0005-0000-0000-000021190000}"/>
    <cellStyle name="Percent 16 7 3 4" xfId="6389" xr:uid="{00000000-0005-0000-0000-000022190000}"/>
    <cellStyle name="Percent 16 7 3 5" xfId="6390" xr:uid="{00000000-0005-0000-0000-000023190000}"/>
    <cellStyle name="Percent 16 7 4" xfId="6391" xr:uid="{00000000-0005-0000-0000-000024190000}"/>
    <cellStyle name="Percent 16 7 4 2" xfId="6392" xr:uid="{00000000-0005-0000-0000-000025190000}"/>
    <cellStyle name="Percent 16 7 4 3" xfId="6393" xr:uid="{00000000-0005-0000-0000-000026190000}"/>
    <cellStyle name="Percent 16 7 5" xfId="6394" xr:uid="{00000000-0005-0000-0000-000027190000}"/>
    <cellStyle name="Percent 16 7 5 2" xfId="6395" xr:uid="{00000000-0005-0000-0000-000028190000}"/>
    <cellStyle name="Percent 16 7 5 3" xfId="6396" xr:uid="{00000000-0005-0000-0000-000029190000}"/>
    <cellStyle name="Percent 16 7 6" xfId="6397" xr:uid="{00000000-0005-0000-0000-00002A190000}"/>
    <cellStyle name="Percent 16 7 6 2" xfId="6398" xr:uid="{00000000-0005-0000-0000-00002B190000}"/>
    <cellStyle name="Percent 16 7 6 3" xfId="6399" xr:uid="{00000000-0005-0000-0000-00002C190000}"/>
    <cellStyle name="Percent 16 7 7" xfId="6400" xr:uid="{00000000-0005-0000-0000-00002D190000}"/>
    <cellStyle name="Percent 16 7 7 2" xfId="6401" xr:uid="{00000000-0005-0000-0000-00002E190000}"/>
    <cellStyle name="Percent 16 7 7 3" xfId="6402" xr:uid="{00000000-0005-0000-0000-00002F190000}"/>
    <cellStyle name="Percent 16 7 8" xfId="6403" xr:uid="{00000000-0005-0000-0000-000030190000}"/>
    <cellStyle name="Percent 16 7 8 2" xfId="6404" xr:uid="{00000000-0005-0000-0000-000031190000}"/>
    <cellStyle name="Percent 16 7 8 3" xfId="6405" xr:uid="{00000000-0005-0000-0000-000032190000}"/>
    <cellStyle name="Percent 16 7 9" xfId="6406" xr:uid="{00000000-0005-0000-0000-000033190000}"/>
    <cellStyle name="Percent 16 7 9 2" xfId="6407" xr:uid="{00000000-0005-0000-0000-000034190000}"/>
    <cellStyle name="Percent 16 7 9 3" xfId="6408" xr:uid="{00000000-0005-0000-0000-000035190000}"/>
    <cellStyle name="Percent 16 8" xfId="6409" xr:uid="{00000000-0005-0000-0000-000036190000}"/>
    <cellStyle name="Percent 16 8 10" xfId="6410" xr:uid="{00000000-0005-0000-0000-000037190000}"/>
    <cellStyle name="Percent 16 8 10 2" xfId="6411" xr:uid="{00000000-0005-0000-0000-000038190000}"/>
    <cellStyle name="Percent 16 8 10 3" xfId="6412" xr:uid="{00000000-0005-0000-0000-000039190000}"/>
    <cellStyle name="Percent 16 8 11" xfId="6413" xr:uid="{00000000-0005-0000-0000-00003A190000}"/>
    <cellStyle name="Percent 16 8 11 2" xfId="6414" xr:uid="{00000000-0005-0000-0000-00003B190000}"/>
    <cellStyle name="Percent 16 8 11 3" xfId="6415" xr:uid="{00000000-0005-0000-0000-00003C190000}"/>
    <cellStyle name="Percent 16 8 12" xfId="6416" xr:uid="{00000000-0005-0000-0000-00003D190000}"/>
    <cellStyle name="Percent 16 8 12 2" xfId="6417" xr:uid="{00000000-0005-0000-0000-00003E190000}"/>
    <cellStyle name="Percent 16 8 12 3" xfId="6418" xr:uid="{00000000-0005-0000-0000-00003F190000}"/>
    <cellStyle name="Percent 16 8 13" xfId="6419" xr:uid="{00000000-0005-0000-0000-000040190000}"/>
    <cellStyle name="Percent 16 8 13 2" xfId="6420" xr:uid="{00000000-0005-0000-0000-000041190000}"/>
    <cellStyle name="Percent 16 8 13 3" xfId="6421" xr:uid="{00000000-0005-0000-0000-000042190000}"/>
    <cellStyle name="Percent 16 8 14" xfId="6422" xr:uid="{00000000-0005-0000-0000-000043190000}"/>
    <cellStyle name="Percent 16 8 14 2" xfId="6423" xr:uid="{00000000-0005-0000-0000-000044190000}"/>
    <cellStyle name="Percent 16 8 14 3" xfId="6424" xr:uid="{00000000-0005-0000-0000-000045190000}"/>
    <cellStyle name="Percent 16 8 15" xfId="6425" xr:uid="{00000000-0005-0000-0000-000046190000}"/>
    <cellStyle name="Percent 16 8 15 2" xfId="6426" xr:uid="{00000000-0005-0000-0000-000047190000}"/>
    <cellStyle name="Percent 16 8 15 3" xfId="6427" xr:uid="{00000000-0005-0000-0000-000048190000}"/>
    <cellStyle name="Percent 16 8 16" xfId="6428" xr:uid="{00000000-0005-0000-0000-000049190000}"/>
    <cellStyle name="Percent 16 8 16 2" xfId="6429" xr:uid="{00000000-0005-0000-0000-00004A190000}"/>
    <cellStyle name="Percent 16 8 16 3" xfId="6430" xr:uid="{00000000-0005-0000-0000-00004B190000}"/>
    <cellStyle name="Percent 16 8 17" xfId="6431" xr:uid="{00000000-0005-0000-0000-00004C190000}"/>
    <cellStyle name="Percent 16 8 17 2" xfId="6432" xr:uid="{00000000-0005-0000-0000-00004D190000}"/>
    <cellStyle name="Percent 16 8 17 3" xfId="6433" xr:uid="{00000000-0005-0000-0000-00004E190000}"/>
    <cellStyle name="Percent 16 8 18" xfId="6434" xr:uid="{00000000-0005-0000-0000-00004F190000}"/>
    <cellStyle name="Percent 16 8 19" xfId="6435" xr:uid="{00000000-0005-0000-0000-000050190000}"/>
    <cellStyle name="Percent 16 8 2" xfId="6436" xr:uid="{00000000-0005-0000-0000-000051190000}"/>
    <cellStyle name="Percent 16 8 2 2" xfId="6437" xr:uid="{00000000-0005-0000-0000-000052190000}"/>
    <cellStyle name="Percent 16 8 2 3" xfId="6438" xr:uid="{00000000-0005-0000-0000-000053190000}"/>
    <cellStyle name="Percent 16 8 3" xfId="6439" xr:uid="{00000000-0005-0000-0000-000054190000}"/>
    <cellStyle name="Percent 16 8 3 2" xfId="6440" xr:uid="{00000000-0005-0000-0000-000055190000}"/>
    <cellStyle name="Percent 16 8 3 3" xfId="6441" xr:uid="{00000000-0005-0000-0000-000056190000}"/>
    <cellStyle name="Percent 16 8 4" xfId="6442" xr:uid="{00000000-0005-0000-0000-000057190000}"/>
    <cellStyle name="Percent 16 8 4 2" xfId="6443" xr:uid="{00000000-0005-0000-0000-000058190000}"/>
    <cellStyle name="Percent 16 8 4 3" xfId="6444" xr:uid="{00000000-0005-0000-0000-000059190000}"/>
    <cellStyle name="Percent 16 8 5" xfId="6445" xr:uid="{00000000-0005-0000-0000-00005A190000}"/>
    <cellStyle name="Percent 16 8 5 2" xfId="6446" xr:uid="{00000000-0005-0000-0000-00005B190000}"/>
    <cellStyle name="Percent 16 8 5 3" xfId="6447" xr:uid="{00000000-0005-0000-0000-00005C190000}"/>
    <cellStyle name="Percent 16 8 6" xfId="6448" xr:uid="{00000000-0005-0000-0000-00005D190000}"/>
    <cellStyle name="Percent 16 8 6 2" xfId="6449" xr:uid="{00000000-0005-0000-0000-00005E190000}"/>
    <cellStyle name="Percent 16 8 6 3" xfId="6450" xr:uid="{00000000-0005-0000-0000-00005F190000}"/>
    <cellStyle name="Percent 16 8 7" xfId="6451" xr:uid="{00000000-0005-0000-0000-000060190000}"/>
    <cellStyle name="Percent 16 8 7 2" xfId="6452" xr:uid="{00000000-0005-0000-0000-000061190000}"/>
    <cellStyle name="Percent 16 8 7 3" xfId="6453" xr:uid="{00000000-0005-0000-0000-000062190000}"/>
    <cellStyle name="Percent 16 8 8" xfId="6454" xr:uid="{00000000-0005-0000-0000-000063190000}"/>
    <cellStyle name="Percent 16 8 8 2" xfId="6455" xr:uid="{00000000-0005-0000-0000-000064190000}"/>
    <cellStyle name="Percent 16 8 8 3" xfId="6456" xr:uid="{00000000-0005-0000-0000-000065190000}"/>
    <cellStyle name="Percent 16 8 9" xfId="6457" xr:uid="{00000000-0005-0000-0000-000066190000}"/>
    <cellStyle name="Percent 16 8 9 2" xfId="6458" xr:uid="{00000000-0005-0000-0000-000067190000}"/>
    <cellStyle name="Percent 16 8 9 3" xfId="6459" xr:uid="{00000000-0005-0000-0000-000068190000}"/>
    <cellStyle name="Percent 16 9" xfId="6460" xr:uid="{00000000-0005-0000-0000-000069190000}"/>
    <cellStyle name="Percent 16 9 10" xfId="6461" xr:uid="{00000000-0005-0000-0000-00006A190000}"/>
    <cellStyle name="Percent 16 9 10 2" xfId="6462" xr:uid="{00000000-0005-0000-0000-00006B190000}"/>
    <cellStyle name="Percent 16 9 10 3" xfId="6463" xr:uid="{00000000-0005-0000-0000-00006C190000}"/>
    <cellStyle name="Percent 16 9 11" xfId="6464" xr:uid="{00000000-0005-0000-0000-00006D190000}"/>
    <cellStyle name="Percent 16 9 11 2" xfId="6465" xr:uid="{00000000-0005-0000-0000-00006E190000}"/>
    <cellStyle name="Percent 16 9 11 3" xfId="6466" xr:uid="{00000000-0005-0000-0000-00006F190000}"/>
    <cellStyle name="Percent 16 9 12" xfId="6467" xr:uid="{00000000-0005-0000-0000-000070190000}"/>
    <cellStyle name="Percent 16 9 12 2" xfId="6468" xr:uid="{00000000-0005-0000-0000-000071190000}"/>
    <cellStyle name="Percent 16 9 12 3" xfId="6469" xr:uid="{00000000-0005-0000-0000-000072190000}"/>
    <cellStyle name="Percent 16 9 13" xfId="6470" xr:uid="{00000000-0005-0000-0000-000073190000}"/>
    <cellStyle name="Percent 16 9 13 2" xfId="6471" xr:uid="{00000000-0005-0000-0000-000074190000}"/>
    <cellStyle name="Percent 16 9 13 3" xfId="6472" xr:uid="{00000000-0005-0000-0000-000075190000}"/>
    <cellStyle name="Percent 16 9 14" xfId="6473" xr:uid="{00000000-0005-0000-0000-000076190000}"/>
    <cellStyle name="Percent 16 9 14 2" xfId="6474" xr:uid="{00000000-0005-0000-0000-000077190000}"/>
    <cellStyle name="Percent 16 9 14 3" xfId="6475" xr:uid="{00000000-0005-0000-0000-000078190000}"/>
    <cellStyle name="Percent 16 9 15" xfId="6476" xr:uid="{00000000-0005-0000-0000-000079190000}"/>
    <cellStyle name="Percent 16 9 15 2" xfId="6477" xr:uid="{00000000-0005-0000-0000-00007A190000}"/>
    <cellStyle name="Percent 16 9 15 3" xfId="6478" xr:uid="{00000000-0005-0000-0000-00007B190000}"/>
    <cellStyle name="Percent 16 9 16" xfId="6479" xr:uid="{00000000-0005-0000-0000-00007C190000}"/>
    <cellStyle name="Percent 16 9 16 2" xfId="6480" xr:uid="{00000000-0005-0000-0000-00007D190000}"/>
    <cellStyle name="Percent 16 9 16 3" xfId="6481" xr:uid="{00000000-0005-0000-0000-00007E190000}"/>
    <cellStyle name="Percent 16 9 17" xfId="6482" xr:uid="{00000000-0005-0000-0000-00007F190000}"/>
    <cellStyle name="Percent 16 9 17 2" xfId="6483" xr:uid="{00000000-0005-0000-0000-000080190000}"/>
    <cellStyle name="Percent 16 9 17 3" xfId="6484" xr:uid="{00000000-0005-0000-0000-000081190000}"/>
    <cellStyle name="Percent 16 9 18" xfId="6485" xr:uid="{00000000-0005-0000-0000-000082190000}"/>
    <cellStyle name="Percent 16 9 19" xfId="6486" xr:uid="{00000000-0005-0000-0000-000083190000}"/>
    <cellStyle name="Percent 16 9 2" xfId="6487" xr:uid="{00000000-0005-0000-0000-000084190000}"/>
    <cellStyle name="Percent 16 9 2 2" xfId="6488" xr:uid="{00000000-0005-0000-0000-000085190000}"/>
    <cellStyle name="Percent 16 9 2 3" xfId="6489" xr:uid="{00000000-0005-0000-0000-000086190000}"/>
    <cellStyle name="Percent 16 9 3" xfId="6490" xr:uid="{00000000-0005-0000-0000-000087190000}"/>
    <cellStyle name="Percent 16 9 3 2" xfId="6491" xr:uid="{00000000-0005-0000-0000-000088190000}"/>
    <cellStyle name="Percent 16 9 3 3" xfId="6492" xr:uid="{00000000-0005-0000-0000-000089190000}"/>
    <cellStyle name="Percent 16 9 4" xfId="6493" xr:uid="{00000000-0005-0000-0000-00008A190000}"/>
    <cellStyle name="Percent 16 9 4 2" xfId="6494" xr:uid="{00000000-0005-0000-0000-00008B190000}"/>
    <cellStyle name="Percent 16 9 4 3" xfId="6495" xr:uid="{00000000-0005-0000-0000-00008C190000}"/>
    <cellStyle name="Percent 16 9 5" xfId="6496" xr:uid="{00000000-0005-0000-0000-00008D190000}"/>
    <cellStyle name="Percent 16 9 5 2" xfId="6497" xr:uid="{00000000-0005-0000-0000-00008E190000}"/>
    <cellStyle name="Percent 16 9 5 3" xfId="6498" xr:uid="{00000000-0005-0000-0000-00008F190000}"/>
    <cellStyle name="Percent 16 9 6" xfId="6499" xr:uid="{00000000-0005-0000-0000-000090190000}"/>
    <cellStyle name="Percent 16 9 6 2" xfId="6500" xr:uid="{00000000-0005-0000-0000-000091190000}"/>
    <cellStyle name="Percent 16 9 6 3" xfId="6501" xr:uid="{00000000-0005-0000-0000-000092190000}"/>
    <cellStyle name="Percent 16 9 7" xfId="6502" xr:uid="{00000000-0005-0000-0000-000093190000}"/>
    <cellStyle name="Percent 16 9 7 2" xfId="6503" xr:uid="{00000000-0005-0000-0000-000094190000}"/>
    <cellStyle name="Percent 16 9 7 3" xfId="6504" xr:uid="{00000000-0005-0000-0000-000095190000}"/>
    <cellStyle name="Percent 16 9 8" xfId="6505" xr:uid="{00000000-0005-0000-0000-000096190000}"/>
    <cellStyle name="Percent 16 9 8 2" xfId="6506" xr:uid="{00000000-0005-0000-0000-000097190000}"/>
    <cellStyle name="Percent 16 9 8 3" xfId="6507" xr:uid="{00000000-0005-0000-0000-000098190000}"/>
    <cellStyle name="Percent 16 9 9" xfId="6508" xr:uid="{00000000-0005-0000-0000-000099190000}"/>
    <cellStyle name="Percent 16 9 9 2" xfId="6509" xr:uid="{00000000-0005-0000-0000-00009A190000}"/>
    <cellStyle name="Percent 16 9 9 3" xfId="6510" xr:uid="{00000000-0005-0000-0000-00009B190000}"/>
    <cellStyle name="Percent 17" xfId="6511" xr:uid="{00000000-0005-0000-0000-00009C190000}"/>
    <cellStyle name="Percent 17 10" xfId="6512" xr:uid="{00000000-0005-0000-0000-00009D190000}"/>
    <cellStyle name="Percent 17 11" xfId="6513" xr:uid="{00000000-0005-0000-0000-00009E190000}"/>
    <cellStyle name="Percent 17 2" xfId="6514" xr:uid="{00000000-0005-0000-0000-00009F190000}"/>
    <cellStyle name="Percent 17 2 2" xfId="6515" xr:uid="{00000000-0005-0000-0000-0000A0190000}"/>
    <cellStyle name="Percent 17 3" xfId="6516" xr:uid="{00000000-0005-0000-0000-0000A1190000}"/>
    <cellStyle name="Percent 17 3 2" xfId="6517" xr:uid="{00000000-0005-0000-0000-0000A2190000}"/>
    <cellStyle name="Percent 17 4" xfId="6518" xr:uid="{00000000-0005-0000-0000-0000A3190000}"/>
    <cellStyle name="Percent 17 4 2" xfId="6519" xr:uid="{00000000-0005-0000-0000-0000A4190000}"/>
    <cellStyle name="Percent 17 5" xfId="6520" xr:uid="{00000000-0005-0000-0000-0000A5190000}"/>
    <cellStyle name="Percent 17 5 2" xfId="6521" xr:uid="{00000000-0005-0000-0000-0000A6190000}"/>
    <cellStyle name="Percent 17 6" xfId="6522" xr:uid="{00000000-0005-0000-0000-0000A7190000}"/>
    <cellStyle name="Percent 17 6 2" xfId="6523" xr:uid="{00000000-0005-0000-0000-0000A8190000}"/>
    <cellStyle name="Percent 17 7" xfId="6524" xr:uid="{00000000-0005-0000-0000-0000A9190000}"/>
    <cellStyle name="Percent 17 7 2" xfId="6525" xr:uid="{00000000-0005-0000-0000-0000AA190000}"/>
    <cellStyle name="Percent 17 7 2 2" xfId="6526" xr:uid="{00000000-0005-0000-0000-0000AB190000}"/>
    <cellStyle name="Percent 17 7 3" xfId="6527" xr:uid="{00000000-0005-0000-0000-0000AC190000}"/>
    <cellStyle name="Percent 17 7 3 2" xfId="6528" xr:uid="{00000000-0005-0000-0000-0000AD190000}"/>
    <cellStyle name="Percent 17 7 4" xfId="6529" xr:uid="{00000000-0005-0000-0000-0000AE190000}"/>
    <cellStyle name="Percent 17 8" xfId="6530" xr:uid="{00000000-0005-0000-0000-0000AF190000}"/>
    <cellStyle name="Percent 17 8 2" xfId="6531" xr:uid="{00000000-0005-0000-0000-0000B0190000}"/>
    <cellStyle name="Percent 17 8 2 2" xfId="6532" xr:uid="{00000000-0005-0000-0000-0000B1190000}"/>
    <cellStyle name="Percent 17 8 3" xfId="6533" xr:uid="{00000000-0005-0000-0000-0000B2190000}"/>
    <cellStyle name="Percent 17 9" xfId="6534" xr:uid="{00000000-0005-0000-0000-0000B3190000}"/>
    <cellStyle name="Percent 17 9 2" xfId="6535" xr:uid="{00000000-0005-0000-0000-0000B4190000}"/>
    <cellStyle name="Percent 18" xfId="6536" xr:uid="{00000000-0005-0000-0000-0000B5190000}"/>
    <cellStyle name="Percent 18 2" xfId="6537" xr:uid="{00000000-0005-0000-0000-0000B6190000}"/>
    <cellStyle name="Percent 18 2 2" xfId="6538" xr:uid="{00000000-0005-0000-0000-0000B7190000}"/>
    <cellStyle name="Percent 18 3" xfId="6539" xr:uid="{00000000-0005-0000-0000-0000B8190000}"/>
    <cellStyle name="Percent 19" xfId="6540" xr:uid="{00000000-0005-0000-0000-0000B9190000}"/>
    <cellStyle name="Percent 19 2" xfId="6541" xr:uid="{00000000-0005-0000-0000-0000BA190000}"/>
    <cellStyle name="Percent 19 2 2" xfId="6542" xr:uid="{00000000-0005-0000-0000-0000BB190000}"/>
    <cellStyle name="Percent 19 3" xfId="6543" xr:uid="{00000000-0005-0000-0000-0000BC190000}"/>
    <cellStyle name="Percent 2" xfId="6544" xr:uid="{00000000-0005-0000-0000-0000BD190000}"/>
    <cellStyle name="Percent 2 10" xfId="6545" xr:uid="{00000000-0005-0000-0000-0000BE190000}"/>
    <cellStyle name="Percent 2 10 10" xfId="6546" xr:uid="{00000000-0005-0000-0000-0000BF190000}"/>
    <cellStyle name="Percent 2 10 2" xfId="6547" xr:uid="{00000000-0005-0000-0000-0000C0190000}"/>
    <cellStyle name="Percent 2 10 2 2" xfId="6548" xr:uid="{00000000-0005-0000-0000-0000C1190000}"/>
    <cellStyle name="Percent 2 10 2 3" xfId="6549" xr:uid="{00000000-0005-0000-0000-0000C2190000}"/>
    <cellStyle name="Percent 2 10 3" xfId="6550" xr:uid="{00000000-0005-0000-0000-0000C3190000}"/>
    <cellStyle name="Percent 2 10 3 2" xfId="6551" xr:uid="{00000000-0005-0000-0000-0000C4190000}"/>
    <cellStyle name="Percent 2 10 3 3" xfId="6552" xr:uid="{00000000-0005-0000-0000-0000C5190000}"/>
    <cellStyle name="Percent 2 10 4" xfId="6553" xr:uid="{00000000-0005-0000-0000-0000C6190000}"/>
    <cellStyle name="Percent 2 10 4 2" xfId="6554" xr:uid="{00000000-0005-0000-0000-0000C7190000}"/>
    <cellStyle name="Percent 2 10 4 3" xfId="6555" xr:uid="{00000000-0005-0000-0000-0000C8190000}"/>
    <cellStyle name="Percent 2 10 5" xfId="6556" xr:uid="{00000000-0005-0000-0000-0000C9190000}"/>
    <cellStyle name="Percent 2 10 5 2" xfId="6557" xr:uid="{00000000-0005-0000-0000-0000CA190000}"/>
    <cellStyle name="Percent 2 10 5 3" xfId="6558" xr:uid="{00000000-0005-0000-0000-0000CB190000}"/>
    <cellStyle name="Percent 2 10 6" xfId="6559" xr:uid="{00000000-0005-0000-0000-0000CC190000}"/>
    <cellStyle name="Percent 2 10 6 2" xfId="6560" xr:uid="{00000000-0005-0000-0000-0000CD190000}"/>
    <cellStyle name="Percent 2 10 6 3" xfId="6561" xr:uid="{00000000-0005-0000-0000-0000CE190000}"/>
    <cellStyle name="Percent 2 10 7" xfId="6562" xr:uid="{00000000-0005-0000-0000-0000CF190000}"/>
    <cellStyle name="Percent 2 10 7 2" xfId="6563" xr:uid="{00000000-0005-0000-0000-0000D0190000}"/>
    <cellStyle name="Percent 2 10 7 3" xfId="6564" xr:uid="{00000000-0005-0000-0000-0000D1190000}"/>
    <cellStyle name="Percent 2 10 8" xfId="6565" xr:uid="{00000000-0005-0000-0000-0000D2190000}"/>
    <cellStyle name="Percent 2 10 8 2" xfId="6566" xr:uid="{00000000-0005-0000-0000-0000D3190000}"/>
    <cellStyle name="Percent 2 10 8 3" xfId="6567" xr:uid="{00000000-0005-0000-0000-0000D4190000}"/>
    <cellStyle name="Percent 2 10 9" xfId="6568" xr:uid="{00000000-0005-0000-0000-0000D5190000}"/>
    <cellStyle name="Percent 2 11" xfId="6569" xr:uid="{00000000-0005-0000-0000-0000D6190000}"/>
    <cellStyle name="Percent 2 11 10" xfId="6570" xr:uid="{00000000-0005-0000-0000-0000D7190000}"/>
    <cellStyle name="Percent 2 11 2" xfId="6571" xr:uid="{00000000-0005-0000-0000-0000D8190000}"/>
    <cellStyle name="Percent 2 11 2 2" xfId="6572" xr:uid="{00000000-0005-0000-0000-0000D9190000}"/>
    <cellStyle name="Percent 2 11 2 3" xfId="6573" xr:uid="{00000000-0005-0000-0000-0000DA190000}"/>
    <cellStyle name="Percent 2 11 3" xfId="6574" xr:uid="{00000000-0005-0000-0000-0000DB190000}"/>
    <cellStyle name="Percent 2 11 3 2" xfId="6575" xr:uid="{00000000-0005-0000-0000-0000DC190000}"/>
    <cellStyle name="Percent 2 11 3 3" xfId="6576" xr:uid="{00000000-0005-0000-0000-0000DD190000}"/>
    <cellStyle name="Percent 2 11 4" xfId="6577" xr:uid="{00000000-0005-0000-0000-0000DE190000}"/>
    <cellStyle name="Percent 2 11 4 2" xfId="6578" xr:uid="{00000000-0005-0000-0000-0000DF190000}"/>
    <cellStyle name="Percent 2 11 4 3" xfId="6579" xr:uid="{00000000-0005-0000-0000-0000E0190000}"/>
    <cellStyle name="Percent 2 11 5" xfId="6580" xr:uid="{00000000-0005-0000-0000-0000E1190000}"/>
    <cellStyle name="Percent 2 11 5 2" xfId="6581" xr:uid="{00000000-0005-0000-0000-0000E2190000}"/>
    <cellStyle name="Percent 2 11 5 3" xfId="6582" xr:uid="{00000000-0005-0000-0000-0000E3190000}"/>
    <cellStyle name="Percent 2 11 6" xfId="6583" xr:uid="{00000000-0005-0000-0000-0000E4190000}"/>
    <cellStyle name="Percent 2 11 6 2" xfId="6584" xr:uid="{00000000-0005-0000-0000-0000E5190000}"/>
    <cellStyle name="Percent 2 11 6 3" xfId="6585" xr:uid="{00000000-0005-0000-0000-0000E6190000}"/>
    <cellStyle name="Percent 2 11 7" xfId="6586" xr:uid="{00000000-0005-0000-0000-0000E7190000}"/>
    <cellStyle name="Percent 2 11 7 2" xfId="6587" xr:uid="{00000000-0005-0000-0000-0000E8190000}"/>
    <cellStyle name="Percent 2 11 7 3" xfId="6588" xr:uid="{00000000-0005-0000-0000-0000E9190000}"/>
    <cellStyle name="Percent 2 11 8" xfId="6589" xr:uid="{00000000-0005-0000-0000-0000EA190000}"/>
    <cellStyle name="Percent 2 11 8 2" xfId="6590" xr:uid="{00000000-0005-0000-0000-0000EB190000}"/>
    <cellStyle name="Percent 2 11 8 3" xfId="6591" xr:uid="{00000000-0005-0000-0000-0000EC190000}"/>
    <cellStyle name="Percent 2 11 9" xfId="6592" xr:uid="{00000000-0005-0000-0000-0000ED190000}"/>
    <cellStyle name="Percent 2 12" xfId="6593" xr:uid="{00000000-0005-0000-0000-0000EE190000}"/>
    <cellStyle name="Percent 2 12 2" xfId="6594" xr:uid="{00000000-0005-0000-0000-0000EF190000}"/>
    <cellStyle name="Percent 2 12 3" xfId="6595" xr:uid="{00000000-0005-0000-0000-0000F0190000}"/>
    <cellStyle name="Percent 2 13" xfId="6596" xr:uid="{00000000-0005-0000-0000-0000F1190000}"/>
    <cellStyle name="Percent 2 13 2" xfId="6597" xr:uid="{00000000-0005-0000-0000-0000F2190000}"/>
    <cellStyle name="Percent 2 13 3" xfId="6598" xr:uid="{00000000-0005-0000-0000-0000F3190000}"/>
    <cellStyle name="Percent 2 14" xfId="6599" xr:uid="{00000000-0005-0000-0000-0000F4190000}"/>
    <cellStyle name="Percent 2 14 2" xfId="6600" xr:uid="{00000000-0005-0000-0000-0000F5190000}"/>
    <cellStyle name="Percent 2 14 3" xfId="6601" xr:uid="{00000000-0005-0000-0000-0000F6190000}"/>
    <cellStyle name="Percent 2 15" xfId="6602" xr:uid="{00000000-0005-0000-0000-0000F7190000}"/>
    <cellStyle name="Percent 2 15 2" xfId="6603" xr:uid="{00000000-0005-0000-0000-0000F8190000}"/>
    <cellStyle name="Percent 2 15 3" xfId="6604" xr:uid="{00000000-0005-0000-0000-0000F9190000}"/>
    <cellStyle name="Percent 2 16" xfId="6605" xr:uid="{00000000-0005-0000-0000-0000FA190000}"/>
    <cellStyle name="Percent 2 16 2" xfId="6606" xr:uid="{00000000-0005-0000-0000-0000FB190000}"/>
    <cellStyle name="Percent 2 16 3" xfId="6607" xr:uid="{00000000-0005-0000-0000-0000FC190000}"/>
    <cellStyle name="Percent 2 17" xfId="6608" xr:uid="{00000000-0005-0000-0000-0000FD190000}"/>
    <cellStyle name="Percent 2 17 2" xfId="6609" xr:uid="{00000000-0005-0000-0000-0000FE190000}"/>
    <cellStyle name="Percent 2 17 3" xfId="6610" xr:uid="{00000000-0005-0000-0000-0000FF190000}"/>
    <cellStyle name="Percent 2 18" xfId="6611" xr:uid="{00000000-0005-0000-0000-0000001A0000}"/>
    <cellStyle name="Percent 2 18 2" xfId="6612" xr:uid="{00000000-0005-0000-0000-0000011A0000}"/>
    <cellStyle name="Percent 2 18 3" xfId="6613" xr:uid="{00000000-0005-0000-0000-0000021A0000}"/>
    <cellStyle name="Percent 2 19" xfId="6614" xr:uid="{00000000-0005-0000-0000-0000031A0000}"/>
    <cellStyle name="Percent 2 19 2" xfId="6615" xr:uid="{00000000-0005-0000-0000-0000041A0000}"/>
    <cellStyle name="Percent 2 2" xfId="6616" xr:uid="{00000000-0005-0000-0000-0000051A0000}"/>
    <cellStyle name="Percent 2 2 10" xfId="6617" xr:uid="{00000000-0005-0000-0000-0000061A0000}"/>
    <cellStyle name="Percent 2 2 10 2" xfId="6618" xr:uid="{00000000-0005-0000-0000-0000071A0000}"/>
    <cellStyle name="Percent 2 2 2" xfId="6619" xr:uid="{00000000-0005-0000-0000-0000081A0000}"/>
    <cellStyle name="Percent 2 2 2 2" xfId="6620" xr:uid="{00000000-0005-0000-0000-0000091A0000}"/>
    <cellStyle name="Percent 2 2 2 2 2" xfId="6621" xr:uid="{00000000-0005-0000-0000-00000A1A0000}"/>
    <cellStyle name="Percent 2 2 3" xfId="6622" xr:uid="{00000000-0005-0000-0000-00000B1A0000}"/>
    <cellStyle name="Percent 2 2 3 2" xfId="6623" xr:uid="{00000000-0005-0000-0000-00000C1A0000}"/>
    <cellStyle name="Percent 2 2 3 2 2" xfId="6624" xr:uid="{00000000-0005-0000-0000-00000D1A0000}"/>
    <cellStyle name="Percent 2 2 3 2 2 2" xfId="6625" xr:uid="{00000000-0005-0000-0000-00000E1A0000}"/>
    <cellStyle name="Percent 2 2 3 3" xfId="6626" xr:uid="{00000000-0005-0000-0000-00000F1A0000}"/>
    <cellStyle name="Percent 2 2 3 3 2" xfId="6627" xr:uid="{00000000-0005-0000-0000-0000101A0000}"/>
    <cellStyle name="Percent 2 2 3 4" xfId="6628" xr:uid="{00000000-0005-0000-0000-0000111A0000}"/>
    <cellStyle name="Percent 2 2 3 4 2" xfId="6629" xr:uid="{00000000-0005-0000-0000-0000121A0000}"/>
    <cellStyle name="Percent 2 2 3 4 2 2" xfId="6630" xr:uid="{00000000-0005-0000-0000-0000131A0000}"/>
    <cellStyle name="Percent 2 2 3 4 3" xfId="6631" xr:uid="{00000000-0005-0000-0000-0000141A0000}"/>
    <cellStyle name="Percent 2 2 3 5" xfId="6632" xr:uid="{00000000-0005-0000-0000-0000151A0000}"/>
    <cellStyle name="Percent 2 2 3 5 2" xfId="6633" xr:uid="{00000000-0005-0000-0000-0000161A0000}"/>
    <cellStyle name="Percent 2 2 4" xfId="6634" xr:uid="{00000000-0005-0000-0000-0000171A0000}"/>
    <cellStyle name="Percent 2 2 4 2" xfId="6635" xr:uid="{00000000-0005-0000-0000-0000181A0000}"/>
    <cellStyle name="Percent 2 2 4 2 2" xfId="6636" xr:uid="{00000000-0005-0000-0000-0000191A0000}"/>
    <cellStyle name="Percent 2 2 4 3" xfId="6637" xr:uid="{00000000-0005-0000-0000-00001A1A0000}"/>
    <cellStyle name="Percent 2 2 4 3 2" xfId="6638" xr:uid="{00000000-0005-0000-0000-00001B1A0000}"/>
    <cellStyle name="Percent 2 2 4 4" xfId="6639" xr:uid="{00000000-0005-0000-0000-00001C1A0000}"/>
    <cellStyle name="Percent 2 2 4 5" xfId="6640" xr:uid="{00000000-0005-0000-0000-00001D1A0000}"/>
    <cellStyle name="Percent 2 2 5" xfId="6641" xr:uid="{00000000-0005-0000-0000-00001E1A0000}"/>
    <cellStyle name="Percent 2 2 5 2" xfId="6642" xr:uid="{00000000-0005-0000-0000-00001F1A0000}"/>
    <cellStyle name="Percent 2 2 5 3" xfId="6643" xr:uid="{00000000-0005-0000-0000-0000201A0000}"/>
    <cellStyle name="Percent 2 2 6" xfId="6644" xr:uid="{00000000-0005-0000-0000-0000211A0000}"/>
    <cellStyle name="Percent 2 2 6 2" xfId="6645" xr:uid="{00000000-0005-0000-0000-0000221A0000}"/>
    <cellStyle name="Percent 2 2 6 2 2" xfId="6646" xr:uid="{00000000-0005-0000-0000-0000231A0000}"/>
    <cellStyle name="Percent 2 2 6 3" xfId="6647" xr:uid="{00000000-0005-0000-0000-0000241A0000}"/>
    <cellStyle name="Percent 2 2 6 3 2" xfId="6648" xr:uid="{00000000-0005-0000-0000-0000251A0000}"/>
    <cellStyle name="Percent 2 2 6 4" xfId="6649" xr:uid="{00000000-0005-0000-0000-0000261A0000}"/>
    <cellStyle name="Percent 2 2 6 5" xfId="6650" xr:uid="{00000000-0005-0000-0000-0000271A0000}"/>
    <cellStyle name="Percent 2 2 7" xfId="6651" xr:uid="{00000000-0005-0000-0000-0000281A0000}"/>
    <cellStyle name="Percent 2 2 7 2" xfId="6652" xr:uid="{00000000-0005-0000-0000-0000291A0000}"/>
    <cellStyle name="Percent 2 2 7 2 2" xfId="6653" xr:uid="{00000000-0005-0000-0000-00002A1A0000}"/>
    <cellStyle name="Percent 2 2 7 3" xfId="6654" xr:uid="{00000000-0005-0000-0000-00002B1A0000}"/>
    <cellStyle name="Percent 2 2 7 3 2" xfId="6655" xr:uid="{00000000-0005-0000-0000-00002C1A0000}"/>
    <cellStyle name="Percent 2 2 7 4" xfId="6656" xr:uid="{00000000-0005-0000-0000-00002D1A0000}"/>
    <cellStyle name="Percent 2 2 7 5" xfId="6657" xr:uid="{00000000-0005-0000-0000-00002E1A0000}"/>
    <cellStyle name="Percent 2 2 8" xfId="6658" xr:uid="{00000000-0005-0000-0000-00002F1A0000}"/>
    <cellStyle name="Percent 2 2 8 2" xfId="6659" xr:uid="{00000000-0005-0000-0000-0000301A0000}"/>
    <cellStyle name="Percent 2 2 8 3" xfId="6660" xr:uid="{00000000-0005-0000-0000-0000311A0000}"/>
    <cellStyle name="Percent 2 2 9" xfId="6661" xr:uid="{00000000-0005-0000-0000-0000321A0000}"/>
    <cellStyle name="Percent 2 2 9 2" xfId="6662" xr:uid="{00000000-0005-0000-0000-0000331A0000}"/>
    <cellStyle name="Percent 2 20" xfId="6663" xr:uid="{00000000-0005-0000-0000-0000341A0000}"/>
    <cellStyle name="Percent 2 20 2" xfId="6664" xr:uid="{00000000-0005-0000-0000-0000351A0000}"/>
    <cellStyle name="Percent 2 21" xfId="6665" xr:uid="{00000000-0005-0000-0000-0000361A0000}"/>
    <cellStyle name="Percent 2 21 2" xfId="6666" xr:uid="{00000000-0005-0000-0000-0000371A0000}"/>
    <cellStyle name="Percent 2 22" xfId="6667" xr:uid="{00000000-0005-0000-0000-0000381A0000}"/>
    <cellStyle name="Percent 2 22 2" xfId="6668" xr:uid="{00000000-0005-0000-0000-0000391A0000}"/>
    <cellStyle name="Percent 2 23" xfId="6669" xr:uid="{00000000-0005-0000-0000-00003A1A0000}"/>
    <cellStyle name="Percent 2 23 2" xfId="6670" xr:uid="{00000000-0005-0000-0000-00003B1A0000}"/>
    <cellStyle name="Percent 2 24" xfId="6671" xr:uid="{00000000-0005-0000-0000-00003C1A0000}"/>
    <cellStyle name="Percent 2 24 2" xfId="6672" xr:uid="{00000000-0005-0000-0000-00003D1A0000}"/>
    <cellStyle name="Percent 2 25" xfId="6673" xr:uid="{00000000-0005-0000-0000-00003E1A0000}"/>
    <cellStyle name="Percent 2 25 2" xfId="6674" xr:uid="{00000000-0005-0000-0000-00003F1A0000}"/>
    <cellStyle name="Percent 2 26" xfId="6675" xr:uid="{00000000-0005-0000-0000-0000401A0000}"/>
    <cellStyle name="Percent 2 26 2" xfId="6676" xr:uid="{00000000-0005-0000-0000-0000411A0000}"/>
    <cellStyle name="Percent 2 27" xfId="6677" xr:uid="{00000000-0005-0000-0000-0000421A0000}"/>
    <cellStyle name="Percent 2 27 2" xfId="6678" xr:uid="{00000000-0005-0000-0000-0000431A0000}"/>
    <cellStyle name="Percent 2 28" xfId="6679" xr:uid="{00000000-0005-0000-0000-0000441A0000}"/>
    <cellStyle name="Percent 2 28 2" xfId="6680" xr:uid="{00000000-0005-0000-0000-0000451A0000}"/>
    <cellStyle name="Percent 2 29" xfId="6681" xr:uid="{00000000-0005-0000-0000-0000461A0000}"/>
    <cellStyle name="Percent 2 29 2" xfId="6682" xr:uid="{00000000-0005-0000-0000-0000471A0000}"/>
    <cellStyle name="Percent 2 3" xfId="6683" xr:uid="{00000000-0005-0000-0000-0000481A0000}"/>
    <cellStyle name="Percent 2 3 10" xfId="6684" xr:uid="{00000000-0005-0000-0000-0000491A0000}"/>
    <cellStyle name="Percent 2 3 10 2" xfId="6685" xr:uid="{00000000-0005-0000-0000-00004A1A0000}"/>
    <cellStyle name="Percent 2 3 11" xfId="6686" xr:uid="{00000000-0005-0000-0000-00004B1A0000}"/>
    <cellStyle name="Percent 2 3 11 2" xfId="6687" xr:uid="{00000000-0005-0000-0000-00004C1A0000}"/>
    <cellStyle name="Percent 2 3 12" xfId="6688" xr:uid="{00000000-0005-0000-0000-00004D1A0000}"/>
    <cellStyle name="Percent 2 3 12 2" xfId="6689" xr:uid="{00000000-0005-0000-0000-00004E1A0000}"/>
    <cellStyle name="Percent 2 3 13" xfId="6690" xr:uid="{00000000-0005-0000-0000-00004F1A0000}"/>
    <cellStyle name="Percent 2 3 13 2" xfId="6691" xr:uid="{00000000-0005-0000-0000-0000501A0000}"/>
    <cellStyle name="Percent 2 3 14" xfId="6692" xr:uid="{00000000-0005-0000-0000-0000511A0000}"/>
    <cellStyle name="Percent 2 3 14 2" xfId="6693" xr:uid="{00000000-0005-0000-0000-0000521A0000}"/>
    <cellStyle name="Percent 2 3 15" xfId="6694" xr:uid="{00000000-0005-0000-0000-0000531A0000}"/>
    <cellStyle name="Percent 2 3 15 2" xfId="6695" xr:uid="{00000000-0005-0000-0000-0000541A0000}"/>
    <cellStyle name="Percent 2 3 16" xfId="6696" xr:uid="{00000000-0005-0000-0000-0000551A0000}"/>
    <cellStyle name="Percent 2 3 16 2" xfId="6697" xr:uid="{00000000-0005-0000-0000-0000561A0000}"/>
    <cellStyle name="Percent 2 3 17" xfId="6698" xr:uid="{00000000-0005-0000-0000-0000571A0000}"/>
    <cellStyle name="Percent 2 3 17 2" xfId="6699" xr:uid="{00000000-0005-0000-0000-0000581A0000}"/>
    <cellStyle name="Percent 2 3 2" xfId="6700" xr:uid="{00000000-0005-0000-0000-0000591A0000}"/>
    <cellStyle name="Percent 2 3 2 2" xfId="6701" xr:uid="{00000000-0005-0000-0000-00005A1A0000}"/>
    <cellStyle name="Percent 2 3 2 2 2" xfId="6702" xr:uid="{00000000-0005-0000-0000-00005B1A0000}"/>
    <cellStyle name="Percent 2 3 3" xfId="6703" xr:uid="{00000000-0005-0000-0000-00005C1A0000}"/>
    <cellStyle name="Percent 2 3 3 2" xfId="6704" xr:uid="{00000000-0005-0000-0000-00005D1A0000}"/>
    <cellStyle name="Percent 2 3 3 2 2" xfId="6705" xr:uid="{00000000-0005-0000-0000-00005E1A0000}"/>
    <cellStyle name="Percent 2 3 3 2 2 2" xfId="6706" xr:uid="{00000000-0005-0000-0000-00005F1A0000}"/>
    <cellStyle name="Percent 2 3 3 3" xfId="6707" xr:uid="{00000000-0005-0000-0000-0000601A0000}"/>
    <cellStyle name="Percent 2 3 3 3 2" xfId="6708" xr:uid="{00000000-0005-0000-0000-0000611A0000}"/>
    <cellStyle name="Percent 2 3 3 3 2 2" xfId="6709" xr:uid="{00000000-0005-0000-0000-0000621A0000}"/>
    <cellStyle name="Percent 2 3 3 3 3" xfId="6710" xr:uid="{00000000-0005-0000-0000-0000631A0000}"/>
    <cellStyle name="Percent 2 3 3 3 3 2" xfId="6711" xr:uid="{00000000-0005-0000-0000-0000641A0000}"/>
    <cellStyle name="Percent 2 3 3 3 4" xfId="6712" xr:uid="{00000000-0005-0000-0000-0000651A0000}"/>
    <cellStyle name="Percent 2 3 3 3 4 2" xfId="6713" xr:uid="{00000000-0005-0000-0000-0000661A0000}"/>
    <cellStyle name="Percent 2 3 3 3 4 2 2" xfId="6714" xr:uid="{00000000-0005-0000-0000-0000671A0000}"/>
    <cellStyle name="Percent 2 3 3 3 4 3" xfId="6715" xr:uid="{00000000-0005-0000-0000-0000681A0000}"/>
    <cellStyle name="Percent 2 3 3 3 5" xfId="6716" xr:uid="{00000000-0005-0000-0000-0000691A0000}"/>
    <cellStyle name="Percent 2 3 3 4" xfId="6717" xr:uid="{00000000-0005-0000-0000-00006A1A0000}"/>
    <cellStyle name="Percent 2 3 3 4 2" xfId="6718" xr:uid="{00000000-0005-0000-0000-00006B1A0000}"/>
    <cellStyle name="Percent 2 3 4" xfId="6719" xr:uid="{00000000-0005-0000-0000-00006C1A0000}"/>
    <cellStyle name="Percent 2 3 4 2" xfId="6720" xr:uid="{00000000-0005-0000-0000-00006D1A0000}"/>
    <cellStyle name="Percent 2 3 4 3" xfId="6721" xr:uid="{00000000-0005-0000-0000-00006E1A0000}"/>
    <cellStyle name="Percent 2 3 5" xfId="6722" xr:uid="{00000000-0005-0000-0000-00006F1A0000}"/>
    <cellStyle name="Percent 2 3 5 2" xfId="6723" xr:uid="{00000000-0005-0000-0000-0000701A0000}"/>
    <cellStyle name="Percent 2 3 5 2 2" xfId="6724" xr:uid="{00000000-0005-0000-0000-0000711A0000}"/>
    <cellStyle name="Percent 2 3 5 3" xfId="6725" xr:uid="{00000000-0005-0000-0000-0000721A0000}"/>
    <cellStyle name="Percent 2 3 5 4" xfId="6726" xr:uid="{00000000-0005-0000-0000-0000731A0000}"/>
    <cellStyle name="Percent 2 3 6" xfId="6727" xr:uid="{00000000-0005-0000-0000-0000741A0000}"/>
    <cellStyle name="Percent 2 3 6 2" xfId="6728" xr:uid="{00000000-0005-0000-0000-0000751A0000}"/>
    <cellStyle name="Percent 2 3 6 3" xfId="6729" xr:uid="{00000000-0005-0000-0000-0000761A0000}"/>
    <cellStyle name="Percent 2 3 7" xfId="6730" xr:uid="{00000000-0005-0000-0000-0000771A0000}"/>
    <cellStyle name="Percent 2 3 7 2" xfId="6731" xr:uid="{00000000-0005-0000-0000-0000781A0000}"/>
    <cellStyle name="Percent 2 3 7 3" xfId="6732" xr:uid="{00000000-0005-0000-0000-0000791A0000}"/>
    <cellStyle name="Percent 2 3 8" xfId="6733" xr:uid="{00000000-0005-0000-0000-00007A1A0000}"/>
    <cellStyle name="Percent 2 3 8 2" xfId="6734" xr:uid="{00000000-0005-0000-0000-00007B1A0000}"/>
    <cellStyle name="Percent 2 3 8 3" xfId="6735" xr:uid="{00000000-0005-0000-0000-00007C1A0000}"/>
    <cellStyle name="Percent 2 3 9" xfId="6736" xr:uid="{00000000-0005-0000-0000-00007D1A0000}"/>
    <cellStyle name="Percent 2 3 9 2" xfId="6737" xr:uid="{00000000-0005-0000-0000-00007E1A0000}"/>
    <cellStyle name="Percent 2 30" xfId="6738" xr:uid="{00000000-0005-0000-0000-00007F1A0000}"/>
    <cellStyle name="Percent 2 30 2" xfId="6739" xr:uid="{00000000-0005-0000-0000-0000801A0000}"/>
    <cellStyle name="Percent 2 31" xfId="6740" xr:uid="{00000000-0005-0000-0000-0000811A0000}"/>
    <cellStyle name="Percent 2 31 2" xfId="6741" xr:uid="{00000000-0005-0000-0000-0000821A0000}"/>
    <cellStyle name="Percent 2 32" xfId="6742" xr:uid="{00000000-0005-0000-0000-0000831A0000}"/>
    <cellStyle name="Percent 2 32 2" xfId="6743" xr:uid="{00000000-0005-0000-0000-0000841A0000}"/>
    <cellStyle name="Percent 2 33" xfId="6744" xr:uid="{00000000-0005-0000-0000-0000851A0000}"/>
    <cellStyle name="Percent 2 33 2" xfId="6745" xr:uid="{00000000-0005-0000-0000-0000861A0000}"/>
    <cellStyle name="Percent 2 34" xfId="6746" xr:uid="{00000000-0005-0000-0000-0000871A0000}"/>
    <cellStyle name="Percent 2 34 2" xfId="6747" xr:uid="{00000000-0005-0000-0000-0000881A0000}"/>
    <cellStyle name="Percent 2 35" xfId="6748" xr:uid="{00000000-0005-0000-0000-0000891A0000}"/>
    <cellStyle name="Percent 2 35 2" xfId="6749" xr:uid="{00000000-0005-0000-0000-00008A1A0000}"/>
    <cellStyle name="Percent 2 36" xfId="6750" xr:uid="{00000000-0005-0000-0000-00008B1A0000}"/>
    <cellStyle name="Percent 2 36 2" xfId="6751" xr:uid="{00000000-0005-0000-0000-00008C1A0000}"/>
    <cellStyle name="Percent 2 37" xfId="6752" xr:uid="{00000000-0005-0000-0000-00008D1A0000}"/>
    <cellStyle name="Percent 2 37 2" xfId="6753" xr:uid="{00000000-0005-0000-0000-00008E1A0000}"/>
    <cellStyle name="Percent 2 38" xfId="6754" xr:uid="{00000000-0005-0000-0000-00008F1A0000}"/>
    <cellStyle name="Percent 2 38 2" xfId="6755" xr:uid="{00000000-0005-0000-0000-0000901A0000}"/>
    <cellStyle name="Percent 2 39" xfId="6756" xr:uid="{00000000-0005-0000-0000-0000911A0000}"/>
    <cellStyle name="Percent 2 39 2" xfId="6757" xr:uid="{00000000-0005-0000-0000-0000921A0000}"/>
    <cellStyle name="Percent 2 4" xfId="6758" xr:uid="{00000000-0005-0000-0000-0000931A0000}"/>
    <cellStyle name="Percent 2 4 10" xfId="6759" xr:uid="{00000000-0005-0000-0000-0000941A0000}"/>
    <cellStyle name="Percent 2 4 10 2" xfId="6760" xr:uid="{00000000-0005-0000-0000-0000951A0000}"/>
    <cellStyle name="Percent 2 4 11" xfId="6761" xr:uid="{00000000-0005-0000-0000-0000961A0000}"/>
    <cellStyle name="Percent 2 4 11 2" xfId="6762" xr:uid="{00000000-0005-0000-0000-0000971A0000}"/>
    <cellStyle name="Percent 2 4 12" xfId="6763" xr:uid="{00000000-0005-0000-0000-0000981A0000}"/>
    <cellStyle name="Percent 2 4 12 2" xfId="6764" xr:uid="{00000000-0005-0000-0000-0000991A0000}"/>
    <cellStyle name="Percent 2 4 13" xfId="6765" xr:uid="{00000000-0005-0000-0000-00009A1A0000}"/>
    <cellStyle name="Percent 2 4 13 2" xfId="6766" xr:uid="{00000000-0005-0000-0000-00009B1A0000}"/>
    <cellStyle name="Percent 2 4 14" xfId="6767" xr:uid="{00000000-0005-0000-0000-00009C1A0000}"/>
    <cellStyle name="Percent 2 4 14 2" xfId="6768" xr:uid="{00000000-0005-0000-0000-00009D1A0000}"/>
    <cellStyle name="Percent 2 4 15" xfId="6769" xr:uid="{00000000-0005-0000-0000-00009E1A0000}"/>
    <cellStyle name="Percent 2 4 15 2" xfId="6770" xr:uid="{00000000-0005-0000-0000-00009F1A0000}"/>
    <cellStyle name="Percent 2 4 16" xfId="6771" xr:uid="{00000000-0005-0000-0000-0000A01A0000}"/>
    <cellStyle name="Percent 2 4 16 2" xfId="6772" xr:uid="{00000000-0005-0000-0000-0000A11A0000}"/>
    <cellStyle name="Percent 2 4 17" xfId="6773" xr:uid="{00000000-0005-0000-0000-0000A21A0000}"/>
    <cellStyle name="Percent 2 4 17 2" xfId="6774" xr:uid="{00000000-0005-0000-0000-0000A31A0000}"/>
    <cellStyle name="Percent 2 4 18" xfId="6775" xr:uid="{00000000-0005-0000-0000-0000A41A0000}"/>
    <cellStyle name="Percent 2 4 18 2" xfId="6776" xr:uid="{00000000-0005-0000-0000-0000A51A0000}"/>
    <cellStyle name="Percent 2 4 19" xfId="6777" xr:uid="{00000000-0005-0000-0000-0000A61A0000}"/>
    <cellStyle name="Percent 2 4 2" xfId="6778" xr:uid="{00000000-0005-0000-0000-0000A71A0000}"/>
    <cellStyle name="Percent 2 4 2 2" xfId="6779" xr:uid="{00000000-0005-0000-0000-0000A81A0000}"/>
    <cellStyle name="Percent 2 4 2 3" xfId="6780" xr:uid="{00000000-0005-0000-0000-0000A91A0000}"/>
    <cellStyle name="Percent 2 4 3" xfId="6781" xr:uid="{00000000-0005-0000-0000-0000AA1A0000}"/>
    <cellStyle name="Percent 2 4 3 2" xfId="6782" xr:uid="{00000000-0005-0000-0000-0000AB1A0000}"/>
    <cellStyle name="Percent 2 4 3 3" xfId="6783" xr:uid="{00000000-0005-0000-0000-0000AC1A0000}"/>
    <cellStyle name="Percent 2 4 4" xfId="6784" xr:uid="{00000000-0005-0000-0000-0000AD1A0000}"/>
    <cellStyle name="Percent 2 4 4 2" xfId="6785" xr:uid="{00000000-0005-0000-0000-0000AE1A0000}"/>
    <cellStyle name="Percent 2 4 4 3" xfId="6786" xr:uid="{00000000-0005-0000-0000-0000AF1A0000}"/>
    <cellStyle name="Percent 2 4 5" xfId="6787" xr:uid="{00000000-0005-0000-0000-0000B01A0000}"/>
    <cellStyle name="Percent 2 4 5 2" xfId="6788" xr:uid="{00000000-0005-0000-0000-0000B11A0000}"/>
    <cellStyle name="Percent 2 4 5 3" xfId="6789" xr:uid="{00000000-0005-0000-0000-0000B21A0000}"/>
    <cellStyle name="Percent 2 4 6" xfId="6790" xr:uid="{00000000-0005-0000-0000-0000B31A0000}"/>
    <cellStyle name="Percent 2 4 6 2" xfId="6791" xr:uid="{00000000-0005-0000-0000-0000B41A0000}"/>
    <cellStyle name="Percent 2 4 6 3" xfId="6792" xr:uid="{00000000-0005-0000-0000-0000B51A0000}"/>
    <cellStyle name="Percent 2 4 7" xfId="6793" xr:uid="{00000000-0005-0000-0000-0000B61A0000}"/>
    <cellStyle name="Percent 2 4 7 2" xfId="6794" xr:uid="{00000000-0005-0000-0000-0000B71A0000}"/>
    <cellStyle name="Percent 2 4 7 3" xfId="6795" xr:uid="{00000000-0005-0000-0000-0000B81A0000}"/>
    <cellStyle name="Percent 2 4 8" xfId="6796" xr:uid="{00000000-0005-0000-0000-0000B91A0000}"/>
    <cellStyle name="Percent 2 4 8 2" xfId="6797" xr:uid="{00000000-0005-0000-0000-0000BA1A0000}"/>
    <cellStyle name="Percent 2 4 8 3" xfId="6798" xr:uid="{00000000-0005-0000-0000-0000BB1A0000}"/>
    <cellStyle name="Percent 2 4 9" xfId="6799" xr:uid="{00000000-0005-0000-0000-0000BC1A0000}"/>
    <cellStyle name="Percent 2 4 9 2" xfId="6800" xr:uid="{00000000-0005-0000-0000-0000BD1A0000}"/>
    <cellStyle name="Percent 2 4 9 3" xfId="6801" xr:uid="{00000000-0005-0000-0000-0000BE1A0000}"/>
    <cellStyle name="Percent 2 40" xfId="6802" xr:uid="{00000000-0005-0000-0000-0000BF1A0000}"/>
    <cellStyle name="Percent 2 40 2" xfId="6803" xr:uid="{00000000-0005-0000-0000-0000C01A0000}"/>
    <cellStyle name="Percent 2 41" xfId="6804" xr:uid="{00000000-0005-0000-0000-0000C11A0000}"/>
    <cellStyle name="Percent 2 41 2" xfId="6805" xr:uid="{00000000-0005-0000-0000-0000C21A0000}"/>
    <cellStyle name="Percent 2 42" xfId="6806" xr:uid="{00000000-0005-0000-0000-0000C31A0000}"/>
    <cellStyle name="Percent 2 42 2" xfId="6807" xr:uid="{00000000-0005-0000-0000-0000C41A0000}"/>
    <cellStyle name="Percent 2 43" xfId="6808" xr:uid="{00000000-0005-0000-0000-0000C51A0000}"/>
    <cellStyle name="Percent 2 43 2" xfId="6809" xr:uid="{00000000-0005-0000-0000-0000C61A0000}"/>
    <cellStyle name="Percent 2 44" xfId="6810" xr:uid="{00000000-0005-0000-0000-0000C71A0000}"/>
    <cellStyle name="Percent 2 44 2" xfId="6811" xr:uid="{00000000-0005-0000-0000-0000C81A0000}"/>
    <cellStyle name="Percent 2 45" xfId="6812" xr:uid="{00000000-0005-0000-0000-0000C91A0000}"/>
    <cellStyle name="Percent 2 45 2" xfId="6813" xr:uid="{00000000-0005-0000-0000-0000CA1A0000}"/>
    <cellStyle name="Percent 2 46" xfId="6814" xr:uid="{00000000-0005-0000-0000-0000CB1A0000}"/>
    <cellStyle name="Percent 2 46 2" xfId="6815" xr:uid="{00000000-0005-0000-0000-0000CC1A0000}"/>
    <cellStyle name="Percent 2 47" xfId="6816" xr:uid="{00000000-0005-0000-0000-0000CD1A0000}"/>
    <cellStyle name="Percent 2 47 2" xfId="6817" xr:uid="{00000000-0005-0000-0000-0000CE1A0000}"/>
    <cellStyle name="Percent 2 48" xfId="6818" xr:uid="{00000000-0005-0000-0000-0000CF1A0000}"/>
    <cellStyle name="Percent 2 48 2" xfId="6819" xr:uid="{00000000-0005-0000-0000-0000D01A0000}"/>
    <cellStyle name="Percent 2 48 2 2" xfId="6820" xr:uid="{00000000-0005-0000-0000-0000D11A0000}"/>
    <cellStyle name="Percent 2 48 3" xfId="6821" xr:uid="{00000000-0005-0000-0000-0000D21A0000}"/>
    <cellStyle name="Percent 2 49" xfId="6822" xr:uid="{00000000-0005-0000-0000-0000D31A0000}"/>
    <cellStyle name="Percent 2 49 2" xfId="6823" xr:uid="{00000000-0005-0000-0000-0000D41A0000}"/>
    <cellStyle name="Percent 2 5" xfId="6824" xr:uid="{00000000-0005-0000-0000-0000D51A0000}"/>
    <cellStyle name="Percent 2 5 10" xfId="6825" xr:uid="{00000000-0005-0000-0000-0000D61A0000}"/>
    <cellStyle name="Percent 2 5 10 2" xfId="6826" xr:uid="{00000000-0005-0000-0000-0000D71A0000}"/>
    <cellStyle name="Percent 2 5 11" xfId="6827" xr:uid="{00000000-0005-0000-0000-0000D81A0000}"/>
    <cellStyle name="Percent 2 5 11 2" xfId="6828" xr:uid="{00000000-0005-0000-0000-0000D91A0000}"/>
    <cellStyle name="Percent 2 5 12" xfId="6829" xr:uid="{00000000-0005-0000-0000-0000DA1A0000}"/>
    <cellStyle name="Percent 2 5 12 2" xfId="6830" xr:uid="{00000000-0005-0000-0000-0000DB1A0000}"/>
    <cellStyle name="Percent 2 5 13" xfId="6831" xr:uid="{00000000-0005-0000-0000-0000DC1A0000}"/>
    <cellStyle name="Percent 2 5 13 2" xfId="6832" xr:uid="{00000000-0005-0000-0000-0000DD1A0000}"/>
    <cellStyle name="Percent 2 5 14" xfId="6833" xr:uid="{00000000-0005-0000-0000-0000DE1A0000}"/>
    <cellStyle name="Percent 2 5 14 2" xfId="6834" xr:uid="{00000000-0005-0000-0000-0000DF1A0000}"/>
    <cellStyle name="Percent 2 5 15" xfId="6835" xr:uid="{00000000-0005-0000-0000-0000E01A0000}"/>
    <cellStyle name="Percent 2 5 15 2" xfId="6836" xr:uid="{00000000-0005-0000-0000-0000E11A0000}"/>
    <cellStyle name="Percent 2 5 16" xfId="6837" xr:uid="{00000000-0005-0000-0000-0000E21A0000}"/>
    <cellStyle name="Percent 2 5 16 2" xfId="6838" xr:uid="{00000000-0005-0000-0000-0000E31A0000}"/>
    <cellStyle name="Percent 2 5 2" xfId="6839" xr:uid="{00000000-0005-0000-0000-0000E41A0000}"/>
    <cellStyle name="Percent 2 5 2 2" xfId="6840" xr:uid="{00000000-0005-0000-0000-0000E51A0000}"/>
    <cellStyle name="Percent 2 5 2 2 2" xfId="6841" xr:uid="{00000000-0005-0000-0000-0000E61A0000}"/>
    <cellStyle name="Percent 2 5 3" xfId="6842" xr:uid="{00000000-0005-0000-0000-0000E71A0000}"/>
    <cellStyle name="Percent 2 5 3 2" xfId="6843" xr:uid="{00000000-0005-0000-0000-0000E81A0000}"/>
    <cellStyle name="Percent 2 5 3 2 2" xfId="6844" xr:uid="{00000000-0005-0000-0000-0000E91A0000}"/>
    <cellStyle name="Percent 2 5 4" xfId="6845" xr:uid="{00000000-0005-0000-0000-0000EA1A0000}"/>
    <cellStyle name="Percent 2 5 4 2" xfId="6846" xr:uid="{00000000-0005-0000-0000-0000EB1A0000}"/>
    <cellStyle name="Percent 2 5 4 3" xfId="6847" xr:uid="{00000000-0005-0000-0000-0000EC1A0000}"/>
    <cellStyle name="Percent 2 5 5" xfId="6848" xr:uid="{00000000-0005-0000-0000-0000ED1A0000}"/>
    <cellStyle name="Percent 2 5 5 2" xfId="6849" xr:uid="{00000000-0005-0000-0000-0000EE1A0000}"/>
    <cellStyle name="Percent 2 5 5 3" xfId="6850" xr:uid="{00000000-0005-0000-0000-0000EF1A0000}"/>
    <cellStyle name="Percent 2 5 6" xfId="6851" xr:uid="{00000000-0005-0000-0000-0000F01A0000}"/>
    <cellStyle name="Percent 2 5 6 2" xfId="6852" xr:uid="{00000000-0005-0000-0000-0000F11A0000}"/>
    <cellStyle name="Percent 2 5 6 3" xfId="6853" xr:uid="{00000000-0005-0000-0000-0000F21A0000}"/>
    <cellStyle name="Percent 2 5 7" xfId="6854" xr:uid="{00000000-0005-0000-0000-0000F31A0000}"/>
    <cellStyle name="Percent 2 5 7 2" xfId="6855" xr:uid="{00000000-0005-0000-0000-0000F41A0000}"/>
    <cellStyle name="Percent 2 5 7 3" xfId="6856" xr:uid="{00000000-0005-0000-0000-0000F51A0000}"/>
    <cellStyle name="Percent 2 5 8" xfId="6857" xr:uid="{00000000-0005-0000-0000-0000F61A0000}"/>
    <cellStyle name="Percent 2 5 8 2" xfId="6858" xr:uid="{00000000-0005-0000-0000-0000F71A0000}"/>
    <cellStyle name="Percent 2 5 8 3" xfId="6859" xr:uid="{00000000-0005-0000-0000-0000F81A0000}"/>
    <cellStyle name="Percent 2 5 9" xfId="6860" xr:uid="{00000000-0005-0000-0000-0000F91A0000}"/>
    <cellStyle name="Percent 2 5 9 2" xfId="6861" xr:uid="{00000000-0005-0000-0000-0000FA1A0000}"/>
    <cellStyle name="Percent 2 50" xfId="6862" xr:uid="{00000000-0005-0000-0000-0000FB1A0000}"/>
    <cellStyle name="Percent 2 6" xfId="6863" xr:uid="{00000000-0005-0000-0000-0000FC1A0000}"/>
    <cellStyle name="Percent 2 6 10" xfId="6864" xr:uid="{00000000-0005-0000-0000-0000FD1A0000}"/>
    <cellStyle name="Percent 2 6 10 2" xfId="6865" xr:uid="{00000000-0005-0000-0000-0000FE1A0000}"/>
    <cellStyle name="Percent 2 6 11" xfId="6866" xr:uid="{00000000-0005-0000-0000-0000FF1A0000}"/>
    <cellStyle name="Percent 2 6 11 2" xfId="6867" xr:uid="{00000000-0005-0000-0000-0000001B0000}"/>
    <cellStyle name="Percent 2 6 12" xfId="6868" xr:uid="{00000000-0005-0000-0000-0000011B0000}"/>
    <cellStyle name="Percent 2 6 12 2" xfId="6869" xr:uid="{00000000-0005-0000-0000-0000021B0000}"/>
    <cellStyle name="Percent 2 6 13" xfId="6870" xr:uid="{00000000-0005-0000-0000-0000031B0000}"/>
    <cellStyle name="Percent 2 6 13 2" xfId="6871" xr:uid="{00000000-0005-0000-0000-0000041B0000}"/>
    <cellStyle name="Percent 2 6 14" xfId="6872" xr:uid="{00000000-0005-0000-0000-0000051B0000}"/>
    <cellStyle name="Percent 2 6 14 2" xfId="6873" xr:uid="{00000000-0005-0000-0000-0000061B0000}"/>
    <cellStyle name="Percent 2 6 15" xfId="6874" xr:uid="{00000000-0005-0000-0000-0000071B0000}"/>
    <cellStyle name="Percent 2 6 15 2" xfId="6875" xr:uid="{00000000-0005-0000-0000-0000081B0000}"/>
    <cellStyle name="Percent 2 6 16" xfId="6876" xr:uid="{00000000-0005-0000-0000-0000091B0000}"/>
    <cellStyle name="Percent 2 6 16 2" xfId="6877" xr:uid="{00000000-0005-0000-0000-00000A1B0000}"/>
    <cellStyle name="Percent 2 6 17" xfId="6878" xr:uid="{00000000-0005-0000-0000-00000B1B0000}"/>
    <cellStyle name="Percent 2 6 2" xfId="6879" xr:uid="{00000000-0005-0000-0000-00000C1B0000}"/>
    <cellStyle name="Percent 2 6 2 2" xfId="6880" xr:uid="{00000000-0005-0000-0000-00000D1B0000}"/>
    <cellStyle name="Percent 2 6 2 3" xfId="6881" xr:uid="{00000000-0005-0000-0000-00000E1B0000}"/>
    <cellStyle name="Percent 2 6 3" xfId="6882" xr:uid="{00000000-0005-0000-0000-00000F1B0000}"/>
    <cellStyle name="Percent 2 6 3 2" xfId="6883" xr:uid="{00000000-0005-0000-0000-0000101B0000}"/>
    <cellStyle name="Percent 2 6 3 3" xfId="6884" xr:uid="{00000000-0005-0000-0000-0000111B0000}"/>
    <cellStyle name="Percent 2 6 4" xfId="6885" xr:uid="{00000000-0005-0000-0000-0000121B0000}"/>
    <cellStyle name="Percent 2 6 4 2" xfId="6886" xr:uid="{00000000-0005-0000-0000-0000131B0000}"/>
    <cellStyle name="Percent 2 6 4 3" xfId="6887" xr:uid="{00000000-0005-0000-0000-0000141B0000}"/>
    <cellStyle name="Percent 2 6 5" xfId="6888" xr:uid="{00000000-0005-0000-0000-0000151B0000}"/>
    <cellStyle name="Percent 2 6 5 2" xfId="6889" xr:uid="{00000000-0005-0000-0000-0000161B0000}"/>
    <cellStyle name="Percent 2 6 5 3" xfId="6890" xr:uid="{00000000-0005-0000-0000-0000171B0000}"/>
    <cellStyle name="Percent 2 6 6" xfId="6891" xr:uid="{00000000-0005-0000-0000-0000181B0000}"/>
    <cellStyle name="Percent 2 6 6 2" xfId="6892" xr:uid="{00000000-0005-0000-0000-0000191B0000}"/>
    <cellStyle name="Percent 2 6 6 3" xfId="6893" xr:uid="{00000000-0005-0000-0000-00001A1B0000}"/>
    <cellStyle name="Percent 2 6 7" xfId="6894" xr:uid="{00000000-0005-0000-0000-00001B1B0000}"/>
    <cellStyle name="Percent 2 6 7 2" xfId="6895" xr:uid="{00000000-0005-0000-0000-00001C1B0000}"/>
    <cellStyle name="Percent 2 6 7 3" xfId="6896" xr:uid="{00000000-0005-0000-0000-00001D1B0000}"/>
    <cellStyle name="Percent 2 6 8" xfId="6897" xr:uid="{00000000-0005-0000-0000-00001E1B0000}"/>
    <cellStyle name="Percent 2 6 8 2" xfId="6898" xr:uid="{00000000-0005-0000-0000-00001F1B0000}"/>
    <cellStyle name="Percent 2 6 8 3" xfId="6899" xr:uid="{00000000-0005-0000-0000-0000201B0000}"/>
    <cellStyle name="Percent 2 6 9" xfId="6900" xr:uid="{00000000-0005-0000-0000-0000211B0000}"/>
    <cellStyle name="Percent 2 6 9 2" xfId="6901" xr:uid="{00000000-0005-0000-0000-0000221B0000}"/>
    <cellStyle name="Percent 2 7" xfId="6902" xr:uid="{00000000-0005-0000-0000-0000231B0000}"/>
    <cellStyle name="Percent 2 7 10" xfId="6903" xr:uid="{00000000-0005-0000-0000-0000241B0000}"/>
    <cellStyle name="Percent 2 7 2" xfId="6904" xr:uid="{00000000-0005-0000-0000-0000251B0000}"/>
    <cellStyle name="Percent 2 7 2 2" xfId="6905" xr:uid="{00000000-0005-0000-0000-0000261B0000}"/>
    <cellStyle name="Percent 2 7 2 3" xfId="6906" xr:uid="{00000000-0005-0000-0000-0000271B0000}"/>
    <cellStyle name="Percent 2 7 3" xfId="6907" xr:uid="{00000000-0005-0000-0000-0000281B0000}"/>
    <cellStyle name="Percent 2 7 3 2" xfId="6908" xr:uid="{00000000-0005-0000-0000-0000291B0000}"/>
    <cellStyle name="Percent 2 7 3 3" xfId="6909" xr:uid="{00000000-0005-0000-0000-00002A1B0000}"/>
    <cellStyle name="Percent 2 7 4" xfId="6910" xr:uid="{00000000-0005-0000-0000-00002B1B0000}"/>
    <cellStyle name="Percent 2 7 4 2" xfId="6911" xr:uid="{00000000-0005-0000-0000-00002C1B0000}"/>
    <cellStyle name="Percent 2 7 4 3" xfId="6912" xr:uid="{00000000-0005-0000-0000-00002D1B0000}"/>
    <cellStyle name="Percent 2 7 5" xfId="6913" xr:uid="{00000000-0005-0000-0000-00002E1B0000}"/>
    <cellStyle name="Percent 2 7 5 2" xfId="6914" xr:uid="{00000000-0005-0000-0000-00002F1B0000}"/>
    <cellStyle name="Percent 2 7 5 3" xfId="6915" xr:uid="{00000000-0005-0000-0000-0000301B0000}"/>
    <cellStyle name="Percent 2 7 6" xfId="6916" xr:uid="{00000000-0005-0000-0000-0000311B0000}"/>
    <cellStyle name="Percent 2 7 6 2" xfId="6917" xr:uid="{00000000-0005-0000-0000-0000321B0000}"/>
    <cellStyle name="Percent 2 7 6 3" xfId="6918" xr:uid="{00000000-0005-0000-0000-0000331B0000}"/>
    <cellStyle name="Percent 2 7 7" xfId="6919" xr:uid="{00000000-0005-0000-0000-0000341B0000}"/>
    <cellStyle name="Percent 2 7 7 2" xfId="6920" xr:uid="{00000000-0005-0000-0000-0000351B0000}"/>
    <cellStyle name="Percent 2 7 7 3" xfId="6921" xr:uid="{00000000-0005-0000-0000-0000361B0000}"/>
    <cellStyle name="Percent 2 7 8" xfId="6922" xr:uid="{00000000-0005-0000-0000-0000371B0000}"/>
    <cellStyle name="Percent 2 7 8 2" xfId="6923" xr:uid="{00000000-0005-0000-0000-0000381B0000}"/>
    <cellStyle name="Percent 2 7 8 3" xfId="6924" xr:uid="{00000000-0005-0000-0000-0000391B0000}"/>
    <cellStyle name="Percent 2 7 9" xfId="6925" xr:uid="{00000000-0005-0000-0000-00003A1B0000}"/>
    <cellStyle name="Percent 2 8" xfId="6926" xr:uid="{00000000-0005-0000-0000-00003B1B0000}"/>
    <cellStyle name="Percent 2 8 10" xfId="6927" xr:uid="{00000000-0005-0000-0000-00003C1B0000}"/>
    <cellStyle name="Percent 2 8 2" xfId="6928" xr:uid="{00000000-0005-0000-0000-00003D1B0000}"/>
    <cellStyle name="Percent 2 8 2 2" xfId="6929" xr:uid="{00000000-0005-0000-0000-00003E1B0000}"/>
    <cellStyle name="Percent 2 8 2 3" xfId="6930" xr:uid="{00000000-0005-0000-0000-00003F1B0000}"/>
    <cellStyle name="Percent 2 8 3" xfId="6931" xr:uid="{00000000-0005-0000-0000-0000401B0000}"/>
    <cellStyle name="Percent 2 8 3 2" xfId="6932" xr:uid="{00000000-0005-0000-0000-0000411B0000}"/>
    <cellStyle name="Percent 2 8 3 3" xfId="6933" xr:uid="{00000000-0005-0000-0000-0000421B0000}"/>
    <cellStyle name="Percent 2 8 4" xfId="6934" xr:uid="{00000000-0005-0000-0000-0000431B0000}"/>
    <cellStyle name="Percent 2 8 4 2" xfId="6935" xr:uid="{00000000-0005-0000-0000-0000441B0000}"/>
    <cellStyle name="Percent 2 8 4 3" xfId="6936" xr:uid="{00000000-0005-0000-0000-0000451B0000}"/>
    <cellStyle name="Percent 2 8 5" xfId="6937" xr:uid="{00000000-0005-0000-0000-0000461B0000}"/>
    <cellStyle name="Percent 2 8 5 2" xfId="6938" xr:uid="{00000000-0005-0000-0000-0000471B0000}"/>
    <cellStyle name="Percent 2 8 5 3" xfId="6939" xr:uid="{00000000-0005-0000-0000-0000481B0000}"/>
    <cellStyle name="Percent 2 8 6" xfId="6940" xr:uid="{00000000-0005-0000-0000-0000491B0000}"/>
    <cellStyle name="Percent 2 8 6 2" xfId="6941" xr:uid="{00000000-0005-0000-0000-00004A1B0000}"/>
    <cellStyle name="Percent 2 8 6 3" xfId="6942" xr:uid="{00000000-0005-0000-0000-00004B1B0000}"/>
    <cellStyle name="Percent 2 8 7" xfId="6943" xr:uid="{00000000-0005-0000-0000-00004C1B0000}"/>
    <cellStyle name="Percent 2 8 7 2" xfId="6944" xr:uid="{00000000-0005-0000-0000-00004D1B0000}"/>
    <cellStyle name="Percent 2 8 7 3" xfId="6945" xr:uid="{00000000-0005-0000-0000-00004E1B0000}"/>
    <cellStyle name="Percent 2 8 8" xfId="6946" xr:uid="{00000000-0005-0000-0000-00004F1B0000}"/>
    <cellStyle name="Percent 2 8 8 2" xfId="6947" xr:uid="{00000000-0005-0000-0000-0000501B0000}"/>
    <cellStyle name="Percent 2 8 8 3" xfId="6948" xr:uid="{00000000-0005-0000-0000-0000511B0000}"/>
    <cellStyle name="Percent 2 8 9" xfId="6949" xr:uid="{00000000-0005-0000-0000-0000521B0000}"/>
    <cellStyle name="Percent 2 9" xfId="6950" xr:uid="{00000000-0005-0000-0000-0000531B0000}"/>
    <cellStyle name="Percent 2 9 10" xfId="6951" xr:uid="{00000000-0005-0000-0000-0000541B0000}"/>
    <cellStyle name="Percent 2 9 2" xfId="6952" xr:uid="{00000000-0005-0000-0000-0000551B0000}"/>
    <cellStyle name="Percent 2 9 2 2" xfId="6953" xr:uid="{00000000-0005-0000-0000-0000561B0000}"/>
    <cellStyle name="Percent 2 9 2 3" xfId="6954" xr:uid="{00000000-0005-0000-0000-0000571B0000}"/>
    <cellStyle name="Percent 2 9 3" xfId="6955" xr:uid="{00000000-0005-0000-0000-0000581B0000}"/>
    <cellStyle name="Percent 2 9 3 2" xfId="6956" xr:uid="{00000000-0005-0000-0000-0000591B0000}"/>
    <cellStyle name="Percent 2 9 3 3" xfId="6957" xr:uid="{00000000-0005-0000-0000-00005A1B0000}"/>
    <cellStyle name="Percent 2 9 4" xfId="6958" xr:uid="{00000000-0005-0000-0000-00005B1B0000}"/>
    <cellStyle name="Percent 2 9 4 2" xfId="6959" xr:uid="{00000000-0005-0000-0000-00005C1B0000}"/>
    <cellStyle name="Percent 2 9 4 3" xfId="6960" xr:uid="{00000000-0005-0000-0000-00005D1B0000}"/>
    <cellStyle name="Percent 2 9 5" xfId="6961" xr:uid="{00000000-0005-0000-0000-00005E1B0000}"/>
    <cellStyle name="Percent 2 9 5 2" xfId="6962" xr:uid="{00000000-0005-0000-0000-00005F1B0000}"/>
    <cellStyle name="Percent 2 9 5 3" xfId="6963" xr:uid="{00000000-0005-0000-0000-0000601B0000}"/>
    <cellStyle name="Percent 2 9 6" xfId="6964" xr:uid="{00000000-0005-0000-0000-0000611B0000}"/>
    <cellStyle name="Percent 2 9 6 2" xfId="6965" xr:uid="{00000000-0005-0000-0000-0000621B0000}"/>
    <cellStyle name="Percent 2 9 6 3" xfId="6966" xr:uid="{00000000-0005-0000-0000-0000631B0000}"/>
    <cellStyle name="Percent 2 9 7" xfId="6967" xr:uid="{00000000-0005-0000-0000-0000641B0000}"/>
    <cellStyle name="Percent 2 9 7 2" xfId="6968" xr:uid="{00000000-0005-0000-0000-0000651B0000}"/>
    <cellStyle name="Percent 2 9 7 3" xfId="6969" xr:uid="{00000000-0005-0000-0000-0000661B0000}"/>
    <cellStyle name="Percent 2 9 8" xfId="6970" xr:uid="{00000000-0005-0000-0000-0000671B0000}"/>
    <cellStyle name="Percent 2 9 8 2" xfId="6971" xr:uid="{00000000-0005-0000-0000-0000681B0000}"/>
    <cellStyle name="Percent 2 9 8 3" xfId="6972" xr:uid="{00000000-0005-0000-0000-0000691B0000}"/>
    <cellStyle name="Percent 2 9 9" xfId="6973" xr:uid="{00000000-0005-0000-0000-00006A1B0000}"/>
    <cellStyle name="Percent 20" xfId="6974" xr:uid="{00000000-0005-0000-0000-00006B1B0000}"/>
    <cellStyle name="Percent 20 2" xfId="6975" xr:uid="{00000000-0005-0000-0000-00006C1B0000}"/>
    <cellStyle name="Percent 20 2 2" xfId="6976" xr:uid="{00000000-0005-0000-0000-00006D1B0000}"/>
    <cellStyle name="Percent 20 3" xfId="6977" xr:uid="{00000000-0005-0000-0000-00006E1B0000}"/>
    <cellStyle name="Percent 20 3 2" xfId="6978" xr:uid="{00000000-0005-0000-0000-00006F1B0000}"/>
    <cellStyle name="Percent 20 4" xfId="6979" xr:uid="{00000000-0005-0000-0000-0000701B0000}"/>
    <cellStyle name="Percent 20 4 2" xfId="6980" xr:uid="{00000000-0005-0000-0000-0000711B0000}"/>
    <cellStyle name="Percent 20 5" xfId="6981" xr:uid="{00000000-0005-0000-0000-0000721B0000}"/>
    <cellStyle name="Percent 20 5 2" xfId="6982" xr:uid="{00000000-0005-0000-0000-0000731B0000}"/>
    <cellStyle name="Percent 20 6" xfId="6983" xr:uid="{00000000-0005-0000-0000-0000741B0000}"/>
    <cellStyle name="Percent 20 6 2" xfId="6984" xr:uid="{00000000-0005-0000-0000-0000751B0000}"/>
    <cellStyle name="Percent 20 7" xfId="6985" xr:uid="{00000000-0005-0000-0000-0000761B0000}"/>
    <cellStyle name="Percent 20 7 2" xfId="6986" xr:uid="{00000000-0005-0000-0000-0000771B0000}"/>
    <cellStyle name="Percent 20 7 2 2" xfId="6987" xr:uid="{00000000-0005-0000-0000-0000781B0000}"/>
    <cellStyle name="Percent 20 7 3" xfId="6988" xr:uid="{00000000-0005-0000-0000-0000791B0000}"/>
    <cellStyle name="Percent 20 7 3 2" xfId="6989" xr:uid="{00000000-0005-0000-0000-00007A1B0000}"/>
    <cellStyle name="Percent 20 7 4" xfId="6990" xr:uid="{00000000-0005-0000-0000-00007B1B0000}"/>
    <cellStyle name="Percent 20 8" xfId="6991" xr:uid="{00000000-0005-0000-0000-00007C1B0000}"/>
    <cellStyle name="Percent 21" xfId="6992" xr:uid="{00000000-0005-0000-0000-00007D1B0000}"/>
    <cellStyle name="Percent 21 2" xfId="6993" xr:uid="{00000000-0005-0000-0000-00007E1B0000}"/>
    <cellStyle name="Percent 21 2 2" xfId="6994" xr:uid="{00000000-0005-0000-0000-00007F1B0000}"/>
    <cellStyle name="Percent 21 3" xfId="6995" xr:uid="{00000000-0005-0000-0000-0000801B0000}"/>
    <cellStyle name="Percent 21 3 2" xfId="6996" xr:uid="{00000000-0005-0000-0000-0000811B0000}"/>
    <cellStyle name="Percent 21 4" xfId="6997" xr:uid="{00000000-0005-0000-0000-0000821B0000}"/>
    <cellStyle name="Percent 21 4 2" xfId="6998" xr:uid="{00000000-0005-0000-0000-0000831B0000}"/>
    <cellStyle name="Percent 21 5" xfId="6999" xr:uid="{00000000-0005-0000-0000-0000841B0000}"/>
    <cellStyle name="Percent 21 5 2" xfId="7000" xr:uid="{00000000-0005-0000-0000-0000851B0000}"/>
    <cellStyle name="Percent 21 6" xfId="7001" xr:uid="{00000000-0005-0000-0000-0000861B0000}"/>
    <cellStyle name="Percent 21 6 2" xfId="7002" xr:uid="{00000000-0005-0000-0000-0000871B0000}"/>
    <cellStyle name="Percent 21 7" xfId="7003" xr:uid="{00000000-0005-0000-0000-0000881B0000}"/>
    <cellStyle name="Percent 21 7 2" xfId="7004" xr:uid="{00000000-0005-0000-0000-0000891B0000}"/>
    <cellStyle name="Percent 21 7 2 2" xfId="7005" xr:uid="{00000000-0005-0000-0000-00008A1B0000}"/>
    <cellStyle name="Percent 21 7 3" xfId="7006" xr:uid="{00000000-0005-0000-0000-00008B1B0000}"/>
    <cellStyle name="Percent 21 7 3 2" xfId="7007" xr:uid="{00000000-0005-0000-0000-00008C1B0000}"/>
    <cellStyle name="Percent 21 7 4" xfId="7008" xr:uid="{00000000-0005-0000-0000-00008D1B0000}"/>
    <cellStyle name="Percent 21 8" xfId="7009" xr:uid="{00000000-0005-0000-0000-00008E1B0000}"/>
    <cellStyle name="Percent 22" xfId="7010" xr:uid="{00000000-0005-0000-0000-00008F1B0000}"/>
    <cellStyle name="Percent 22 2" xfId="7011" xr:uid="{00000000-0005-0000-0000-0000901B0000}"/>
    <cellStyle name="Percent 22 2 2" xfId="7012" xr:uid="{00000000-0005-0000-0000-0000911B0000}"/>
    <cellStyle name="Percent 22 3" xfId="7013" xr:uid="{00000000-0005-0000-0000-0000921B0000}"/>
    <cellStyle name="Percent 22 3 2" xfId="7014" xr:uid="{00000000-0005-0000-0000-0000931B0000}"/>
    <cellStyle name="Percent 22 4" xfId="7015" xr:uid="{00000000-0005-0000-0000-0000941B0000}"/>
    <cellStyle name="Percent 22 4 2" xfId="7016" xr:uid="{00000000-0005-0000-0000-0000951B0000}"/>
    <cellStyle name="Percent 22 5" xfId="7017" xr:uid="{00000000-0005-0000-0000-0000961B0000}"/>
    <cellStyle name="Percent 22 5 2" xfId="7018" xr:uid="{00000000-0005-0000-0000-0000971B0000}"/>
    <cellStyle name="Percent 22 6" xfId="7019" xr:uid="{00000000-0005-0000-0000-0000981B0000}"/>
    <cellStyle name="Percent 22 6 2" xfId="7020" xr:uid="{00000000-0005-0000-0000-0000991B0000}"/>
    <cellStyle name="Percent 22 7" xfId="7021" xr:uid="{00000000-0005-0000-0000-00009A1B0000}"/>
    <cellStyle name="Percent 22 7 2" xfId="7022" xr:uid="{00000000-0005-0000-0000-00009B1B0000}"/>
    <cellStyle name="Percent 22 7 2 2" xfId="7023" xr:uid="{00000000-0005-0000-0000-00009C1B0000}"/>
    <cellStyle name="Percent 22 7 3" xfId="7024" xr:uid="{00000000-0005-0000-0000-00009D1B0000}"/>
    <cellStyle name="Percent 22 7 3 2" xfId="7025" xr:uid="{00000000-0005-0000-0000-00009E1B0000}"/>
    <cellStyle name="Percent 22 7 4" xfId="7026" xr:uid="{00000000-0005-0000-0000-00009F1B0000}"/>
    <cellStyle name="Percent 22 8" xfId="7027" xr:uid="{00000000-0005-0000-0000-0000A01B0000}"/>
    <cellStyle name="Percent 23" xfId="7028" xr:uid="{00000000-0005-0000-0000-0000A11B0000}"/>
    <cellStyle name="Percent 23 2" xfId="7029" xr:uid="{00000000-0005-0000-0000-0000A21B0000}"/>
    <cellStyle name="Percent 23 2 2" xfId="7030" xr:uid="{00000000-0005-0000-0000-0000A31B0000}"/>
    <cellStyle name="Percent 23 3" xfId="7031" xr:uid="{00000000-0005-0000-0000-0000A41B0000}"/>
    <cellStyle name="Percent 23 3 2" xfId="7032" xr:uid="{00000000-0005-0000-0000-0000A51B0000}"/>
    <cellStyle name="Percent 23 4" xfId="7033" xr:uid="{00000000-0005-0000-0000-0000A61B0000}"/>
    <cellStyle name="Percent 23 4 2" xfId="7034" xr:uid="{00000000-0005-0000-0000-0000A71B0000}"/>
    <cellStyle name="Percent 23 5" xfId="7035" xr:uid="{00000000-0005-0000-0000-0000A81B0000}"/>
    <cellStyle name="Percent 23 5 2" xfId="7036" xr:uid="{00000000-0005-0000-0000-0000A91B0000}"/>
    <cellStyle name="Percent 23 6" xfId="7037" xr:uid="{00000000-0005-0000-0000-0000AA1B0000}"/>
    <cellStyle name="Percent 23 6 2" xfId="7038" xr:uid="{00000000-0005-0000-0000-0000AB1B0000}"/>
    <cellStyle name="Percent 23 7" xfId="7039" xr:uid="{00000000-0005-0000-0000-0000AC1B0000}"/>
    <cellStyle name="Percent 23 7 2" xfId="7040" xr:uid="{00000000-0005-0000-0000-0000AD1B0000}"/>
    <cellStyle name="Percent 23 7 2 2" xfId="7041" xr:uid="{00000000-0005-0000-0000-0000AE1B0000}"/>
    <cellStyle name="Percent 23 7 3" xfId="7042" xr:uid="{00000000-0005-0000-0000-0000AF1B0000}"/>
    <cellStyle name="Percent 23 7 3 2" xfId="7043" xr:uid="{00000000-0005-0000-0000-0000B01B0000}"/>
    <cellStyle name="Percent 23 7 4" xfId="7044" xr:uid="{00000000-0005-0000-0000-0000B11B0000}"/>
    <cellStyle name="Percent 23 8" xfId="7045" xr:uid="{00000000-0005-0000-0000-0000B21B0000}"/>
    <cellStyle name="Percent 24" xfId="7046" xr:uid="{00000000-0005-0000-0000-0000B31B0000}"/>
    <cellStyle name="Percent 24 2" xfId="7047" xr:uid="{00000000-0005-0000-0000-0000B41B0000}"/>
    <cellStyle name="Percent 24 2 2" xfId="7048" xr:uid="{00000000-0005-0000-0000-0000B51B0000}"/>
    <cellStyle name="Percent 24 3" xfId="7049" xr:uid="{00000000-0005-0000-0000-0000B61B0000}"/>
    <cellStyle name="Percent 24 3 2" xfId="7050" xr:uid="{00000000-0005-0000-0000-0000B71B0000}"/>
    <cellStyle name="Percent 24 4" xfId="7051" xr:uid="{00000000-0005-0000-0000-0000B81B0000}"/>
    <cellStyle name="Percent 24 4 2" xfId="7052" xr:uid="{00000000-0005-0000-0000-0000B91B0000}"/>
    <cellStyle name="Percent 24 5" xfId="7053" xr:uid="{00000000-0005-0000-0000-0000BA1B0000}"/>
    <cellStyle name="Percent 24 5 2" xfId="7054" xr:uid="{00000000-0005-0000-0000-0000BB1B0000}"/>
    <cellStyle name="Percent 24 6" xfId="7055" xr:uid="{00000000-0005-0000-0000-0000BC1B0000}"/>
    <cellStyle name="Percent 24 6 2" xfId="7056" xr:uid="{00000000-0005-0000-0000-0000BD1B0000}"/>
    <cellStyle name="Percent 24 7" xfId="7057" xr:uid="{00000000-0005-0000-0000-0000BE1B0000}"/>
    <cellStyle name="Percent 24 7 2" xfId="7058" xr:uid="{00000000-0005-0000-0000-0000BF1B0000}"/>
    <cellStyle name="Percent 24 7 2 2" xfId="7059" xr:uid="{00000000-0005-0000-0000-0000C01B0000}"/>
    <cellStyle name="Percent 24 7 3" xfId="7060" xr:uid="{00000000-0005-0000-0000-0000C11B0000}"/>
    <cellStyle name="Percent 24 7 3 2" xfId="7061" xr:uid="{00000000-0005-0000-0000-0000C21B0000}"/>
    <cellStyle name="Percent 24 7 4" xfId="7062" xr:uid="{00000000-0005-0000-0000-0000C31B0000}"/>
    <cellStyle name="Percent 24 8" xfId="7063" xr:uid="{00000000-0005-0000-0000-0000C41B0000}"/>
    <cellStyle name="Percent 24 8 2" xfId="7064" xr:uid="{00000000-0005-0000-0000-0000C51B0000}"/>
    <cellStyle name="Percent 24 9" xfId="7065" xr:uid="{00000000-0005-0000-0000-0000C61B0000}"/>
    <cellStyle name="Percent 25" xfId="7066" xr:uid="{00000000-0005-0000-0000-0000C71B0000}"/>
    <cellStyle name="Percent 25 2" xfId="7067" xr:uid="{00000000-0005-0000-0000-0000C81B0000}"/>
    <cellStyle name="Percent 25 2 2" xfId="7068" xr:uid="{00000000-0005-0000-0000-0000C91B0000}"/>
    <cellStyle name="Percent 25 3" xfId="7069" xr:uid="{00000000-0005-0000-0000-0000CA1B0000}"/>
    <cellStyle name="Percent 25 3 2" xfId="7070" xr:uid="{00000000-0005-0000-0000-0000CB1B0000}"/>
    <cellStyle name="Percent 25 4" xfId="7071" xr:uid="{00000000-0005-0000-0000-0000CC1B0000}"/>
    <cellStyle name="Percent 25 4 2" xfId="7072" xr:uid="{00000000-0005-0000-0000-0000CD1B0000}"/>
    <cellStyle name="Percent 25 5" xfId="7073" xr:uid="{00000000-0005-0000-0000-0000CE1B0000}"/>
    <cellStyle name="Percent 25 5 2" xfId="7074" xr:uid="{00000000-0005-0000-0000-0000CF1B0000}"/>
    <cellStyle name="Percent 25 6" xfId="7075" xr:uid="{00000000-0005-0000-0000-0000D01B0000}"/>
    <cellStyle name="Percent 25 6 2" xfId="7076" xr:uid="{00000000-0005-0000-0000-0000D11B0000}"/>
    <cellStyle name="Percent 25 7" xfId="7077" xr:uid="{00000000-0005-0000-0000-0000D21B0000}"/>
    <cellStyle name="Percent 25 7 2" xfId="7078" xr:uid="{00000000-0005-0000-0000-0000D31B0000}"/>
    <cellStyle name="Percent 25 7 2 2" xfId="7079" xr:uid="{00000000-0005-0000-0000-0000D41B0000}"/>
    <cellStyle name="Percent 25 7 3" xfId="7080" xr:uid="{00000000-0005-0000-0000-0000D51B0000}"/>
    <cellStyle name="Percent 25 7 3 2" xfId="7081" xr:uid="{00000000-0005-0000-0000-0000D61B0000}"/>
    <cellStyle name="Percent 25 7 4" xfId="7082" xr:uid="{00000000-0005-0000-0000-0000D71B0000}"/>
    <cellStyle name="Percent 25 8" xfId="7083" xr:uid="{00000000-0005-0000-0000-0000D81B0000}"/>
    <cellStyle name="Percent 26" xfId="7084" xr:uid="{00000000-0005-0000-0000-0000D91B0000}"/>
    <cellStyle name="Percent 26 2" xfId="7085" xr:uid="{00000000-0005-0000-0000-0000DA1B0000}"/>
    <cellStyle name="Percent 26 2 2" xfId="7086" xr:uid="{00000000-0005-0000-0000-0000DB1B0000}"/>
    <cellStyle name="Percent 26 3" xfId="7087" xr:uid="{00000000-0005-0000-0000-0000DC1B0000}"/>
    <cellStyle name="Percent 26 3 2" xfId="7088" xr:uid="{00000000-0005-0000-0000-0000DD1B0000}"/>
    <cellStyle name="Percent 26 4" xfId="7089" xr:uid="{00000000-0005-0000-0000-0000DE1B0000}"/>
    <cellStyle name="Percent 26 4 2" xfId="7090" xr:uid="{00000000-0005-0000-0000-0000DF1B0000}"/>
    <cellStyle name="Percent 26 5" xfId="7091" xr:uid="{00000000-0005-0000-0000-0000E01B0000}"/>
    <cellStyle name="Percent 26 5 2" xfId="7092" xr:uid="{00000000-0005-0000-0000-0000E11B0000}"/>
    <cellStyle name="Percent 26 6" xfId="7093" xr:uid="{00000000-0005-0000-0000-0000E21B0000}"/>
    <cellStyle name="Percent 26 6 2" xfId="7094" xr:uid="{00000000-0005-0000-0000-0000E31B0000}"/>
    <cellStyle name="Percent 26 7" xfId="7095" xr:uid="{00000000-0005-0000-0000-0000E41B0000}"/>
    <cellStyle name="Percent 26 7 2" xfId="7096" xr:uid="{00000000-0005-0000-0000-0000E51B0000}"/>
    <cellStyle name="Percent 26 7 2 2" xfId="7097" xr:uid="{00000000-0005-0000-0000-0000E61B0000}"/>
    <cellStyle name="Percent 26 7 3" xfId="7098" xr:uid="{00000000-0005-0000-0000-0000E71B0000}"/>
    <cellStyle name="Percent 26 7 3 2" xfId="7099" xr:uid="{00000000-0005-0000-0000-0000E81B0000}"/>
    <cellStyle name="Percent 26 7 4" xfId="7100" xr:uid="{00000000-0005-0000-0000-0000E91B0000}"/>
    <cellStyle name="Percent 26 8" xfId="7101" xr:uid="{00000000-0005-0000-0000-0000EA1B0000}"/>
    <cellStyle name="Percent 27" xfId="7102" xr:uid="{00000000-0005-0000-0000-0000EB1B0000}"/>
    <cellStyle name="Percent 27 2" xfId="7103" xr:uid="{00000000-0005-0000-0000-0000EC1B0000}"/>
    <cellStyle name="Percent 28" xfId="7104" xr:uid="{00000000-0005-0000-0000-0000ED1B0000}"/>
    <cellStyle name="Percent 28 2" xfId="7105" xr:uid="{00000000-0005-0000-0000-0000EE1B0000}"/>
    <cellStyle name="Percent 28 2 2" xfId="7106" xr:uid="{00000000-0005-0000-0000-0000EF1B0000}"/>
    <cellStyle name="Percent 28 3" xfId="7107" xr:uid="{00000000-0005-0000-0000-0000F01B0000}"/>
    <cellStyle name="Percent 3" xfId="7108" xr:uid="{00000000-0005-0000-0000-0000F11B0000}"/>
    <cellStyle name="Percent 3 10" xfId="7109" xr:uid="{00000000-0005-0000-0000-0000F21B0000}"/>
    <cellStyle name="Percent 3 10 10" xfId="7110" xr:uid="{00000000-0005-0000-0000-0000F31B0000}"/>
    <cellStyle name="Percent 3 10 10 2" xfId="7111" xr:uid="{00000000-0005-0000-0000-0000F41B0000}"/>
    <cellStyle name="Percent 3 10 11" xfId="7112" xr:uid="{00000000-0005-0000-0000-0000F51B0000}"/>
    <cellStyle name="Percent 3 10 11 2" xfId="7113" xr:uid="{00000000-0005-0000-0000-0000F61B0000}"/>
    <cellStyle name="Percent 3 10 12" xfId="7114" xr:uid="{00000000-0005-0000-0000-0000F71B0000}"/>
    <cellStyle name="Percent 3 10 12 2" xfId="7115" xr:uid="{00000000-0005-0000-0000-0000F81B0000}"/>
    <cellStyle name="Percent 3 10 13" xfId="7116" xr:uid="{00000000-0005-0000-0000-0000F91B0000}"/>
    <cellStyle name="Percent 3 10 13 2" xfId="7117" xr:uid="{00000000-0005-0000-0000-0000FA1B0000}"/>
    <cellStyle name="Percent 3 10 14" xfId="7118" xr:uid="{00000000-0005-0000-0000-0000FB1B0000}"/>
    <cellStyle name="Percent 3 10 14 2" xfId="7119" xr:uid="{00000000-0005-0000-0000-0000FC1B0000}"/>
    <cellStyle name="Percent 3 10 15" xfId="7120" xr:uid="{00000000-0005-0000-0000-0000FD1B0000}"/>
    <cellStyle name="Percent 3 10 15 2" xfId="7121" xr:uid="{00000000-0005-0000-0000-0000FE1B0000}"/>
    <cellStyle name="Percent 3 10 16" xfId="7122" xr:uid="{00000000-0005-0000-0000-0000FF1B0000}"/>
    <cellStyle name="Percent 3 10 2" xfId="7123" xr:uid="{00000000-0005-0000-0000-0000001C0000}"/>
    <cellStyle name="Percent 3 10 2 2" xfId="7124" xr:uid="{00000000-0005-0000-0000-0000011C0000}"/>
    <cellStyle name="Percent 3 10 3" xfId="7125" xr:uid="{00000000-0005-0000-0000-0000021C0000}"/>
    <cellStyle name="Percent 3 10 3 2" xfId="7126" xr:uid="{00000000-0005-0000-0000-0000031C0000}"/>
    <cellStyle name="Percent 3 10 4" xfId="7127" xr:uid="{00000000-0005-0000-0000-0000041C0000}"/>
    <cellStyle name="Percent 3 10 4 2" xfId="7128" xr:uid="{00000000-0005-0000-0000-0000051C0000}"/>
    <cellStyle name="Percent 3 10 5" xfId="7129" xr:uid="{00000000-0005-0000-0000-0000061C0000}"/>
    <cellStyle name="Percent 3 10 5 2" xfId="7130" xr:uid="{00000000-0005-0000-0000-0000071C0000}"/>
    <cellStyle name="Percent 3 10 6" xfId="7131" xr:uid="{00000000-0005-0000-0000-0000081C0000}"/>
    <cellStyle name="Percent 3 10 6 2" xfId="7132" xr:uid="{00000000-0005-0000-0000-0000091C0000}"/>
    <cellStyle name="Percent 3 10 7" xfId="7133" xr:uid="{00000000-0005-0000-0000-00000A1C0000}"/>
    <cellStyle name="Percent 3 10 7 2" xfId="7134" xr:uid="{00000000-0005-0000-0000-00000B1C0000}"/>
    <cellStyle name="Percent 3 10 8" xfId="7135" xr:uid="{00000000-0005-0000-0000-00000C1C0000}"/>
    <cellStyle name="Percent 3 10 8 2" xfId="7136" xr:uid="{00000000-0005-0000-0000-00000D1C0000}"/>
    <cellStyle name="Percent 3 10 9" xfId="7137" xr:uid="{00000000-0005-0000-0000-00000E1C0000}"/>
    <cellStyle name="Percent 3 10 9 2" xfId="7138" xr:uid="{00000000-0005-0000-0000-00000F1C0000}"/>
    <cellStyle name="Percent 3 11" xfId="7139" xr:uid="{00000000-0005-0000-0000-0000101C0000}"/>
    <cellStyle name="Percent 3 11 2" xfId="7140" xr:uid="{00000000-0005-0000-0000-0000111C0000}"/>
    <cellStyle name="Percent 3 12" xfId="7141" xr:uid="{00000000-0005-0000-0000-0000121C0000}"/>
    <cellStyle name="Percent 3 12 2" xfId="7142" xr:uid="{00000000-0005-0000-0000-0000131C0000}"/>
    <cellStyle name="Percent 3 13" xfId="7143" xr:uid="{00000000-0005-0000-0000-0000141C0000}"/>
    <cellStyle name="Percent 3 13 2" xfId="7144" xr:uid="{00000000-0005-0000-0000-0000151C0000}"/>
    <cellStyle name="Percent 3 14" xfId="7145" xr:uid="{00000000-0005-0000-0000-0000161C0000}"/>
    <cellStyle name="Percent 3 14 2" xfId="7146" xr:uid="{00000000-0005-0000-0000-0000171C0000}"/>
    <cellStyle name="Percent 3 15" xfId="7147" xr:uid="{00000000-0005-0000-0000-0000181C0000}"/>
    <cellStyle name="Percent 3 15 2" xfId="7148" xr:uid="{00000000-0005-0000-0000-0000191C0000}"/>
    <cellStyle name="Percent 3 16" xfId="7149" xr:uid="{00000000-0005-0000-0000-00001A1C0000}"/>
    <cellStyle name="Percent 3 16 2" xfId="7150" xr:uid="{00000000-0005-0000-0000-00001B1C0000}"/>
    <cellStyle name="Percent 3 17" xfId="7151" xr:uid="{00000000-0005-0000-0000-00001C1C0000}"/>
    <cellStyle name="Percent 3 17 2" xfId="7152" xr:uid="{00000000-0005-0000-0000-00001D1C0000}"/>
    <cellStyle name="Percent 3 18" xfId="7153" xr:uid="{00000000-0005-0000-0000-00001E1C0000}"/>
    <cellStyle name="Percent 3 18 2" xfId="7154" xr:uid="{00000000-0005-0000-0000-00001F1C0000}"/>
    <cellStyle name="Percent 3 19" xfId="7155" xr:uid="{00000000-0005-0000-0000-0000201C0000}"/>
    <cellStyle name="Percent 3 19 2" xfId="7156" xr:uid="{00000000-0005-0000-0000-0000211C0000}"/>
    <cellStyle name="Percent 3 2" xfId="7157" xr:uid="{00000000-0005-0000-0000-0000221C0000}"/>
    <cellStyle name="Percent 3 2 10" xfId="7158" xr:uid="{00000000-0005-0000-0000-0000231C0000}"/>
    <cellStyle name="Percent 3 2 10 2" xfId="7159" xr:uid="{00000000-0005-0000-0000-0000241C0000}"/>
    <cellStyle name="Percent 3 2 11" xfId="7160" xr:uid="{00000000-0005-0000-0000-0000251C0000}"/>
    <cellStyle name="Percent 3 2 11 2" xfId="7161" xr:uid="{00000000-0005-0000-0000-0000261C0000}"/>
    <cellStyle name="Percent 3 2 12" xfId="7162" xr:uid="{00000000-0005-0000-0000-0000271C0000}"/>
    <cellStyle name="Percent 3 2 12 2" xfId="7163" xr:uid="{00000000-0005-0000-0000-0000281C0000}"/>
    <cellStyle name="Percent 3 2 13" xfId="7164" xr:uid="{00000000-0005-0000-0000-0000291C0000}"/>
    <cellStyle name="Percent 3 2 13 2" xfId="7165" xr:uid="{00000000-0005-0000-0000-00002A1C0000}"/>
    <cellStyle name="Percent 3 2 14" xfId="7166" xr:uid="{00000000-0005-0000-0000-00002B1C0000}"/>
    <cellStyle name="Percent 3 2 14 2" xfId="7167" xr:uid="{00000000-0005-0000-0000-00002C1C0000}"/>
    <cellStyle name="Percent 3 2 15" xfId="7168" xr:uid="{00000000-0005-0000-0000-00002D1C0000}"/>
    <cellStyle name="Percent 3 2 15 2" xfId="7169" xr:uid="{00000000-0005-0000-0000-00002E1C0000}"/>
    <cellStyle name="Percent 3 2 16" xfId="7170" xr:uid="{00000000-0005-0000-0000-00002F1C0000}"/>
    <cellStyle name="Percent 3 2 16 2" xfId="7171" xr:uid="{00000000-0005-0000-0000-0000301C0000}"/>
    <cellStyle name="Percent 3 2 17" xfId="7172" xr:uid="{00000000-0005-0000-0000-0000311C0000}"/>
    <cellStyle name="Percent 3 2 17 2" xfId="7173" xr:uid="{00000000-0005-0000-0000-0000321C0000}"/>
    <cellStyle name="Percent 3 2 18" xfId="7174" xr:uid="{00000000-0005-0000-0000-0000331C0000}"/>
    <cellStyle name="Percent 3 2 18 2" xfId="7175" xr:uid="{00000000-0005-0000-0000-0000341C0000}"/>
    <cellStyle name="Percent 3 2 2" xfId="7176" xr:uid="{00000000-0005-0000-0000-0000351C0000}"/>
    <cellStyle name="Percent 3 2 2 2" xfId="7177" xr:uid="{00000000-0005-0000-0000-0000361C0000}"/>
    <cellStyle name="Percent 3 2 2 2 2" xfId="7178" xr:uid="{00000000-0005-0000-0000-0000371C0000}"/>
    <cellStyle name="Percent 3 2 2 2 2 2" xfId="7179" xr:uid="{00000000-0005-0000-0000-0000381C0000}"/>
    <cellStyle name="Percent 3 2 2 2 3" xfId="7180" xr:uid="{00000000-0005-0000-0000-0000391C0000}"/>
    <cellStyle name="Percent 3 2 2 2 3 2" xfId="7181" xr:uid="{00000000-0005-0000-0000-00003A1C0000}"/>
    <cellStyle name="Percent 3 2 2 2 4" xfId="7182" xr:uid="{00000000-0005-0000-0000-00003B1C0000}"/>
    <cellStyle name="Percent 3 2 2 3" xfId="7183" xr:uid="{00000000-0005-0000-0000-00003C1C0000}"/>
    <cellStyle name="Percent 3 2 2 3 2" xfId="7184" xr:uid="{00000000-0005-0000-0000-00003D1C0000}"/>
    <cellStyle name="Percent 3 2 2 4" xfId="7185" xr:uid="{00000000-0005-0000-0000-00003E1C0000}"/>
    <cellStyle name="Percent 3 2 2 4 2" xfId="7186" xr:uid="{00000000-0005-0000-0000-00003F1C0000}"/>
    <cellStyle name="Percent 3 2 3" xfId="7187" xr:uid="{00000000-0005-0000-0000-0000401C0000}"/>
    <cellStyle name="Percent 3 2 3 2" xfId="7188" xr:uid="{00000000-0005-0000-0000-0000411C0000}"/>
    <cellStyle name="Percent 3 2 3 2 2" xfId="7189" xr:uid="{00000000-0005-0000-0000-0000421C0000}"/>
    <cellStyle name="Percent 3 2 3 3" xfId="7190" xr:uid="{00000000-0005-0000-0000-0000431C0000}"/>
    <cellStyle name="Percent 3 2 3 3 2" xfId="7191" xr:uid="{00000000-0005-0000-0000-0000441C0000}"/>
    <cellStyle name="Percent 3 2 3 4" xfId="7192" xr:uid="{00000000-0005-0000-0000-0000451C0000}"/>
    <cellStyle name="Percent 3 2 3 4 2" xfId="7193" xr:uid="{00000000-0005-0000-0000-0000461C0000}"/>
    <cellStyle name="Percent 3 2 4" xfId="7194" xr:uid="{00000000-0005-0000-0000-0000471C0000}"/>
    <cellStyle name="Percent 3 2 4 2" xfId="7195" xr:uid="{00000000-0005-0000-0000-0000481C0000}"/>
    <cellStyle name="Percent 3 2 5" xfId="7196" xr:uid="{00000000-0005-0000-0000-0000491C0000}"/>
    <cellStyle name="Percent 3 2 5 2" xfId="7197" xr:uid="{00000000-0005-0000-0000-00004A1C0000}"/>
    <cellStyle name="Percent 3 2 6" xfId="7198" xr:uid="{00000000-0005-0000-0000-00004B1C0000}"/>
    <cellStyle name="Percent 3 2 6 2" xfId="7199" xr:uid="{00000000-0005-0000-0000-00004C1C0000}"/>
    <cellStyle name="Percent 3 2 7" xfId="7200" xr:uid="{00000000-0005-0000-0000-00004D1C0000}"/>
    <cellStyle name="Percent 3 2 7 2" xfId="7201" xr:uid="{00000000-0005-0000-0000-00004E1C0000}"/>
    <cellStyle name="Percent 3 2 8" xfId="7202" xr:uid="{00000000-0005-0000-0000-00004F1C0000}"/>
    <cellStyle name="Percent 3 2 8 2" xfId="7203" xr:uid="{00000000-0005-0000-0000-0000501C0000}"/>
    <cellStyle name="Percent 3 2 9" xfId="7204" xr:uid="{00000000-0005-0000-0000-0000511C0000}"/>
    <cellStyle name="Percent 3 2 9 2" xfId="7205" xr:uid="{00000000-0005-0000-0000-0000521C0000}"/>
    <cellStyle name="Percent 3 20" xfId="7206" xr:uid="{00000000-0005-0000-0000-0000531C0000}"/>
    <cellStyle name="Percent 3 20 2" xfId="7207" xr:uid="{00000000-0005-0000-0000-0000541C0000}"/>
    <cellStyle name="Percent 3 21" xfId="7208" xr:uid="{00000000-0005-0000-0000-0000551C0000}"/>
    <cellStyle name="Percent 3 21 2" xfId="7209" xr:uid="{00000000-0005-0000-0000-0000561C0000}"/>
    <cellStyle name="Percent 3 22" xfId="7210" xr:uid="{00000000-0005-0000-0000-0000571C0000}"/>
    <cellStyle name="Percent 3 22 2" xfId="7211" xr:uid="{00000000-0005-0000-0000-0000581C0000}"/>
    <cellStyle name="Percent 3 23" xfId="7212" xr:uid="{00000000-0005-0000-0000-0000591C0000}"/>
    <cellStyle name="Percent 3 23 2" xfId="7213" xr:uid="{00000000-0005-0000-0000-00005A1C0000}"/>
    <cellStyle name="Percent 3 24" xfId="7214" xr:uid="{00000000-0005-0000-0000-00005B1C0000}"/>
    <cellStyle name="Percent 3 24 2" xfId="7215" xr:uid="{00000000-0005-0000-0000-00005C1C0000}"/>
    <cellStyle name="Percent 3 25" xfId="7216" xr:uid="{00000000-0005-0000-0000-00005D1C0000}"/>
    <cellStyle name="Percent 3 25 2" xfId="7217" xr:uid="{00000000-0005-0000-0000-00005E1C0000}"/>
    <cellStyle name="Percent 3 26" xfId="7218" xr:uid="{00000000-0005-0000-0000-00005F1C0000}"/>
    <cellStyle name="Percent 3 26 2" xfId="7219" xr:uid="{00000000-0005-0000-0000-0000601C0000}"/>
    <cellStyle name="Percent 3 27" xfId="7220" xr:uid="{00000000-0005-0000-0000-0000611C0000}"/>
    <cellStyle name="Percent 3 27 2" xfId="7221" xr:uid="{00000000-0005-0000-0000-0000621C0000}"/>
    <cellStyle name="Percent 3 28" xfId="7222" xr:uid="{00000000-0005-0000-0000-0000631C0000}"/>
    <cellStyle name="Percent 3 28 2" xfId="7223" xr:uid="{00000000-0005-0000-0000-0000641C0000}"/>
    <cellStyle name="Percent 3 29" xfId="7224" xr:uid="{00000000-0005-0000-0000-0000651C0000}"/>
    <cellStyle name="Percent 3 29 2" xfId="7225" xr:uid="{00000000-0005-0000-0000-0000661C0000}"/>
    <cellStyle name="Percent 3 3" xfId="7226" xr:uid="{00000000-0005-0000-0000-0000671C0000}"/>
    <cellStyle name="Percent 3 3 10" xfId="7227" xr:uid="{00000000-0005-0000-0000-0000681C0000}"/>
    <cellStyle name="Percent 3 3 10 2" xfId="7228" xr:uid="{00000000-0005-0000-0000-0000691C0000}"/>
    <cellStyle name="Percent 3 3 11" xfId="7229" xr:uid="{00000000-0005-0000-0000-00006A1C0000}"/>
    <cellStyle name="Percent 3 3 11 2" xfId="7230" xr:uid="{00000000-0005-0000-0000-00006B1C0000}"/>
    <cellStyle name="Percent 3 3 12" xfId="7231" xr:uid="{00000000-0005-0000-0000-00006C1C0000}"/>
    <cellStyle name="Percent 3 3 12 2" xfId="7232" xr:uid="{00000000-0005-0000-0000-00006D1C0000}"/>
    <cellStyle name="Percent 3 3 13" xfId="7233" xr:uid="{00000000-0005-0000-0000-00006E1C0000}"/>
    <cellStyle name="Percent 3 3 13 2" xfId="7234" xr:uid="{00000000-0005-0000-0000-00006F1C0000}"/>
    <cellStyle name="Percent 3 3 14" xfId="7235" xr:uid="{00000000-0005-0000-0000-0000701C0000}"/>
    <cellStyle name="Percent 3 3 14 2" xfId="7236" xr:uid="{00000000-0005-0000-0000-0000711C0000}"/>
    <cellStyle name="Percent 3 3 15" xfId="7237" xr:uid="{00000000-0005-0000-0000-0000721C0000}"/>
    <cellStyle name="Percent 3 3 15 2" xfId="7238" xr:uid="{00000000-0005-0000-0000-0000731C0000}"/>
    <cellStyle name="Percent 3 3 16" xfId="7239" xr:uid="{00000000-0005-0000-0000-0000741C0000}"/>
    <cellStyle name="Percent 3 3 16 2" xfId="7240" xr:uid="{00000000-0005-0000-0000-0000751C0000}"/>
    <cellStyle name="Percent 3 3 2" xfId="7241" xr:uid="{00000000-0005-0000-0000-0000761C0000}"/>
    <cellStyle name="Percent 3 3 2 2" xfId="7242" xr:uid="{00000000-0005-0000-0000-0000771C0000}"/>
    <cellStyle name="Percent 3 3 2 2 2" xfId="7243" xr:uid="{00000000-0005-0000-0000-0000781C0000}"/>
    <cellStyle name="Percent 3 3 3" xfId="7244" xr:uid="{00000000-0005-0000-0000-0000791C0000}"/>
    <cellStyle name="Percent 3 3 3 2" xfId="7245" xr:uid="{00000000-0005-0000-0000-00007A1C0000}"/>
    <cellStyle name="Percent 3 3 3 2 2" xfId="7246" xr:uid="{00000000-0005-0000-0000-00007B1C0000}"/>
    <cellStyle name="Percent 3 3 3 2 2 2" xfId="7247" xr:uid="{00000000-0005-0000-0000-00007C1C0000}"/>
    <cellStyle name="Percent 3 3 3 3" xfId="7248" xr:uid="{00000000-0005-0000-0000-00007D1C0000}"/>
    <cellStyle name="Percent 3 3 3 3 2" xfId="7249" xr:uid="{00000000-0005-0000-0000-00007E1C0000}"/>
    <cellStyle name="Percent 3 3 3 3 2 2" xfId="7250" xr:uid="{00000000-0005-0000-0000-00007F1C0000}"/>
    <cellStyle name="Percent 3 3 3 3 3" xfId="7251" xr:uid="{00000000-0005-0000-0000-0000801C0000}"/>
    <cellStyle name="Percent 3 3 3 3 3 2" xfId="7252" xr:uid="{00000000-0005-0000-0000-0000811C0000}"/>
    <cellStyle name="Percent 3 3 3 3 4" xfId="7253" xr:uid="{00000000-0005-0000-0000-0000821C0000}"/>
    <cellStyle name="Percent 3 3 3 3 4 2" xfId="7254" xr:uid="{00000000-0005-0000-0000-0000831C0000}"/>
    <cellStyle name="Percent 3 3 3 3 4 2 2" xfId="7255" xr:uid="{00000000-0005-0000-0000-0000841C0000}"/>
    <cellStyle name="Percent 3 3 3 3 4 3" xfId="7256" xr:uid="{00000000-0005-0000-0000-0000851C0000}"/>
    <cellStyle name="Percent 3 3 3 3 5" xfId="7257" xr:uid="{00000000-0005-0000-0000-0000861C0000}"/>
    <cellStyle name="Percent 3 3 3 4" xfId="7258" xr:uid="{00000000-0005-0000-0000-0000871C0000}"/>
    <cellStyle name="Percent 3 3 3 4 2" xfId="7259" xr:uid="{00000000-0005-0000-0000-0000881C0000}"/>
    <cellStyle name="Percent 3 3 4" xfId="7260" xr:uid="{00000000-0005-0000-0000-0000891C0000}"/>
    <cellStyle name="Percent 3 3 4 2" xfId="7261" xr:uid="{00000000-0005-0000-0000-00008A1C0000}"/>
    <cellStyle name="Percent 3 3 4 2 2" xfId="7262" xr:uid="{00000000-0005-0000-0000-00008B1C0000}"/>
    <cellStyle name="Percent 3 3 4 3" xfId="7263" xr:uid="{00000000-0005-0000-0000-00008C1C0000}"/>
    <cellStyle name="Percent 3 3 5" xfId="7264" xr:uid="{00000000-0005-0000-0000-00008D1C0000}"/>
    <cellStyle name="Percent 3 3 5 2" xfId="7265" xr:uid="{00000000-0005-0000-0000-00008E1C0000}"/>
    <cellStyle name="Percent 3 3 6" xfId="7266" xr:uid="{00000000-0005-0000-0000-00008F1C0000}"/>
    <cellStyle name="Percent 3 3 6 2" xfId="7267" xr:uid="{00000000-0005-0000-0000-0000901C0000}"/>
    <cellStyle name="Percent 3 3 6 2 2" xfId="7268" xr:uid="{00000000-0005-0000-0000-0000911C0000}"/>
    <cellStyle name="Percent 3 3 6 3" xfId="7269" xr:uid="{00000000-0005-0000-0000-0000921C0000}"/>
    <cellStyle name="Percent 3 3 7" xfId="7270" xr:uid="{00000000-0005-0000-0000-0000931C0000}"/>
    <cellStyle name="Percent 3 3 7 2" xfId="7271" xr:uid="{00000000-0005-0000-0000-0000941C0000}"/>
    <cellStyle name="Percent 3 3 8" xfId="7272" xr:uid="{00000000-0005-0000-0000-0000951C0000}"/>
    <cellStyle name="Percent 3 3 8 2" xfId="7273" xr:uid="{00000000-0005-0000-0000-0000961C0000}"/>
    <cellStyle name="Percent 3 3 9" xfId="7274" xr:uid="{00000000-0005-0000-0000-0000971C0000}"/>
    <cellStyle name="Percent 3 3 9 2" xfId="7275" xr:uid="{00000000-0005-0000-0000-0000981C0000}"/>
    <cellStyle name="Percent 3 30" xfId="7276" xr:uid="{00000000-0005-0000-0000-0000991C0000}"/>
    <cellStyle name="Percent 3 30 2" xfId="7277" xr:uid="{00000000-0005-0000-0000-00009A1C0000}"/>
    <cellStyle name="Percent 3 4" xfId="7278" xr:uid="{00000000-0005-0000-0000-00009B1C0000}"/>
    <cellStyle name="Percent 3 4 10" xfId="7279" xr:uid="{00000000-0005-0000-0000-00009C1C0000}"/>
    <cellStyle name="Percent 3 4 10 2" xfId="7280" xr:uid="{00000000-0005-0000-0000-00009D1C0000}"/>
    <cellStyle name="Percent 3 4 11" xfId="7281" xr:uid="{00000000-0005-0000-0000-00009E1C0000}"/>
    <cellStyle name="Percent 3 4 11 2" xfId="7282" xr:uid="{00000000-0005-0000-0000-00009F1C0000}"/>
    <cellStyle name="Percent 3 4 12" xfId="7283" xr:uid="{00000000-0005-0000-0000-0000A01C0000}"/>
    <cellStyle name="Percent 3 4 12 2" xfId="7284" xr:uid="{00000000-0005-0000-0000-0000A11C0000}"/>
    <cellStyle name="Percent 3 4 13" xfId="7285" xr:uid="{00000000-0005-0000-0000-0000A21C0000}"/>
    <cellStyle name="Percent 3 4 13 2" xfId="7286" xr:uid="{00000000-0005-0000-0000-0000A31C0000}"/>
    <cellStyle name="Percent 3 4 14" xfId="7287" xr:uid="{00000000-0005-0000-0000-0000A41C0000}"/>
    <cellStyle name="Percent 3 4 14 2" xfId="7288" xr:uid="{00000000-0005-0000-0000-0000A51C0000}"/>
    <cellStyle name="Percent 3 4 15" xfId="7289" xr:uid="{00000000-0005-0000-0000-0000A61C0000}"/>
    <cellStyle name="Percent 3 4 15 2" xfId="7290" xr:uid="{00000000-0005-0000-0000-0000A71C0000}"/>
    <cellStyle name="Percent 3 4 16" xfId="7291" xr:uid="{00000000-0005-0000-0000-0000A81C0000}"/>
    <cellStyle name="Percent 3 4 16 2" xfId="7292" xr:uid="{00000000-0005-0000-0000-0000A91C0000}"/>
    <cellStyle name="Percent 3 4 2" xfId="7293" xr:uid="{00000000-0005-0000-0000-0000AA1C0000}"/>
    <cellStyle name="Percent 3 4 2 2" xfId="7294" xr:uid="{00000000-0005-0000-0000-0000AB1C0000}"/>
    <cellStyle name="Percent 3 4 2 2 2" xfId="7295" xr:uid="{00000000-0005-0000-0000-0000AC1C0000}"/>
    <cellStyle name="Percent 3 4 3" xfId="7296" xr:uid="{00000000-0005-0000-0000-0000AD1C0000}"/>
    <cellStyle name="Percent 3 4 3 2" xfId="7297" xr:uid="{00000000-0005-0000-0000-0000AE1C0000}"/>
    <cellStyle name="Percent 3 4 4" xfId="7298" xr:uid="{00000000-0005-0000-0000-0000AF1C0000}"/>
    <cellStyle name="Percent 3 4 4 2" xfId="7299" xr:uid="{00000000-0005-0000-0000-0000B01C0000}"/>
    <cellStyle name="Percent 3 4 4 2 2" xfId="7300" xr:uid="{00000000-0005-0000-0000-0000B11C0000}"/>
    <cellStyle name="Percent 3 4 4 3" xfId="7301" xr:uid="{00000000-0005-0000-0000-0000B21C0000}"/>
    <cellStyle name="Percent 3 4 5" xfId="7302" xr:uid="{00000000-0005-0000-0000-0000B31C0000}"/>
    <cellStyle name="Percent 3 4 5 2" xfId="7303" xr:uid="{00000000-0005-0000-0000-0000B41C0000}"/>
    <cellStyle name="Percent 3 4 6" xfId="7304" xr:uid="{00000000-0005-0000-0000-0000B51C0000}"/>
    <cellStyle name="Percent 3 4 6 2" xfId="7305" xr:uid="{00000000-0005-0000-0000-0000B61C0000}"/>
    <cellStyle name="Percent 3 4 7" xfId="7306" xr:uid="{00000000-0005-0000-0000-0000B71C0000}"/>
    <cellStyle name="Percent 3 4 7 2" xfId="7307" xr:uid="{00000000-0005-0000-0000-0000B81C0000}"/>
    <cellStyle name="Percent 3 4 8" xfId="7308" xr:uid="{00000000-0005-0000-0000-0000B91C0000}"/>
    <cellStyle name="Percent 3 4 8 2" xfId="7309" xr:uid="{00000000-0005-0000-0000-0000BA1C0000}"/>
    <cellStyle name="Percent 3 4 9" xfId="7310" xr:uid="{00000000-0005-0000-0000-0000BB1C0000}"/>
    <cellStyle name="Percent 3 4 9 2" xfId="7311" xr:uid="{00000000-0005-0000-0000-0000BC1C0000}"/>
    <cellStyle name="Percent 3 5" xfId="7312" xr:uid="{00000000-0005-0000-0000-0000BD1C0000}"/>
    <cellStyle name="Percent 3 5 10" xfId="7313" xr:uid="{00000000-0005-0000-0000-0000BE1C0000}"/>
    <cellStyle name="Percent 3 5 10 2" xfId="7314" xr:uid="{00000000-0005-0000-0000-0000BF1C0000}"/>
    <cellStyle name="Percent 3 5 11" xfId="7315" xr:uid="{00000000-0005-0000-0000-0000C01C0000}"/>
    <cellStyle name="Percent 3 5 11 2" xfId="7316" xr:uid="{00000000-0005-0000-0000-0000C11C0000}"/>
    <cellStyle name="Percent 3 5 12" xfId="7317" xr:uid="{00000000-0005-0000-0000-0000C21C0000}"/>
    <cellStyle name="Percent 3 5 12 2" xfId="7318" xr:uid="{00000000-0005-0000-0000-0000C31C0000}"/>
    <cellStyle name="Percent 3 5 13" xfId="7319" xr:uid="{00000000-0005-0000-0000-0000C41C0000}"/>
    <cellStyle name="Percent 3 5 13 2" xfId="7320" xr:uid="{00000000-0005-0000-0000-0000C51C0000}"/>
    <cellStyle name="Percent 3 5 14" xfId="7321" xr:uid="{00000000-0005-0000-0000-0000C61C0000}"/>
    <cellStyle name="Percent 3 5 14 2" xfId="7322" xr:uid="{00000000-0005-0000-0000-0000C71C0000}"/>
    <cellStyle name="Percent 3 5 15" xfId="7323" xr:uid="{00000000-0005-0000-0000-0000C81C0000}"/>
    <cellStyle name="Percent 3 5 15 2" xfId="7324" xr:uid="{00000000-0005-0000-0000-0000C91C0000}"/>
    <cellStyle name="Percent 3 5 16" xfId="7325" xr:uid="{00000000-0005-0000-0000-0000CA1C0000}"/>
    <cellStyle name="Percent 3 5 16 2" xfId="7326" xr:uid="{00000000-0005-0000-0000-0000CB1C0000}"/>
    <cellStyle name="Percent 3 5 17" xfId="7327" xr:uid="{00000000-0005-0000-0000-0000CC1C0000}"/>
    <cellStyle name="Percent 3 5 17 2" xfId="7328" xr:uid="{00000000-0005-0000-0000-0000CD1C0000}"/>
    <cellStyle name="Percent 3 5 18" xfId="7329" xr:uid="{00000000-0005-0000-0000-0000CE1C0000}"/>
    <cellStyle name="Percent 3 5 18 2" xfId="7330" xr:uid="{00000000-0005-0000-0000-0000CF1C0000}"/>
    <cellStyle name="Percent 3 5 19" xfId="7331" xr:uid="{00000000-0005-0000-0000-0000D01C0000}"/>
    <cellStyle name="Percent 3 5 2" xfId="7332" xr:uid="{00000000-0005-0000-0000-0000D11C0000}"/>
    <cellStyle name="Percent 3 5 2 2" xfId="7333" xr:uid="{00000000-0005-0000-0000-0000D21C0000}"/>
    <cellStyle name="Percent 3 5 2 3" xfId="7334" xr:uid="{00000000-0005-0000-0000-0000D31C0000}"/>
    <cellStyle name="Percent 3 5 3" xfId="7335" xr:uid="{00000000-0005-0000-0000-0000D41C0000}"/>
    <cellStyle name="Percent 3 5 3 2" xfId="7336" xr:uid="{00000000-0005-0000-0000-0000D51C0000}"/>
    <cellStyle name="Percent 3 5 4" xfId="7337" xr:uid="{00000000-0005-0000-0000-0000D61C0000}"/>
    <cellStyle name="Percent 3 5 4 2" xfId="7338" xr:uid="{00000000-0005-0000-0000-0000D71C0000}"/>
    <cellStyle name="Percent 3 5 5" xfId="7339" xr:uid="{00000000-0005-0000-0000-0000D81C0000}"/>
    <cellStyle name="Percent 3 5 5 2" xfId="7340" xr:uid="{00000000-0005-0000-0000-0000D91C0000}"/>
    <cellStyle name="Percent 3 5 6" xfId="7341" xr:uid="{00000000-0005-0000-0000-0000DA1C0000}"/>
    <cellStyle name="Percent 3 5 6 2" xfId="7342" xr:uid="{00000000-0005-0000-0000-0000DB1C0000}"/>
    <cellStyle name="Percent 3 5 7" xfId="7343" xr:uid="{00000000-0005-0000-0000-0000DC1C0000}"/>
    <cellStyle name="Percent 3 5 7 2" xfId="7344" xr:uid="{00000000-0005-0000-0000-0000DD1C0000}"/>
    <cellStyle name="Percent 3 5 8" xfId="7345" xr:uid="{00000000-0005-0000-0000-0000DE1C0000}"/>
    <cellStyle name="Percent 3 5 8 2" xfId="7346" xr:uid="{00000000-0005-0000-0000-0000DF1C0000}"/>
    <cellStyle name="Percent 3 5 9" xfId="7347" xr:uid="{00000000-0005-0000-0000-0000E01C0000}"/>
    <cellStyle name="Percent 3 5 9 2" xfId="7348" xr:uid="{00000000-0005-0000-0000-0000E11C0000}"/>
    <cellStyle name="Percent 3 6" xfId="7349" xr:uid="{00000000-0005-0000-0000-0000E21C0000}"/>
    <cellStyle name="Percent 3 6 10" xfId="7350" xr:uid="{00000000-0005-0000-0000-0000E31C0000}"/>
    <cellStyle name="Percent 3 6 10 2" xfId="7351" xr:uid="{00000000-0005-0000-0000-0000E41C0000}"/>
    <cellStyle name="Percent 3 6 11" xfId="7352" xr:uid="{00000000-0005-0000-0000-0000E51C0000}"/>
    <cellStyle name="Percent 3 6 11 2" xfId="7353" xr:uid="{00000000-0005-0000-0000-0000E61C0000}"/>
    <cellStyle name="Percent 3 6 12" xfId="7354" xr:uid="{00000000-0005-0000-0000-0000E71C0000}"/>
    <cellStyle name="Percent 3 6 12 2" xfId="7355" xr:uid="{00000000-0005-0000-0000-0000E81C0000}"/>
    <cellStyle name="Percent 3 6 13" xfId="7356" xr:uid="{00000000-0005-0000-0000-0000E91C0000}"/>
    <cellStyle name="Percent 3 6 13 2" xfId="7357" xr:uid="{00000000-0005-0000-0000-0000EA1C0000}"/>
    <cellStyle name="Percent 3 6 14" xfId="7358" xr:uid="{00000000-0005-0000-0000-0000EB1C0000}"/>
    <cellStyle name="Percent 3 6 14 2" xfId="7359" xr:uid="{00000000-0005-0000-0000-0000EC1C0000}"/>
    <cellStyle name="Percent 3 6 15" xfId="7360" xr:uid="{00000000-0005-0000-0000-0000ED1C0000}"/>
    <cellStyle name="Percent 3 6 15 2" xfId="7361" xr:uid="{00000000-0005-0000-0000-0000EE1C0000}"/>
    <cellStyle name="Percent 3 6 16" xfId="7362" xr:uid="{00000000-0005-0000-0000-0000EF1C0000}"/>
    <cellStyle name="Percent 3 6 16 2" xfId="7363" xr:uid="{00000000-0005-0000-0000-0000F01C0000}"/>
    <cellStyle name="Percent 3 6 2" xfId="7364" xr:uid="{00000000-0005-0000-0000-0000F11C0000}"/>
    <cellStyle name="Percent 3 6 2 2" xfId="7365" xr:uid="{00000000-0005-0000-0000-0000F21C0000}"/>
    <cellStyle name="Percent 3 6 2 2 2" xfId="7366" xr:uid="{00000000-0005-0000-0000-0000F31C0000}"/>
    <cellStyle name="Percent 3 6 3" xfId="7367" xr:uid="{00000000-0005-0000-0000-0000F41C0000}"/>
    <cellStyle name="Percent 3 6 3 2" xfId="7368" xr:uid="{00000000-0005-0000-0000-0000F51C0000}"/>
    <cellStyle name="Percent 3 6 3 2 2" xfId="7369" xr:uid="{00000000-0005-0000-0000-0000F61C0000}"/>
    <cellStyle name="Percent 3 6 4" xfId="7370" xr:uid="{00000000-0005-0000-0000-0000F71C0000}"/>
    <cellStyle name="Percent 3 6 4 2" xfId="7371" xr:uid="{00000000-0005-0000-0000-0000F81C0000}"/>
    <cellStyle name="Percent 3 6 5" xfId="7372" xr:uid="{00000000-0005-0000-0000-0000F91C0000}"/>
    <cellStyle name="Percent 3 6 5 2" xfId="7373" xr:uid="{00000000-0005-0000-0000-0000FA1C0000}"/>
    <cellStyle name="Percent 3 6 6" xfId="7374" xr:uid="{00000000-0005-0000-0000-0000FB1C0000}"/>
    <cellStyle name="Percent 3 6 6 2" xfId="7375" xr:uid="{00000000-0005-0000-0000-0000FC1C0000}"/>
    <cellStyle name="Percent 3 6 7" xfId="7376" xr:uid="{00000000-0005-0000-0000-0000FD1C0000}"/>
    <cellStyle name="Percent 3 6 7 2" xfId="7377" xr:uid="{00000000-0005-0000-0000-0000FE1C0000}"/>
    <cellStyle name="Percent 3 6 8" xfId="7378" xr:uid="{00000000-0005-0000-0000-0000FF1C0000}"/>
    <cellStyle name="Percent 3 6 8 2" xfId="7379" xr:uid="{00000000-0005-0000-0000-0000001D0000}"/>
    <cellStyle name="Percent 3 6 9" xfId="7380" xr:uid="{00000000-0005-0000-0000-0000011D0000}"/>
    <cellStyle name="Percent 3 6 9 2" xfId="7381" xr:uid="{00000000-0005-0000-0000-0000021D0000}"/>
    <cellStyle name="Percent 3 7" xfId="7382" xr:uid="{00000000-0005-0000-0000-0000031D0000}"/>
    <cellStyle name="Percent 3 7 10" xfId="7383" xr:uid="{00000000-0005-0000-0000-0000041D0000}"/>
    <cellStyle name="Percent 3 7 10 2" xfId="7384" xr:uid="{00000000-0005-0000-0000-0000051D0000}"/>
    <cellStyle name="Percent 3 7 11" xfId="7385" xr:uid="{00000000-0005-0000-0000-0000061D0000}"/>
    <cellStyle name="Percent 3 7 11 2" xfId="7386" xr:uid="{00000000-0005-0000-0000-0000071D0000}"/>
    <cellStyle name="Percent 3 7 12" xfId="7387" xr:uid="{00000000-0005-0000-0000-0000081D0000}"/>
    <cellStyle name="Percent 3 7 12 2" xfId="7388" xr:uid="{00000000-0005-0000-0000-0000091D0000}"/>
    <cellStyle name="Percent 3 7 13" xfId="7389" xr:uid="{00000000-0005-0000-0000-00000A1D0000}"/>
    <cellStyle name="Percent 3 7 13 2" xfId="7390" xr:uid="{00000000-0005-0000-0000-00000B1D0000}"/>
    <cellStyle name="Percent 3 7 14" xfId="7391" xr:uid="{00000000-0005-0000-0000-00000C1D0000}"/>
    <cellStyle name="Percent 3 7 14 2" xfId="7392" xr:uid="{00000000-0005-0000-0000-00000D1D0000}"/>
    <cellStyle name="Percent 3 7 15" xfId="7393" xr:uid="{00000000-0005-0000-0000-00000E1D0000}"/>
    <cellStyle name="Percent 3 7 15 2" xfId="7394" xr:uid="{00000000-0005-0000-0000-00000F1D0000}"/>
    <cellStyle name="Percent 3 7 16" xfId="7395" xr:uid="{00000000-0005-0000-0000-0000101D0000}"/>
    <cellStyle name="Percent 3 7 16 2" xfId="7396" xr:uid="{00000000-0005-0000-0000-0000111D0000}"/>
    <cellStyle name="Percent 3 7 17" xfId="7397" xr:uid="{00000000-0005-0000-0000-0000121D0000}"/>
    <cellStyle name="Percent 3 7 2" xfId="7398" xr:uid="{00000000-0005-0000-0000-0000131D0000}"/>
    <cellStyle name="Percent 3 7 2 2" xfId="7399" xr:uid="{00000000-0005-0000-0000-0000141D0000}"/>
    <cellStyle name="Percent 3 7 3" xfId="7400" xr:uid="{00000000-0005-0000-0000-0000151D0000}"/>
    <cellStyle name="Percent 3 7 3 2" xfId="7401" xr:uid="{00000000-0005-0000-0000-0000161D0000}"/>
    <cellStyle name="Percent 3 7 4" xfId="7402" xr:uid="{00000000-0005-0000-0000-0000171D0000}"/>
    <cellStyle name="Percent 3 7 4 2" xfId="7403" xr:uid="{00000000-0005-0000-0000-0000181D0000}"/>
    <cellStyle name="Percent 3 7 5" xfId="7404" xr:uid="{00000000-0005-0000-0000-0000191D0000}"/>
    <cellStyle name="Percent 3 7 5 2" xfId="7405" xr:uid="{00000000-0005-0000-0000-00001A1D0000}"/>
    <cellStyle name="Percent 3 7 6" xfId="7406" xr:uid="{00000000-0005-0000-0000-00001B1D0000}"/>
    <cellStyle name="Percent 3 7 6 2" xfId="7407" xr:uid="{00000000-0005-0000-0000-00001C1D0000}"/>
    <cellStyle name="Percent 3 7 7" xfId="7408" xr:uid="{00000000-0005-0000-0000-00001D1D0000}"/>
    <cellStyle name="Percent 3 7 7 2" xfId="7409" xr:uid="{00000000-0005-0000-0000-00001E1D0000}"/>
    <cellStyle name="Percent 3 7 8" xfId="7410" xr:uid="{00000000-0005-0000-0000-00001F1D0000}"/>
    <cellStyle name="Percent 3 7 8 2" xfId="7411" xr:uid="{00000000-0005-0000-0000-0000201D0000}"/>
    <cellStyle name="Percent 3 7 9" xfId="7412" xr:uid="{00000000-0005-0000-0000-0000211D0000}"/>
    <cellStyle name="Percent 3 7 9 2" xfId="7413" xr:uid="{00000000-0005-0000-0000-0000221D0000}"/>
    <cellStyle name="Percent 3 8" xfId="7414" xr:uid="{00000000-0005-0000-0000-0000231D0000}"/>
    <cellStyle name="Percent 3 8 10" xfId="7415" xr:uid="{00000000-0005-0000-0000-0000241D0000}"/>
    <cellStyle name="Percent 3 8 10 2" xfId="7416" xr:uid="{00000000-0005-0000-0000-0000251D0000}"/>
    <cellStyle name="Percent 3 8 11" xfId="7417" xr:uid="{00000000-0005-0000-0000-0000261D0000}"/>
    <cellStyle name="Percent 3 8 11 2" xfId="7418" xr:uid="{00000000-0005-0000-0000-0000271D0000}"/>
    <cellStyle name="Percent 3 8 12" xfId="7419" xr:uid="{00000000-0005-0000-0000-0000281D0000}"/>
    <cellStyle name="Percent 3 8 12 2" xfId="7420" xr:uid="{00000000-0005-0000-0000-0000291D0000}"/>
    <cellStyle name="Percent 3 8 13" xfId="7421" xr:uid="{00000000-0005-0000-0000-00002A1D0000}"/>
    <cellStyle name="Percent 3 8 13 2" xfId="7422" xr:uid="{00000000-0005-0000-0000-00002B1D0000}"/>
    <cellStyle name="Percent 3 8 14" xfId="7423" xr:uid="{00000000-0005-0000-0000-00002C1D0000}"/>
    <cellStyle name="Percent 3 8 14 2" xfId="7424" xr:uid="{00000000-0005-0000-0000-00002D1D0000}"/>
    <cellStyle name="Percent 3 8 15" xfId="7425" xr:uid="{00000000-0005-0000-0000-00002E1D0000}"/>
    <cellStyle name="Percent 3 8 15 2" xfId="7426" xr:uid="{00000000-0005-0000-0000-00002F1D0000}"/>
    <cellStyle name="Percent 3 8 16" xfId="7427" xr:uid="{00000000-0005-0000-0000-0000301D0000}"/>
    <cellStyle name="Percent 3 8 17" xfId="7428" xr:uid="{00000000-0005-0000-0000-0000311D0000}"/>
    <cellStyle name="Percent 3 8 2" xfId="7429" xr:uid="{00000000-0005-0000-0000-0000321D0000}"/>
    <cellStyle name="Percent 3 8 2 2" xfId="7430" xr:uid="{00000000-0005-0000-0000-0000331D0000}"/>
    <cellStyle name="Percent 3 8 3" xfId="7431" xr:uid="{00000000-0005-0000-0000-0000341D0000}"/>
    <cellStyle name="Percent 3 8 3 2" xfId="7432" xr:uid="{00000000-0005-0000-0000-0000351D0000}"/>
    <cellStyle name="Percent 3 8 4" xfId="7433" xr:uid="{00000000-0005-0000-0000-0000361D0000}"/>
    <cellStyle name="Percent 3 8 4 2" xfId="7434" xr:uid="{00000000-0005-0000-0000-0000371D0000}"/>
    <cellStyle name="Percent 3 8 5" xfId="7435" xr:uid="{00000000-0005-0000-0000-0000381D0000}"/>
    <cellStyle name="Percent 3 8 5 2" xfId="7436" xr:uid="{00000000-0005-0000-0000-0000391D0000}"/>
    <cellStyle name="Percent 3 8 6" xfId="7437" xr:uid="{00000000-0005-0000-0000-00003A1D0000}"/>
    <cellStyle name="Percent 3 8 6 2" xfId="7438" xr:uid="{00000000-0005-0000-0000-00003B1D0000}"/>
    <cellStyle name="Percent 3 8 7" xfId="7439" xr:uid="{00000000-0005-0000-0000-00003C1D0000}"/>
    <cellStyle name="Percent 3 8 7 2" xfId="7440" xr:uid="{00000000-0005-0000-0000-00003D1D0000}"/>
    <cellStyle name="Percent 3 8 8" xfId="7441" xr:uid="{00000000-0005-0000-0000-00003E1D0000}"/>
    <cellStyle name="Percent 3 8 8 2" xfId="7442" xr:uid="{00000000-0005-0000-0000-00003F1D0000}"/>
    <cellStyle name="Percent 3 8 9" xfId="7443" xr:uid="{00000000-0005-0000-0000-0000401D0000}"/>
    <cellStyle name="Percent 3 8 9 2" xfId="7444" xr:uid="{00000000-0005-0000-0000-0000411D0000}"/>
    <cellStyle name="Percent 3 9" xfId="7445" xr:uid="{00000000-0005-0000-0000-0000421D0000}"/>
    <cellStyle name="Percent 3 9 10" xfId="7446" xr:uid="{00000000-0005-0000-0000-0000431D0000}"/>
    <cellStyle name="Percent 3 9 10 2" xfId="7447" xr:uid="{00000000-0005-0000-0000-0000441D0000}"/>
    <cellStyle name="Percent 3 9 11" xfId="7448" xr:uid="{00000000-0005-0000-0000-0000451D0000}"/>
    <cellStyle name="Percent 3 9 11 2" xfId="7449" xr:uid="{00000000-0005-0000-0000-0000461D0000}"/>
    <cellStyle name="Percent 3 9 12" xfId="7450" xr:uid="{00000000-0005-0000-0000-0000471D0000}"/>
    <cellStyle name="Percent 3 9 12 2" xfId="7451" xr:uid="{00000000-0005-0000-0000-0000481D0000}"/>
    <cellStyle name="Percent 3 9 13" xfId="7452" xr:uid="{00000000-0005-0000-0000-0000491D0000}"/>
    <cellStyle name="Percent 3 9 13 2" xfId="7453" xr:uid="{00000000-0005-0000-0000-00004A1D0000}"/>
    <cellStyle name="Percent 3 9 14" xfId="7454" xr:uid="{00000000-0005-0000-0000-00004B1D0000}"/>
    <cellStyle name="Percent 3 9 14 2" xfId="7455" xr:uid="{00000000-0005-0000-0000-00004C1D0000}"/>
    <cellStyle name="Percent 3 9 15" xfId="7456" xr:uid="{00000000-0005-0000-0000-00004D1D0000}"/>
    <cellStyle name="Percent 3 9 15 2" xfId="7457" xr:uid="{00000000-0005-0000-0000-00004E1D0000}"/>
    <cellStyle name="Percent 3 9 16" xfId="7458" xr:uid="{00000000-0005-0000-0000-00004F1D0000}"/>
    <cellStyle name="Percent 3 9 2" xfId="7459" xr:uid="{00000000-0005-0000-0000-0000501D0000}"/>
    <cellStyle name="Percent 3 9 2 2" xfId="7460" xr:uid="{00000000-0005-0000-0000-0000511D0000}"/>
    <cellStyle name="Percent 3 9 3" xfId="7461" xr:uid="{00000000-0005-0000-0000-0000521D0000}"/>
    <cellStyle name="Percent 3 9 3 2" xfId="7462" xr:uid="{00000000-0005-0000-0000-0000531D0000}"/>
    <cellStyle name="Percent 3 9 4" xfId="7463" xr:uid="{00000000-0005-0000-0000-0000541D0000}"/>
    <cellStyle name="Percent 3 9 4 2" xfId="7464" xr:uid="{00000000-0005-0000-0000-0000551D0000}"/>
    <cellStyle name="Percent 3 9 5" xfId="7465" xr:uid="{00000000-0005-0000-0000-0000561D0000}"/>
    <cellStyle name="Percent 3 9 5 2" xfId="7466" xr:uid="{00000000-0005-0000-0000-0000571D0000}"/>
    <cellStyle name="Percent 3 9 6" xfId="7467" xr:uid="{00000000-0005-0000-0000-0000581D0000}"/>
    <cellStyle name="Percent 3 9 6 2" xfId="7468" xr:uid="{00000000-0005-0000-0000-0000591D0000}"/>
    <cellStyle name="Percent 3 9 7" xfId="7469" xr:uid="{00000000-0005-0000-0000-00005A1D0000}"/>
    <cellStyle name="Percent 3 9 7 2" xfId="7470" xr:uid="{00000000-0005-0000-0000-00005B1D0000}"/>
    <cellStyle name="Percent 3 9 8" xfId="7471" xr:uid="{00000000-0005-0000-0000-00005C1D0000}"/>
    <cellStyle name="Percent 3 9 8 2" xfId="7472" xr:uid="{00000000-0005-0000-0000-00005D1D0000}"/>
    <cellStyle name="Percent 3 9 9" xfId="7473" xr:uid="{00000000-0005-0000-0000-00005E1D0000}"/>
    <cellStyle name="Percent 3 9 9 2" xfId="7474" xr:uid="{00000000-0005-0000-0000-00005F1D0000}"/>
    <cellStyle name="Percent 31" xfId="7475" xr:uid="{00000000-0005-0000-0000-0000601D0000}"/>
    <cellStyle name="Percent 31 2" xfId="7476" xr:uid="{00000000-0005-0000-0000-0000611D0000}"/>
    <cellStyle name="Percent 4" xfId="7477" xr:uid="{00000000-0005-0000-0000-0000621D0000}"/>
    <cellStyle name="Percent 4 10" xfId="7478" xr:uid="{00000000-0005-0000-0000-0000631D0000}"/>
    <cellStyle name="Percent 4 10 2" xfId="7479" xr:uid="{00000000-0005-0000-0000-0000641D0000}"/>
    <cellStyle name="Percent 4 10 3" xfId="7480" xr:uid="{00000000-0005-0000-0000-0000651D0000}"/>
    <cellStyle name="Percent 4 11" xfId="7481" xr:uid="{00000000-0005-0000-0000-0000661D0000}"/>
    <cellStyle name="Percent 4 11 2" xfId="7482" xr:uid="{00000000-0005-0000-0000-0000671D0000}"/>
    <cellStyle name="Percent 4 11 3" xfId="7483" xr:uid="{00000000-0005-0000-0000-0000681D0000}"/>
    <cellStyle name="Percent 4 12" xfId="7484" xr:uid="{00000000-0005-0000-0000-0000691D0000}"/>
    <cellStyle name="Percent 4 12 2" xfId="7485" xr:uid="{00000000-0005-0000-0000-00006A1D0000}"/>
    <cellStyle name="Percent 4 12 3" xfId="7486" xr:uid="{00000000-0005-0000-0000-00006B1D0000}"/>
    <cellStyle name="Percent 4 13" xfId="7487" xr:uid="{00000000-0005-0000-0000-00006C1D0000}"/>
    <cellStyle name="Percent 4 13 2" xfId="7488" xr:uid="{00000000-0005-0000-0000-00006D1D0000}"/>
    <cellStyle name="Percent 4 13 3" xfId="7489" xr:uid="{00000000-0005-0000-0000-00006E1D0000}"/>
    <cellStyle name="Percent 4 14" xfId="7490" xr:uid="{00000000-0005-0000-0000-00006F1D0000}"/>
    <cellStyle name="Percent 4 14 2" xfId="7491" xr:uid="{00000000-0005-0000-0000-0000701D0000}"/>
    <cellStyle name="Percent 4 14 3" xfId="7492" xr:uid="{00000000-0005-0000-0000-0000711D0000}"/>
    <cellStyle name="Percent 4 15" xfId="7493" xr:uid="{00000000-0005-0000-0000-0000721D0000}"/>
    <cellStyle name="Percent 4 15 2" xfId="7494" xr:uid="{00000000-0005-0000-0000-0000731D0000}"/>
    <cellStyle name="Percent 4 16" xfId="7495" xr:uid="{00000000-0005-0000-0000-0000741D0000}"/>
    <cellStyle name="Percent 4 16 2" xfId="7496" xr:uid="{00000000-0005-0000-0000-0000751D0000}"/>
    <cellStyle name="Percent 4 16 2 2" xfId="7497" xr:uid="{00000000-0005-0000-0000-0000761D0000}"/>
    <cellStyle name="Percent 4 16 3" xfId="7498" xr:uid="{00000000-0005-0000-0000-0000771D0000}"/>
    <cellStyle name="Percent 4 17" xfId="7499" xr:uid="{00000000-0005-0000-0000-0000781D0000}"/>
    <cellStyle name="Percent 4 17 2" xfId="7500" xr:uid="{00000000-0005-0000-0000-0000791D0000}"/>
    <cellStyle name="Percent 4 18" xfId="7501" xr:uid="{00000000-0005-0000-0000-00007A1D0000}"/>
    <cellStyle name="Percent 4 18 2" xfId="7502" xr:uid="{00000000-0005-0000-0000-00007B1D0000}"/>
    <cellStyle name="Percent 4 18 2 2" xfId="7503" xr:uid="{00000000-0005-0000-0000-00007C1D0000}"/>
    <cellStyle name="Percent 4 18 3" xfId="7504" xr:uid="{00000000-0005-0000-0000-00007D1D0000}"/>
    <cellStyle name="Percent 4 19" xfId="7505" xr:uid="{00000000-0005-0000-0000-00007E1D0000}"/>
    <cellStyle name="Percent 4 19 2" xfId="7506" xr:uid="{00000000-0005-0000-0000-00007F1D0000}"/>
    <cellStyle name="Percent 4 2" xfId="7507" xr:uid="{00000000-0005-0000-0000-0000801D0000}"/>
    <cellStyle name="Percent 4 2 10" xfId="7508" xr:uid="{00000000-0005-0000-0000-0000811D0000}"/>
    <cellStyle name="Percent 4 2 10 2" xfId="7509" xr:uid="{00000000-0005-0000-0000-0000821D0000}"/>
    <cellStyle name="Percent 4 2 2" xfId="7510" xr:uid="{00000000-0005-0000-0000-0000831D0000}"/>
    <cellStyle name="Percent 4 2 2 2" xfId="7511" xr:uid="{00000000-0005-0000-0000-0000841D0000}"/>
    <cellStyle name="Percent 4 2 2 2 2" xfId="7512" xr:uid="{00000000-0005-0000-0000-0000851D0000}"/>
    <cellStyle name="Percent 4 2 3" xfId="7513" xr:uid="{00000000-0005-0000-0000-0000861D0000}"/>
    <cellStyle name="Percent 4 2 3 2" xfId="7514" xr:uid="{00000000-0005-0000-0000-0000871D0000}"/>
    <cellStyle name="Percent 4 2 3 3" xfId="7515" xr:uid="{00000000-0005-0000-0000-0000881D0000}"/>
    <cellStyle name="Percent 4 2 4" xfId="7516" xr:uid="{00000000-0005-0000-0000-0000891D0000}"/>
    <cellStyle name="Percent 4 2 4 2" xfId="7517" xr:uid="{00000000-0005-0000-0000-00008A1D0000}"/>
    <cellStyle name="Percent 4 2 4 2 2" xfId="7518" xr:uid="{00000000-0005-0000-0000-00008B1D0000}"/>
    <cellStyle name="Percent 4 2 4 3" xfId="7519" xr:uid="{00000000-0005-0000-0000-00008C1D0000}"/>
    <cellStyle name="Percent 4 2 4 3 2" xfId="7520" xr:uid="{00000000-0005-0000-0000-00008D1D0000}"/>
    <cellStyle name="Percent 4 2 4 4" xfId="7521" xr:uid="{00000000-0005-0000-0000-00008E1D0000}"/>
    <cellStyle name="Percent 4 2 4 5" xfId="7522" xr:uid="{00000000-0005-0000-0000-00008F1D0000}"/>
    <cellStyle name="Percent 4 2 5" xfId="7523" xr:uid="{00000000-0005-0000-0000-0000901D0000}"/>
    <cellStyle name="Percent 4 2 5 2" xfId="7524" xr:uid="{00000000-0005-0000-0000-0000911D0000}"/>
    <cellStyle name="Percent 4 2 5 3" xfId="7525" xr:uid="{00000000-0005-0000-0000-0000921D0000}"/>
    <cellStyle name="Percent 4 2 6" xfId="7526" xr:uid="{00000000-0005-0000-0000-0000931D0000}"/>
    <cellStyle name="Percent 4 2 6 2" xfId="7527" xr:uid="{00000000-0005-0000-0000-0000941D0000}"/>
    <cellStyle name="Percent 4 2 6 2 2" xfId="7528" xr:uid="{00000000-0005-0000-0000-0000951D0000}"/>
    <cellStyle name="Percent 4 2 6 3" xfId="7529" xr:uid="{00000000-0005-0000-0000-0000961D0000}"/>
    <cellStyle name="Percent 4 2 6 3 2" xfId="7530" xr:uid="{00000000-0005-0000-0000-0000971D0000}"/>
    <cellStyle name="Percent 4 2 6 4" xfId="7531" xr:uid="{00000000-0005-0000-0000-0000981D0000}"/>
    <cellStyle name="Percent 4 2 6 5" xfId="7532" xr:uid="{00000000-0005-0000-0000-0000991D0000}"/>
    <cellStyle name="Percent 4 2 7" xfId="7533" xr:uid="{00000000-0005-0000-0000-00009A1D0000}"/>
    <cellStyle name="Percent 4 2 7 2" xfId="7534" xr:uid="{00000000-0005-0000-0000-00009B1D0000}"/>
    <cellStyle name="Percent 4 2 7 3" xfId="7535" xr:uid="{00000000-0005-0000-0000-00009C1D0000}"/>
    <cellStyle name="Percent 4 2 8" xfId="7536" xr:uid="{00000000-0005-0000-0000-00009D1D0000}"/>
    <cellStyle name="Percent 4 2 8 2" xfId="7537" xr:uid="{00000000-0005-0000-0000-00009E1D0000}"/>
    <cellStyle name="Percent 4 2 8 3" xfId="7538" xr:uid="{00000000-0005-0000-0000-00009F1D0000}"/>
    <cellStyle name="Percent 4 2 9" xfId="7539" xr:uid="{00000000-0005-0000-0000-0000A01D0000}"/>
    <cellStyle name="Percent 4 2 9 2" xfId="7540" xr:uid="{00000000-0005-0000-0000-0000A11D0000}"/>
    <cellStyle name="Percent 4 20" xfId="7541" xr:uid="{00000000-0005-0000-0000-0000A21D0000}"/>
    <cellStyle name="Percent 4 20 2" xfId="7542" xr:uid="{00000000-0005-0000-0000-0000A31D0000}"/>
    <cellStyle name="Percent 4 21" xfId="7543" xr:uid="{00000000-0005-0000-0000-0000A41D0000}"/>
    <cellStyle name="Percent 4 21 2" xfId="7544" xr:uid="{00000000-0005-0000-0000-0000A51D0000}"/>
    <cellStyle name="Percent 4 22" xfId="7545" xr:uid="{00000000-0005-0000-0000-0000A61D0000}"/>
    <cellStyle name="Percent 4 22 2" xfId="7546" xr:uid="{00000000-0005-0000-0000-0000A71D0000}"/>
    <cellStyle name="Percent 4 23" xfId="7547" xr:uid="{00000000-0005-0000-0000-0000A81D0000}"/>
    <cellStyle name="Percent 4 23 2" xfId="7548" xr:uid="{00000000-0005-0000-0000-0000A91D0000}"/>
    <cellStyle name="Percent 4 24" xfId="7549" xr:uid="{00000000-0005-0000-0000-0000AA1D0000}"/>
    <cellStyle name="Percent 4 24 2" xfId="7550" xr:uid="{00000000-0005-0000-0000-0000AB1D0000}"/>
    <cellStyle name="Percent 4 25" xfId="7551" xr:uid="{00000000-0005-0000-0000-0000AC1D0000}"/>
    <cellStyle name="Percent 4 25 2" xfId="7552" xr:uid="{00000000-0005-0000-0000-0000AD1D0000}"/>
    <cellStyle name="Percent 4 26" xfId="7553" xr:uid="{00000000-0005-0000-0000-0000AE1D0000}"/>
    <cellStyle name="Percent 4 26 2" xfId="7554" xr:uid="{00000000-0005-0000-0000-0000AF1D0000}"/>
    <cellStyle name="Percent 4 27" xfId="7555" xr:uid="{00000000-0005-0000-0000-0000B01D0000}"/>
    <cellStyle name="Percent 4 27 2" xfId="7556" xr:uid="{00000000-0005-0000-0000-0000B11D0000}"/>
    <cellStyle name="Percent 4 28" xfId="7557" xr:uid="{00000000-0005-0000-0000-0000B21D0000}"/>
    <cellStyle name="Percent 4 28 2" xfId="7558" xr:uid="{00000000-0005-0000-0000-0000B31D0000}"/>
    <cellStyle name="Percent 4 29" xfId="7559" xr:uid="{00000000-0005-0000-0000-0000B41D0000}"/>
    <cellStyle name="Percent 4 29 2" xfId="7560" xr:uid="{00000000-0005-0000-0000-0000B51D0000}"/>
    <cellStyle name="Percent 4 29 2 2" xfId="7561" xr:uid="{00000000-0005-0000-0000-0000B61D0000}"/>
    <cellStyle name="Percent 4 29 3" xfId="7562" xr:uid="{00000000-0005-0000-0000-0000B71D0000}"/>
    <cellStyle name="Percent 4 29 3 2" xfId="7563" xr:uid="{00000000-0005-0000-0000-0000B81D0000}"/>
    <cellStyle name="Percent 4 29 4" xfId="7564" xr:uid="{00000000-0005-0000-0000-0000B91D0000}"/>
    <cellStyle name="Percent 4 3" xfId="7565" xr:uid="{00000000-0005-0000-0000-0000BA1D0000}"/>
    <cellStyle name="Percent 4 3 2" xfId="7566" xr:uid="{00000000-0005-0000-0000-0000BB1D0000}"/>
    <cellStyle name="Percent 4 3 2 2" xfId="7567" xr:uid="{00000000-0005-0000-0000-0000BC1D0000}"/>
    <cellStyle name="Percent 4 3 2 3" xfId="7568" xr:uid="{00000000-0005-0000-0000-0000BD1D0000}"/>
    <cellStyle name="Percent 4 3 3" xfId="7569" xr:uid="{00000000-0005-0000-0000-0000BE1D0000}"/>
    <cellStyle name="Percent 4 3 3 2" xfId="7570" xr:uid="{00000000-0005-0000-0000-0000BF1D0000}"/>
    <cellStyle name="Percent 4 3 3 3" xfId="7571" xr:uid="{00000000-0005-0000-0000-0000C01D0000}"/>
    <cellStyle name="Percent 4 3 4" xfId="7572" xr:uid="{00000000-0005-0000-0000-0000C11D0000}"/>
    <cellStyle name="Percent 4 3 4 2" xfId="7573" xr:uid="{00000000-0005-0000-0000-0000C21D0000}"/>
    <cellStyle name="Percent 4 3 4 3" xfId="7574" xr:uid="{00000000-0005-0000-0000-0000C31D0000}"/>
    <cellStyle name="Percent 4 3 5" xfId="7575" xr:uid="{00000000-0005-0000-0000-0000C41D0000}"/>
    <cellStyle name="Percent 4 3 5 2" xfId="7576" xr:uid="{00000000-0005-0000-0000-0000C51D0000}"/>
    <cellStyle name="Percent 4 3 5 3" xfId="7577" xr:uid="{00000000-0005-0000-0000-0000C61D0000}"/>
    <cellStyle name="Percent 4 3 6" xfId="7578" xr:uid="{00000000-0005-0000-0000-0000C71D0000}"/>
    <cellStyle name="Percent 4 3 6 2" xfId="7579" xr:uid="{00000000-0005-0000-0000-0000C81D0000}"/>
    <cellStyle name="Percent 4 3 6 3" xfId="7580" xr:uid="{00000000-0005-0000-0000-0000C91D0000}"/>
    <cellStyle name="Percent 4 3 7" xfId="7581" xr:uid="{00000000-0005-0000-0000-0000CA1D0000}"/>
    <cellStyle name="Percent 4 3 7 2" xfId="7582" xr:uid="{00000000-0005-0000-0000-0000CB1D0000}"/>
    <cellStyle name="Percent 4 3 7 3" xfId="7583" xr:uid="{00000000-0005-0000-0000-0000CC1D0000}"/>
    <cellStyle name="Percent 4 3 8" xfId="7584" xr:uid="{00000000-0005-0000-0000-0000CD1D0000}"/>
    <cellStyle name="Percent 4 3 8 2" xfId="7585" xr:uid="{00000000-0005-0000-0000-0000CE1D0000}"/>
    <cellStyle name="Percent 4 3 8 3" xfId="7586" xr:uid="{00000000-0005-0000-0000-0000CF1D0000}"/>
    <cellStyle name="Percent 4 3 9" xfId="7587" xr:uid="{00000000-0005-0000-0000-0000D01D0000}"/>
    <cellStyle name="Percent 4 3 9 2" xfId="7588" xr:uid="{00000000-0005-0000-0000-0000D11D0000}"/>
    <cellStyle name="Percent 4 30" xfId="7589" xr:uid="{00000000-0005-0000-0000-0000D21D0000}"/>
    <cellStyle name="Percent 4 30 2" xfId="7590" xr:uid="{00000000-0005-0000-0000-0000D31D0000}"/>
    <cellStyle name="Percent 4 31" xfId="7591" xr:uid="{00000000-0005-0000-0000-0000D41D0000}"/>
    <cellStyle name="Percent 4 31 2" xfId="7592" xr:uid="{00000000-0005-0000-0000-0000D51D0000}"/>
    <cellStyle name="Percent 4 32" xfId="7593" xr:uid="{00000000-0005-0000-0000-0000D61D0000}"/>
    <cellStyle name="Percent 4 32 2" xfId="7594" xr:uid="{00000000-0005-0000-0000-0000D71D0000}"/>
    <cellStyle name="Percent 4 4" xfId="7595" xr:uid="{00000000-0005-0000-0000-0000D81D0000}"/>
    <cellStyle name="Percent 4 4 10" xfId="7596" xr:uid="{00000000-0005-0000-0000-0000D91D0000}"/>
    <cellStyle name="Percent 4 4 10 2" xfId="7597" xr:uid="{00000000-0005-0000-0000-0000DA1D0000}"/>
    <cellStyle name="Percent 4 4 11" xfId="7598" xr:uid="{00000000-0005-0000-0000-0000DB1D0000}"/>
    <cellStyle name="Percent 4 4 2" xfId="7599" xr:uid="{00000000-0005-0000-0000-0000DC1D0000}"/>
    <cellStyle name="Percent 4 4 2 2" xfId="7600" xr:uid="{00000000-0005-0000-0000-0000DD1D0000}"/>
    <cellStyle name="Percent 4 4 2 3" xfId="7601" xr:uid="{00000000-0005-0000-0000-0000DE1D0000}"/>
    <cellStyle name="Percent 4 4 3" xfId="7602" xr:uid="{00000000-0005-0000-0000-0000DF1D0000}"/>
    <cellStyle name="Percent 4 4 3 2" xfId="7603" xr:uid="{00000000-0005-0000-0000-0000E01D0000}"/>
    <cellStyle name="Percent 4 4 3 3" xfId="7604" xr:uid="{00000000-0005-0000-0000-0000E11D0000}"/>
    <cellStyle name="Percent 4 4 4" xfId="7605" xr:uid="{00000000-0005-0000-0000-0000E21D0000}"/>
    <cellStyle name="Percent 4 4 4 2" xfId="7606" xr:uid="{00000000-0005-0000-0000-0000E31D0000}"/>
    <cellStyle name="Percent 4 4 4 3" xfId="7607" xr:uid="{00000000-0005-0000-0000-0000E41D0000}"/>
    <cellStyle name="Percent 4 4 5" xfId="7608" xr:uid="{00000000-0005-0000-0000-0000E51D0000}"/>
    <cellStyle name="Percent 4 4 5 2" xfId="7609" xr:uid="{00000000-0005-0000-0000-0000E61D0000}"/>
    <cellStyle name="Percent 4 4 5 3" xfId="7610" xr:uid="{00000000-0005-0000-0000-0000E71D0000}"/>
    <cellStyle name="Percent 4 4 6" xfId="7611" xr:uid="{00000000-0005-0000-0000-0000E81D0000}"/>
    <cellStyle name="Percent 4 4 6 2" xfId="7612" xr:uid="{00000000-0005-0000-0000-0000E91D0000}"/>
    <cellStyle name="Percent 4 4 6 3" xfId="7613" xr:uid="{00000000-0005-0000-0000-0000EA1D0000}"/>
    <cellStyle name="Percent 4 4 7" xfId="7614" xr:uid="{00000000-0005-0000-0000-0000EB1D0000}"/>
    <cellStyle name="Percent 4 4 7 2" xfId="7615" xr:uid="{00000000-0005-0000-0000-0000EC1D0000}"/>
    <cellStyle name="Percent 4 4 7 3" xfId="7616" xr:uid="{00000000-0005-0000-0000-0000ED1D0000}"/>
    <cellStyle name="Percent 4 4 8" xfId="7617" xr:uid="{00000000-0005-0000-0000-0000EE1D0000}"/>
    <cellStyle name="Percent 4 4 8 2" xfId="7618" xr:uid="{00000000-0005-0000-0000-0000EF1D0000}"/>
    <cellStyle name="Percent 4 4 8 3" xfId="7619" xr:uid="{00000000-0005-0000-0000-0000F01D0000}"/>
    <cellStyle name="Percent 4 4 9" xfId="7620" xr:uid="{00000000-0005-0000-0000-0000F11D0000}"/>
    <cellStyle name="Percent 4 4 9 2" xfId="7621" xr:uid="{00000000-0005-0000-0000-0000F21D0000}"/>
    <cellStyle name="Percent 4 4 9 3" xfId="7622" xr:uid="{00000000-0005-0000-0000-0000F31D0000}"/>
    <cellStyle name="Percent 4 5" xfId="7623" xr:uid="{00000000-0005-0000-0000-0000F41D0000}"/>
    <cellStyle name="Percent 4 5 10" xfId="7624" xr:uid="{00000000-0005-0000-0000-0000F51D0000}"/>
    <cellStyle name="Percent 4 5 10 2" xfId="7625" xr:uid="{00000000-0005-0000-0000-0000F61D0000}"/>
    <cellStyle name="Percent 4 5 2" xfId="7626" xr:uid="{00000000-0005-0000-0000-0000F71D0000}"/>
    <cellStyle name="Percent 4 5 2 2" xfId="7627" xr:uid="{00000000-0005-0000-0000-0000F81D0000}"/>
    <cellStyle name="Percent 4 5 2 2 2" xfId="7628" xr:uid="{00000000-0005-0000-0000-0000F91D0000}"/>
    <cellStyle name="Percent 4 5 3" xfId="7629" xr:uid="{00000000-0005-0000-0000-0000FA1D0000}"/>
    <cellStyle name="Percent 4 5 3 2" xfId="7630" xr:uid="{00000000-0005-0000-0000-0000FB1D0000}"/>
    <cellStyle name="Percent 4 5 3 3" xfId="7631" xr:uid="{00000000-0005-0000-0000-0000FC1D0000}"/>
    <cellStyle name="Percent 4 5 4" xfId="7632" xr:uid="{00000000-0005-0000-0000-0000FD1D0000}"/>
    <cellStyle name="Percent 4 5 4 2" xfId="7633" xr:uid="{00000000-0005-0000-0000-0000FE1D0000}"/>
    <cellStyle name="Percent 4 5 4 3" xfId="7634" xr:uid="{00000000-0005-0000-0000-0000FF1D0000}"/>
    <cellStyle name="Percent 4 5 5" xfId="7635" xr:uid="{00000000-0005-0000-0000-0000001E0000}"/>
    <cellStyle name="Percent 4 5 5 2" xfId="7636" xr:uid="{00000000-0005-0000-0000-0000011E0000}"/>
    <cellStyle name="Percent 4 5 5 3" xfId="7637" xr:uid="{00000000-0005-0000-0000-0000021E0000}"/>
    <cellStyle name="Percent 4 5 6" xfId="7638" xr:uid="{00000000-0005-0000-0000-0000031E0000}"/>
    <cellStyle name="Percent 4 5 6 2" xfId="7639" xr:uid="{00000000-0005-0000-0000-0000041E0000}"/>
    <cellStyle name="Percent 4 5 6 3" xfId="7640" xr:uid="{00000000-0005-0000-0000-0000051E0000}"/>
    <cellStyle name="Percent 4 5 7" xfId="7641" xr:uid="{00000000-0005-0000-0000-0000061E0000}"/>
    <cellStyle name="Percent 4 5 7 2" xfId="7642" xr:uid="{00000000-0005-0000-0000-0000071E0000}"/>
    <cellStyle name="Percent 4 5 7 3" xfId="7643" xr:uid="{00000000-0005-0000-0000-0000081E0000}"/>
    <cellStyle name="Percent 4 5 8" xfId="7644" xr:uid="{00000000-0005-0000-0000-0000091E0000}"/>
    <cellStyle name="Percent 4 5 8 2" xfId="7645" xr:uid="{00000000-0005-0000-0000-00000A1E0000}"/>
    <cellStyle name="Percent 4 5 8 3" xfId="7646" xr:uid="{00000000-0005-0000-0000-00000B1E0000}"/>
    <cellStyle name="Percent 4 5 9" xfId="7647" xr:uid="{00000000-0005-0000-0000-00000C1E0000}"/>
    <cellStyle name="Percent 4 5 9 2" xfId="7648" xr:uid="{00000000-0005-0000-0000-00000D1E0000}"/>
    <cellStyle name="Percent 4 6" xfId="7649" xr:uid="{00000000-0005-0000-0000-00000E1E0000}"/>
    <cellStyle name="Percent 4 6 10" xfId="7650" xr:uid="{00000000-0005-0000-0000-00000F1E0000}"/>
    <cellStyle name="Percent 4 6 2" xfId="7651" xr:uid="{00000000-0005-0000-0000-0000101E0000}"/>
    <cellStyle name="Percent 4 6 2 2" xfId="7652" xr:uid="{00000000-0005-0000-0000-0000111E0000}"/>
    <cellStyle name="Percent 4 6 2 3" xfId="7653" xr:uid="{00000000-0005-0000-0000-0000121E0000}"/>
    <cellStyle name="Percent 4 6 3" xfId="7654" xr:uid="{00000000-0005-0000-0000-0000131E0000}"/>
    <cellStyle name="Percent 4 6 3 2" xfId="7655" xr:uid="{00000000-0005-0000-0000-0000141E0000}"/>
    <cellStyle name="Percent 4 6 3 3" xfId="7656" xr:uid="{00000000-0005-0000-0000-0000151E0000}"/>
    <cellStyle name="Percent 4 6 4" xfId="7657" xr:uid="{00000000-0005-0000-0000-0000161E0000}"/>
    <cellStyle name="Percent 4 6 4 2" xfId="7658" xr:uid="{00000000-0005-0000-0000-0000171E0000}"/>
    <cellStyle name="Percent 4 6 4 3" xfId="7659" xr:uid="{00000000-0005-0000-0000-0000181E0000}"/>
    <cellStyle name="Percent 4 6 5" xfId="7660" xr:uid="{00000000-0005-0000-0000-0000191E0000}"/>
    <cellStyle name="Percent 4 6 5 2" xfId="7661" xr:uid="{00000000-0005-0000-0000-00001A1E0000}"/>
    <cellStyle name="Percent 4 6 5 3" xfId="7662" xr:uid="{00000000-0005-0000-0000-00001B1E0000}"/>
    <cellStyle name="Percent 4 6 6" xfId="7663" xr:uid="{00000000-0005-0000-0000-00001C1E0000}"/>
    <cellStyle name="Percent 4 6 6 2" xfId="7664" xr:uid="{00000000-0005-0000-0000-00001D1E0000}"/>
    <cellStyle name="Percent 4 6 6 3" xfId="7665" xr:uid="{00000000-0005-0000-0000-00001E1E0000}"/>
    <cellStyle name="Percent 4 6 7" xfId="7666" xr:uid="{00000000-0005-0000-0000-00001F1E0000}"/>
    <cellStyle name="Percent 4 6 7 2" xfId="7667" xr:uid="{00000000-0005-0000-0000-0000201E0000}"/>
    <cellStyle name="Percent 4 6 7 3" xfId="7668" xr:uid="{00000000-0005-0000-0000-0000211E0000}"/>
    <cellStyle name="Percent 4 6 8" xfId="7669" xr:uid="{00000000-0005-0000-0000-0000221E0000}"/>
    <cellStyle name="Percent 4 6 8 2" xfId="7670" xr:uid="{00000000-0005-0000-0000-0000231E0000}"/>
    <cellStyle name="Percent 4 6 8 3" xfId="7671" xr:uid="{00000000-0005-0000-0000-0000241E0000}"/>
    <cellStyle name="Percent 4 6 9" xfId="7672" xr:uid="{00000000-0005-0000-0000-0000251E0000}"/>
    <cellStyle name="Percent 4 7" xfId="7673" xr:uid="{00000000-0005-0000-0000-0000261E0000}"/>
    <cellStyle name="Percent 4 7 2" xfId="7674" xr:uid="{00000000-0005-0000-0000-0000271E0000}"/>
    <cellStyle name="Percent 4 7 3" xfId="7675" xr:uid="{00000000-0005-0000-0000-0000281E0000}"/>
    <cellStyle name="Percent 4 8" xfId="7676" xr:uid="{00000000-0005-0000-0000-0000291E0000}"/>
    <cellStyle name="Percent 4 8 2" xfId="7677" xr:uid="{00000000-0005-0000-0000-00002A1E0000}"/>
    <cellStyle name="Percent 4 8 3" xfId="7678" xr:uid="{00000000-0005-0000-0000-00002B1E0000}"/>
    <cellStyle name="Percent 4 9" xfId="7679" xr:uid="{00000000-0005-0000-0000-00002C1E0000}"/>
    <cellStyle name="Percent 4 9 2" xfId="7680" xr:uid="{00000000-0005-0000-0000-00002D1E0000}"/>
    <cellStyle name="Percent 4 9 3" xfId="7681" xr:uid="{00000000-0005-0000-0000-00002E1E0000}"/>
    <cellStyle name="Percent 5" xfId="7682" xr:uid="{00000000-0005-0000-0000-00002F1E0000}"/>
    <cellStyle name="Percent 5 10" xfId="7683" xr:uid="{00000000-0005-0000-0000-0000301E0000}"/>
    <cellStyle name="Percent 5 10 2" xfId="7684" xr:uid="{00000000-0005-0000-0000-0000311E0000}"/>
    <cellStyle name="Percent 5 11" xfId="7685" xr:uid="{00000000-0005-0000-0000-0000321E0000}"/>
    <cellStyle name="Percent 5 11 2" xfId="7686" xr:uid="{00000000-0005-0000-0000-0000331E0000}"/>
    <cellStyle name="Percent 5 11 2 2" xfId="7687" xr:uid="{00000000-0005-0000-0000-0000341E0000}"/>
    <cellStyle name="Percent 5 11 3" xfId="7688" xr:uid="{00000000-0005-0000-0000-0000351E0000}"/>
    <cellStyle name="Percent 5 12" xfId="7689" xr:uid="{00000000-0005-0000-0000-0000361E0000}"/>
    <cellStyle name="Percent 5 12 2" xfId="7690" xr:uid="{00000000-0005-0000-0000-0000371E0000}"/>
    <cellStyle name="Percent 5 2" xfId="7691" xr:uid="{00000000-0005-0000-0000-0000381E0000}"/>
    <cellStyle name="Percent 5 2 2" xfId="7692" xr:uid="{00000000-0005-0000-0000-0000391E0000}"/>
    <cellStyle name="Percent 5 2 2 2" xfId="7693" xr:uid="{00000000-0005-0000-0000-00003A1E0000}"/>
    <cellStyle name="Percent 5 3" xfId="7694" xr:uid="{00000000-0005-0000-0000-00003B1E0000}"/>
    <cellStyle name="Percent 5 3 2" xfId="7695" xr:uid="{00000000-0005-0000-0000-00003C1E0000}"/>
    <cellStyle name="Percent 5 3 2 2" xfId="7696" xr:uid="{00000000-0005-0000-0000-00003D1E0000}"/>
    <cellStyle name="Percent 5 3 3" xfId="7697" xr:uid="{00000000-0005-0000-0000-00003E1E0000}"/>
    <cellStyle name="Percent 5 3 4" xfId="7698" xr:uid="{00000000-0005-0000-0000-00003F1E0000}"/>
    <cellStyle name="Percent 5 4" xfId="7699" xr:uid="{00000000-0005-0000-0000-0000401E0000}"/>
    <cellStyle name="Percent 5 4 2" xfId="7700" xr:uid="{00000000-0005-0000-0000-0000411E0000}"/>
    <cellStyle name="Percent 5 4 2 2" xfId="7701" xr:uid="{00000000-0005-0000-0000-0000421E0000}"/>
    <cellStyle name="Percent 5 4 3" xfId="7702" xr:uid="{00000000-0005-0000-0000-0000431E0000}"/>
    <cellStyle name="Percent 5 4 4" xfId="7703" xr:uid="{00000000-0005-0000-0000-0000441E0000}"/>
    <cellStyle name="Percent 5 5" xfId="7704" xr:uid="{00000000-0005-0000-0000-0000451E0000}"/>
    <cellStyle name="Percent 5 5 2" xfId="7705" xr:uid="{00000000-0005-0000-0000-0000461E0000}"/>
    <cellStyle name="Percent 5 5 2 2" xfId="7706" xr:uid="{00000000-0005-0000-0000-0000471E0000}"/>
    <cellStyle name="Percent 5 5 3" xfId="7707" xr:uid="{00000000-0005-0000-0000-0000481E0000}"/>
    <cellStyle name="Percent 5 5 3 2" xfId="7708" xr:uid="{00000000-0005-0000-0000-0000491E0000}"/>
    <cellStyle name="Percent 5 5 4" xfId="7709" xr:uid="{00000000-0005-0000-0000-00004A1E0000}"/>
    <cellStyle name="Percent 5 5 5" xfId="7710" xr:uid="{00000000-0005-0000-0000-00004B1E0000}"/>
    <cellStyle name="Percent 5 6" xfId="7711" xr:uid="{00000000-0005-0000-0000-00004C1E0000}"/>
    <cellStyle name="Percent 5 6 2" xfId="7712" xr:uid="{00000000-0005-0000-0000-00004D1E0000}"/>
    <cellStyle name="Percent 5 6 3" xfId="7713" xr:uid="{00000000-0005-0000-0000-00004E1E0000}"/>
    <cellStyle name="Percent 5 7" xfId="7714" xr:uid="{00000000-0005-0000-0000-00004F1E0000}"/>
    <cellStyle name="Percent 5 7 2" xfId="7715" xr:uid="{00000000-0005-0000-0000-0000501E0000}"/>
    <cellStyle name="Percent 5 7 3" xfId="7716" xr:uid="{00000000-0005-0000-0000-0000511E0000}"/>
    <cellStyle name="Percent 5 8" xfId="7717" xr:uid="{00000000-0005-0000-0000-0000521E0000}"/>
    <cellStyle name="Percent 5 8 2" xfId="7718" xr:uid="{00000000-0005-0000-0000-0000531E0000}"/>
    <cellStyle name="Percent 5 8 3" xfId="7719" xr:uid="{00000000-0005-0000-0000-0000541E0000}"/>
    <cellStyle name="Percent 5 9" xfId="7720" xr:uid="{00000000-0005-0000-0000-0000551E0000}"/>
    <cellStyle name="Percent 5 9 2" xfId="7721" xr:uid="{00000000-0005-0000-0000-0000561E0000}"/>
    <cellStyle name="Percent 5 9 2 2" xfId="7722" xr:uid="{00000000-0005-0000-0000-0000571E0000}"/>
    <cellStyle name="Percent 5 9 2 2 2" xfId="7723" xr:uid="{00000000-0005-0000-0000-0000581E0000}"/>
    <cellStyle name="Percent 5 9 2 3" xfId="7724" xr:uid="{00000000-0005-0000-0000-0000591E0000}"/>
    <cellStyle name="Percent 5 9 3" xfId="7725" xr:uid="{00000000-0005-0000-0000-00005A1E0000}"/>
    <cellStyle name="Percent 6" xfId="7726" xr:uid="{00000000-0005-0000-0000-00005B1E0000}"/>
    <cellStyle name="Percent 6 10" xfId="7727" xr:uid="{00000000-0005-0000-0000-00005C1E0000}"/>
    <cellStyle name="Percent 6 10 2" xfId="7728" xr:uid="{00000000-0005-0000-0000-00005D1E0000}"/>
    <cellStyle name="Percent 6 11" xfId="7729" xr:uid="{00000000-0005-0000-0000-00005E1E0000}"/>
    <cellStyle name="Percent 6 11 2" xfId="7730" xr:uid="{00000000-0005-0000-0000-00005F1E0000}"/>
    <cellStyle name="Percent 6 12" xfId="7731" xr:uid="{00000000-0005-0000-0000-0000601E0000}"/>
    <cellStyle name="Percent 6 2" xfId="7732" xr:uid="{00000000-0005-0000-0000-0000611E0000}"/>
    <cellStyle name="Percent 6 2 2" xfId="7733" xr:uid="{00000000-0005-0000-0000-0000621E0000}"/>
    <cellStyle name="Percent 6 2 2 2" xfId="7734" xr:uid="{00000000-0005-0000-0000-0000631E0000}"/>
    <cellStyle name="Percent 6 2 3" xfId="7735" xr:uid="{00000000-0005-0000-0000-0000641E0000}"/>
    <cellStyle name="Percent 6 3" xfId="7736" xr:uid="{00000000-0005-0000-0000-0000651E0000}"/>
    <cellStyle name="Percent 6 3 2" xfId="7737" xr:uid="{00000000-0005-0000-0000-0000661E0000}"/>
    <cellStyle name="Percent 6 3 2 2" xfId="7738" xr:uid="{00000000-0005-0000-0000-0000671E0000}"/>
    <cellStyle name="Percent 6 3 3" xfId="7739" xr:uid="{00000000-0005-0000-0000-0000681E0000}"/>
    <cellStyle name="Percent 6 3 3 2" xfId="7740" xr:uid="{00000000-0005-0000-0000-0000691E0000}"/>
    <cellStyle name="Percent 6 3 4" xfId="7741" xr:uid="{00000000-0005-0000-0000-00006A1E0000}"/>
    <cellStyle name="Percent 6 3 5" xfId="7742" xr:uid="{00000000-0005-0000-0000-00006B1E0000}"/>
    <cellStyle name="Percent 6 4" xfId="7743" xr:uid="{00000000-0005-0000-0000-00006C1E0000}"/>
    <cellStyle name="Percent 6 4 2" xfId="7744" xr:uid="{00000000-0005-0000-0000-00006D1E0000}"/>
    <cellStyle name="Percent 6 4 3" xfId="7745" xr:uid="{00000000-0005-0000-0000-00006E1E0000}"/>
    <cellStyle name="Percent 6 5" xfId="7746" xr:uid="{00000000-0005-0000-0000-00006F1E0000}"/>
    <cellStyle name="Percent 6 5 2" xfId="7747" xr:uid="{00000000-0005-0000-0000-0000701E0000}"/>
    <cellStyle name="Percent 6 5 3" xfId="7748" xr:uid="{00000000-0005-0000-0000-0000711E0000}"/>
    <cellStyle name="Percent 6 6" xfId="7749" xr:uid="{00000000-0005-0000-0000-0000721E0000}"/>
    <cellStyle name="Percent 6 6 2" xfId="7750" xr:uid="{00000000-0005-0000-0000-0000731E0000}"/>
    <cellStyle name="Percent 6 6 3" xfId="7751" xr:uid="{00000000-0005-0000-0000-0000741E0000}"/>
    <cellStyle name="Percent 6 7" xfId="7752" xr:uid="{00000000-0005-0000-0000-0000751E0000}"/>
    <cellStyle name="Percent 6 7 2" xfId="7753" xr:uid="{00000000-0005-0000-0000-0000761E0000}"/>
    <cellStyle name="Percent 6 7 3" xfId="7754" xr:uid="{00000000-0005-0000-0000-0000771E0000}"/>
    <cellStyle name="Percent 6 8" xfId="7755" xr:uid="{00000000-0005-0000-0000-0000781E0000}"/>
    <cellStyle name="Percent 6 8 2" xfId="7756" xr:uid="{00000000-0005-0000-0000-0000791E0000}"/>
    <cellStyle name="Percent 6 8 3" xfId="7757" xr:uid="{00000000-0005-0000-0000-00007A1E0000}"/>
    <cellStyle name="Percent 6 9" xfId="7758" xr:uid="{00000000-0005-0000-0000-00007B1E0000}"/>
    <cellStyle name="Percent 6 9 2" xfId="7759" xr:uid="{00000000-0005-0000-0000-00007C1E0000}"/>
    <cellStyle name="Percent 6 9 3" xfId="7760" xr:uid="{00000000-0005-0000-0000-00007D1E0000}"/>
    <cellStyle name="Percent 7" xfId="7761" xr:uid="{00000000-0005-0000-0000-00007E1E0000}"/>
    <cellStyle name="Percent 7 10" xfId="7762" xr:uid="{00000000-0005-0000-0000-00007F1E0000}"/>
    <cellStyle name="Percent 7 10 2" xfId="7763" xr:uid="{00000000-0005-0000-0000-0000801E0000}"/>
    <cellStyle name="Percent 7 11" xfId="7764" xr:uid="{00000000-0005-0000-0000-0000811E0000}"/>
    <cellStyle name="Percent 7 11 2" xfId="7765" xr:uid="{00000000-0005-0000-0000-0000821E0000}"/>
    <cellStyle name="Percent 7 2" xfId="7766" xr:uid="{00000000-0005-0000-0000-0000831E0000}"/>
    <cellStyle name="Percent 7 2 2" xfId="7767" xr:uid="{00000000-0005-0000-0000-0000841E0000}"/>
    <cellStyle name="Percent 7 2 3" xfId="7768" xr:uid="{00000000-0005-0000-0000-0000851E0000}"/>
    <cellStyle name="Percent 7 3" xfId="7769" xr:uid="{00000000-0005-0000-0000-0000861E0000}"/>
    <cellStyle name="Percent 7 3 2" xfId="7770" xr:uid="{00000000-0005-0000-0000-0000871E0000}"/>
    <cellStyle name="Percent 7 3 3" xfId="7771" xr:uid="{00000000-0005-0000-0000-0000881E0000}"/>
    <cellStyle name="Percent 7 4" xfId="7772" xr:uid="{00000000-0005-0000-0000-0000891E0000}"/>
    <cellStyle name="Percent 7 4 2" xfId="7773" xr:uid="{00000000-0005-0000-0000-00008A1E0000}"/>
    <cellStyle name="Percent 7 4 3" xfId="7774" xr:uid="{00000000-0005-0000-0000-00008B1E0000}"/>
    <cellStyle name="Percent 7 5" xfId="7775" xr:uid="{00000000-0005-0000-0000-00008C1E0000}"/>
    <cellStyle name="Percent 7 5 2" xfId="7776" xr:uid="{00000000-0005-0000-0000-00008D1E0000}"/>
    <cellStyle name="Percent 7 5 3" xfId="7777" xr:uid="{00000000-0005-0000-0000-00008E1E0000}"/>
    <cellStyle name="Percent 7 6" xfId="7778" xr:uid="{00000000-0005-0000-0000-00008F1E0000}"/>
    <cellStyle name="Percent 7 6 2" xfId="7779" xr:uid="{00000000-0005-0000-0000-0000901E0000}"/>
    <cellStyle name="Percent 7 6 3" xfId="7780" xr:uid="{00000000-0005-0000-0000-0000911E0000}"/>
    <cellStyle name="Percent 7 7" xfId="7781" xr:uid="{00000000-0005-0000-0000-0000921E0000}"/>
    <cellStyle name="Percent 7 7 2" xfId="7782" xr:uid="{00000000-0005-0000-0000-0000931E0000}"/>
    <cellStyle name="Percent 7 7 3" xfId="7783" xr:uid="{00000000-0005-0000-0000-0000941E0000}"/>
    <cellStyle name="Percent 7 8" xfId="7784" xr:uid="{00000000-0005-0000-0000-0000951E0000}"/>
    <cellStyle name="Percent 7 8 2" xfId="7785" xr:uid="{00000000-0005-0000-0000-0000961E0000}"/>
    <cellStyle name="Percent 7 8 3" xfId="7786" xr:uid="{00000000-0005-0000-0000-0000971E0000}"/>
    <cellStyle name="Percent 7 9" xfId="7787" xr:uid="{00000000-0005-0000-0000-0000981E0000}"/>
    <cellStyle name="Percent 7 9 2" xfId="7788" xr:uid="{00000000-0005-0000-0000-0000991E0000}"/>
    <cellStyle name="Percent 8" xfId="7789" xr:uid="{00000000-0005-0000-0000-00009A1E0000}"/>
    <cellStyle name="Percent 8 10" xfId="7790" xr:uid="{00000000-0005-0000-0000-00009B1E0000}"/>
    <cellStyle name="Percent 8 11" xfId="7791" xr:uid="{00000000-0005-0000-0000-00009C1E0000}"/>
    <cellStyle name="Percent 8 2" xfId="7792" xr:uid="{00000000-0005-0000-0000-00009D1E0000}"/>
    <cellStyle name="Percent 8 2 2" xfId="7793" xr:uid="{00000000-0005-0000-0000-00009E1E0000}"/>
    <cellStyle name="Percent 8 2 2 2" xfId="7794" xr:uid="{00000000-0005-0000-0000-00009F1E0000}"/>
    <cellStyle name="Percent 8 2 3" xfId="7795" xr:uid="{00000000-0005-0000-0000-0000A01E0000}"/>
    <cellStyle name="Percent 8 3" xfId="7796" xr:uid="{00000000-0005-0000-0000-0000A11E0000}"/>
    <cellStyle name="Percent 8 3 2" xfId="7797" xr:uid="{00000000-0005-0000-0000-0000A21E0000}"/>
    <cellStyle name="Percent 8 3 3" xfId="7798" xr:uid="{00000000-0005-0000-0000-0000A31E0000}"/>
    <cellStyle name="Percent 8 4" xfId="7799" xr:uid="{00000000-0005-0000-0000-0000A41E0000}"/>
    <cellStyle name="Percent 8 4 2" xfId="7800" xr:uid="{00000000-0005-0000-0000-0000A51E0000}"/>
    <cellStyle name="Percent 8 4 3" xfId="7801" xr:uid="{00000000-0005-0000-0000-0000A61E0000}"/>
    <cellStyle name="Percent 8 5" xfId="7802" xr:uid="{00000000-0005-0000-0000-0000A71E0000}"/>
    <cellStyle name="Percent 8 5 2" xfId="7803" xr:uid="{00000000-0005-0000-0000-0000A81E0000}"/>
    <cellStyle name="Percent 8 5 3" xfId="7804" xr:uid="{00000000-0005-0000-0000-0000A91E0000}"/>
    <cellStyle name="Percent 8 6" xfId="7805" xr:uid="{00000000-0005-0000-0000-0000AA1E0000}"/>
    <cellStyle name="Percent 8 6 2" xfId="7806" xr:uid="{00000000-0005-0000-0000-0000AB1E0000}"/>
    <cellStyle name="Percent 8 6 3" xfId="7807" xr:uid="{00000000-0005-0000-0000-0000AC1E0000}"/>
    <cellStyle name="Percent 8 7" xfId="7808" xr:uid="{00000000-0005-0000-0000-0000AD1E0000}"/>
    <cellStyle name="Percent 8 7 2" xfId="7809" xr:uid="{00000000-0005-0000-0000-0000AE1E0000}"/>
    <cellStyle name="Percent 8 7 3" xfId="7810" xr:uid="{00000000-0005-0000-0000-0000AF1E0000}"/>
    <cellStyle name="Percent 8 8" xfId="7811" xr:uid="{00000000-0005-0000-0000-0000B01E0000}"/>
    <cellStyle name="Percent 8 8 2" xfId="7812" xr:uid="{00000000-0005-0000-0000-0000B11E0000}"/>
    <cellStyle name="Percent 8 8 3" xfId="7813" xr:uid="{00000000-0005-0000-0000-0000B21E0000}"/>
    <cellStyle name="Percent 8 9" xfId="7814" xr:uid="{00000000-0005-0000-0000-0000B31E0000}"/>
    <cellStyle name="Percent 8 9 2" xfId="7815" xr:uid="{00000000-0005-0000-0000-0000B41E0000}"/>
    <cellStyle name="Percent 9" xfId="7816" xr:uid="{00000000-0005-0000-0000-0000B51E0000}"/>
    <cellStyle name="Percent 9 10" xfId="7817" xr:uid="{00000000-0005-0000-0000-0000B61E0000}"/>
    <cellStyle name="Percent 9 10 2" xfId="7818" xr:uid="{00000000-0005-0000-0000-0000B71E0000}"/>
    <cellStyle name="Percent 9 11" xfId="7819" xr:uid="{00000000-0005-0000-0000-0000B81E0000}"/>
    <cellStyle name="Percent 9 11 2" xfId="7820" xr:uid="{00000000-0005-0000-0000-0000B91E0000}"/>
    <cellStyle name="Percent 9 12" xfId="7821" xr:uid="{00000000-0005-0000-0000-0000BA1E0000}"/>
    <cellStyle name="Percent 9 12 2" xfId="7822" xr:uid="{00000000-0005-0000-0000-0000BB1E0000}"/>
    <cellStyle name="Percent 9 13" xfId="7823" xr:uid="{00000000-0005-0000-0000-0000BC1E0000}"/>
    <cellStyle name="Percent 9 13 2" xfId="7824" xr:uid="{00000000-0005-0000-0000-0000BD1E0000}"/>
    <cellStyle name="Percent 9 14" xfId="7825" xr:uid="{00000000-0005-0000-0000-0000BE1E0000}"/>
    <cellStyle name="Percent 9 14 2" xfId="7826" xr:uid="{00000000-0005-0000-0000-0000BF1E0000}"/>
    <cellStyle name="Percent 9 15" xfId="7827" xr:uid="{00000000-0005-0000-0000-0000C01E0000}"/>
    <cellStyle name="Percent 9 15 2" xfId="7828" xr:uid="{00000000-0005-0000-0000-0000C11E0000}"/>
    <cellStyle name="Percent 9 16" xfId="7829" xr:uid="{00000000-0005-0000-0000-0000C21E0000}"/>
    <cellStyle name="Percent 9 16 2" xfId="7830" xr:uid="{00000000-0005-0000-0000-0000C31E0000}"/>
    <cellStyle name="Percent 9 17" xfId="7831" xr:uid="{00000000-0005-0000-0000-0000C41E0000}"/>
    <cellStyle name="Percent 9 17 2" xfId="7832" xr:uid="{00000000-0005-0000-0000-0000C51E0000}"/>
    <cellStyle name="Percent 9 18" xfId="7833" xr:uid="{00000000-0005-0000-0000-0000C61E0000}"/>
    <cellStyle name="Percent 9 18 2" xfId="7834" xr:uid="{00000000-0005-0000-0000-0000C71E0000}"/>
    <cellStyle name="Percent 9 19" xfId="7835" xr:uid="{00000000-0005-0000-0000-0000C81E0000}"/>
    <cellStyle name="Percent 9 19 2" xfId="7836" xr:uid="{00000000-0005-0000-0000-0000C91E0000}"/>
    <cellStyle name="Percent 9 2" xfId="7837" xr:uid="{00000000-0005-0000-0000-0000CA1E0000}"/>
    <cellStyle name="Percent 9 2 2" xfId="7838" xr:uid="{00000000-0005-0000-0000-0000CB1E0000}"/>
    <cellStyle name="Percent 9 2 2 2" xfId="7839" xr:uid="{00000000-0005-0000-0000-0000CC1E0000}"/>
    <cellStyle name="Percent 9 2 3" xfId="7840" xr:uid="{00000000-0005-0000-0000-0000CD1E0000}"/>
    <cellStyle name="Percent 9 2 3 2" xfId="7841" xr:uid="{00000000-0005-0000-0000-0000CE1E0000}"/>
    <cellStyle name="Percent 9 2 4" xfId="7842" xr:uid="{00000000-0005-0000-0000-0000CF1E0000}"/>
    <cellStyle name="Percent 9 2 5" xfId="7843" xr:uid="{00000000-0005-0000-0000-0000D01E0000}"/>
    <cellStyle name="Percent 9 20" xfId="7844" xr:uid="{00000000-0005-0000-0000-0000D11E0000}"/>
    <cellStyle name="Percent 9 20 2" xfId="7845" xr:uid="{00000000-0005-0000-0000-0000D21E0000}"/>
    <cellStyle name="Percent 9 21" xfId="7846" xr:uid="{00000000-0005-0000-0000-0000D31E0000}"/>
    <cellStyle name="Percent 9 21 2" xfId="7847" xr:uid="{00000000-0005-0000-0000-0000D41E0000}"/>
    <cellStyle name="Percent 9 22" xfId="7848" xr:uid="{00000000-0005-0000-0000-0000D51E0000}"/>
    <cellStyle name="Percent 9 22 2" xfId="7849" xr:uid="{00000000-0005-0000-0000-0000D61E0000}"/>
    <cellStyle name="Percent 9 23" xfId="7850" xr:uid="{00000000-0005-0000-0000-0000D71E0000}"/>
    <cellStyle name="Percent 9 23 2" xfId="7851" xr:uid="{00000000-0005-0000-0000-0000D81E0000}"/>
    <cellStyle name="Percent 9 24" xfId="7852" xr:uid="{00000000-0005-0000-0000-0000D91E0000}"/>
    <cellStyle name="Percent 9 3" xfId="7853" xr:uid="{00000000-0005-0000-0000-0000DA1E0000}"/>
    <cellStyle name="Percent 9 3 2" xfId="7854" xr:uid="{00000000-0005-0000-0000-0000DB1E0000}"/>
    <cellStyle name="Percent 9 3 2 2" xfId="7855" xr:uid="{00000000-0005-0000-0000-0000DC1E0000}"/>
    <cellStyle name="Percent 9 3 3" xfId="7856" xr:uid="{00000000-0005-0000-0000-0000DD1E0000}"/>
    <cellStyle name="Percent 9 3 3 2" xfId="7857" xr:uid="{00000000-0005-0000-0000-0000DE1E0000}"/>
    <cellStyle name="Percent 9 3 4" xfId="7858" xr:uid="{00000000-0005-0000-0000-0000DF1E0000}"/>
    <cellStyle name="Percent 9 3 5" xfId="7859" xr:uid="{00000000-0005-0000-0000-0000E01E0000}"/>
    <cellStyle name="Percent 9 4" xfId="7860" xr:uid="{00000000-0005-0000-0000-0000E11E0000}"/>
    <cellStyle name="Percent 9 4 2" xfId="7861" xr:uid="{00000000-0005-0000-0000-0000E21E0000}"/>
    <cellStyle name="Percent 9 4 2 2" xfId="7862" xr:uid="{00000000-0005-0000-0000-0000E31E0000}"/>
    <cellStyle name="Percent 9 4 3" xfId="7863" xr:uid="{00000000-0005-0000-0000-0000E41E0000}"/>
    <cellStyle name="Percent 9 4 3 2" xfId="7864" xr:uid="{00000000-0005-0000-0000-0000E51E0000}"/>
    <cellStyle name="Percent 9 4 4" xfId="7865" xr:uid="{00000000-0005-0000-0000-0000E61E0000}"/>
    <cellStyle name="Percent 9 4 5" xfId="7866" xr:uid="{00000000-0005-0000-0000-0000E71E0000}"/>
    <cellStyle name="Percent 9 5" xfId="7867" xr:uid="{00000000-0005-0000-0000-0000E81E0000}"/>
    <cellStyle name="Percent 9 5 2" xfId="7868" xr:uid="{00000000-0005-0000-0000-0000E91E0000}"/>
    <cellStyle name="Percent 9 5 2 2" xfId="7869" xr:uid="{00000000-0005-0000-0000-0000EA1E0000}"/>
    <cellStyle name="Percent 9 5 3" xfId="7870" xr:uid="{00000000-0005-0000-0000-0000EB1E0000}"/>
    <cellStyle name="Percent 9 5 3 2" xfId="7871" xr:uid="{00000000-0005-0000-0000-0000EC1E0000}"/>
    <cellStyle name="Percent 9 5 4" xfId="7872" xr:uid="{00000000-0005-0000-0000-0000ED1E0000}"/>
    <cellStyle name="Percent 9 5 5" xfId="7873" xr:uid="{00000000-0005-0000-0000-0000EE1E0000}"/>
    <cellStyle name="Percent 9 6" xfId="7874" xr:uid="{00000000-0005-0000-0000-0000EF1E0000}"/>
    <cellStyle name="Percent 9 6 2" xfId="7875" xr:uid="{00000000-0005-0000-0000-0000F01E0000}"/>
    <cellStyle name="Percent 9 6 2 2" xfId="7876" xr:uid="{00000000-0005-0000-0000-0000F11E0000}"/>
    <cellStyle name="Percent 9 6 3" xfId="7877" xr:uid="{00000000-0005-0000-0000-0000F21E0000}"/>
    <cellStyle name="Percent 9 6 3 2" xfId="7878" xr:uid="{00000000-0005-0000-0000-0000F31E0000}"/>
    <cellStyle name="Percent 9 6 4" xfId="7879" xr:uid="{00000000-0005-0000-0000-0000F41E0000}"/>
    <cellStyle name="Percent 9 6 5" xfId="7880" xr:uid="{00000000-0005-0000-0000-0000F51E0000}"/>
    <cellStyle name="Percent 9 7" xfId="7881" xr:uid="{00000000-0005-0000-0000-0000F61E0000}"/>
    <cellStyle name="Percent 9 7 2" xfId="7882" xr:uid="{00000000-0005-0000-0000-0000F71E0000}"/>
    <cellStyle name="Percent 9 7 2 2" xfId="7883" xr:uid="{00000000-0005-0000-0000-0000F81E0000}"/>
    <cellStyle name="Percent 9 7 3" xfId="7884" xr:uid="{00000000-0005-0000-0000-0000F91E0000}"/>
    <cellStyle name="Percent 9 7 3 2" xfId="7885" xr:uid="{00000000-0005-0000-0000-0000FA1E0000}"/>
    <cellStyle name="Percent 9 7 4" xfId="7886" xr:uid="{00000000-0005-0000-0000-0000FB1E0000}"/>
    <cellStyle name="Percent 9 7 4 2" xfId="7887" xr:uid="{00000000-0005-0000-0000-0000FC1E0000}"/>
    <cellStyle name="Percent 9 7 5" xfId="7888" xr:uid="{00000000-0005-0000-0000-0000FD1E0000}"/>
    <cellStyle name="Percent 9 7 5 2" xfId="7889" xr:uid="{00000000-0005-0000-0000-0000FE1E0000}"/>
    <cellStyle name="Percent 9 7 6" xfId="7890" xr:uid="{00000000-0005-0000-0000-0000FF1E0000}"/>
    <cellStyle name="Percent 9 7 7" xfId="7891" xr:uid="{00000000-0005-0000-0000-0000001F0000}"/>
    <cellStyle name="Percent 9 8" xfId="7892" xr:uid="{00000000-0005-0000-0000-0000011F0000}"/>
    <cellStyle name="Percent 9 8 2" xfId="7893" xr:uid="{00000000-0005-0000-0000-0000021F0000}"/>
    <cellStyle name="Percent 9 8 2 2" xfId="7894" xr:uid="{00000000-0005-0000-0000-0000031F0000}"/>
    <cellStyle name="Percent 9 8 3" xfId="7895" xr:uid="{00000000-0005-0000-0000-0000041F0000}"/>
    <cellStyle name="Percent 9 8 3 2" xfId="7896" xr:uid="{00000000-0005-0000-0000-0000051F0000}"/>
    <cellStyle name="Percent 9 8 4" xfId="7897" xr:uid="{00000000-0005-0000-0000-0000061F0000}"/>
    <cellStyle name="Percent 9 8 5" xfId="7898" xr:uid="{00000000-0005-0000-0000-0000071F0000}"/>
    <cellStyle name="Percent 9 9" xfId="7899" xr:uid="{00000000-0005-0000-0000-0000081F0000}"/>
    <cellStyle name="Percent 9 9 2" xfId="7900" xr:uid="{00000000-0005-0000-0000-0000091F0000}"/>
    <cellStyle name="Percentagem 2 2" xfId="7901" xr:uid="{00000000-0005-0000-0000-00000A1F0000}"/>
    <cellStyle name="Percentagem 2 2 2" xfId="7902" xr:uid="{00000000-0005-0000-0000-00000B1F0000}"/>
    <cellStyle name="Percentagem 2 3" xfId="7903" xr:uid="{00000000-0005-0000-0000-00000C1F0000}"/>
    <cellStyle name="Percentagem 2 3 2" xfId="7904" xr:uid="{00000000-0005-0000-0000-00000D1F0000}"/>
    <cellStyle name="Pilkku_Layo9704" xfId="7905" xr:uid="{00000000-0005-0000-0000-00000E1F0000}"/>
    <cellStyle name="Pyör. luku_Layo9704" xfId="7906" xr:uid="{00000000-0005-0000-0000-00000F1F0000}"/>
    <cellStyle name="Pyör. valuutta_Layo9704" xfId="7907" xr:uid="{00000000-0005-0000-0000-0000101F0000}"/>
    <cellStyle name="Rossz" xfId="7908" xr:uid="{00000000-0005-0000-0000-0000111F0000}"/>
    <cellStyle name="Schlecht" xfId="7909" xr:uid="{00000000-0005-0000-0000-0000121F0000}"/>
    <cellStyle name="Schlecht 2" xfId="7910" xr:uid="{00000000-0005-0000-0000-0000131F0000}"/>
    <cellStyle name="Semleges" xfId="7911" xr:uid="{00000000-0005-0000-0000-0000141F0000}"/>
    <cellStyle name="Shade" xfId="7912" xr:uid="{00000000-0005-0000-0000-0000151F0000}"/>
    <cellStyle name="Shade 2" xfId="7913" xr:uid="{00000000-0005-0000-0000-0000161F0000}"/>
    <cellStyle name="source" xfId="7914" xr:uid="{00000000-0005-0000-0000-0000171F0000}"/>
    <cellStyle name="source 2" xfId="7915" xr:uid="{00000000-0005-0000-0000-0000181F0000}"/>
    <cellStyle name="source 2 2" xfId="7916" xr:uid="{00000000-0005-0000-0000-0000191F0000}"/>
    <cellStyle name="source 2 2 2" xfId="7917" xr:uid="{00000000-0005-0000-0000-00001A1F0000}"/>
    <cellStyle name="source 3" xfId="7918" xr:uid="{00000000-0005-0000-0000-00001B1F0000}"/>
    <cellStyle name="source 4" xfId="7919" xr:uid="{00000000-0005-0000-0000-00001C1F0000}"/>
    <cellStyle name="source 4 2" xfId="7920" xr:uid="{00000000-0005-0000-0000-00001D1F0000}"/>
    <cellStyle name="Standaard_Blad1" xfId="7921" xr:uid="{00000000-0005-0000-0000-00001E1F0000}"/>
    <cellStyle name="Standard 2" xfId="7922" xr:uid="{00000000-0005-0000-0000-00001F1F0000}"/>
    <cellStyle name="Standard 2 2" xfId="7923" xr:uid="{00000000-0005-0000-0000-0000201F0000}"/>
    <cellStyle name="Standard 3" xfId="7924" xr:uid="{00000000-0005-0000-0000-0000211F0000}"/>
    <cellStyle name="Standard 3 2" xfId="7925" xr:uid="{00000000-0005-0000-0000-0000221F0000}"/>
    <cellStyle name="Standard_Sce_D_Extraction" xfId="7926" xr:uid="{00000000-0005-0000-0000-0000231F0000}"/>
    <cellStyle name="Style 1" xfId="7927" xr:uid="{00000000-0005-0000-0000-0000241F0000}"/>
    <cellStyle name="Style 1 2" xfId="7928" xr:uid="{00000000-0005-0000-0000-0000251F0000}"/>
    <cellStyle name="Style 103" xfId="7929" xr:uid="{00000000-0005-0000-0000-0000261F0000}"/>
    <cellStyle name="Style 103 2" xfId="7930" xr:uid="{00000000-0005-0000-0000-0000271F0000}"/>
    <cellStyle name="Style 103 2 2" xfId="7931" xr:uid="{00000000-0005-0000-0000-0000281F0000}"/>
    <cellStyle name="Style 103 3" xfId="7932" xr:uid="{00000000-0005-0000-0000-0000291F0000}"/>
    <cellStyle name="Style 103 3 2" xfId="7933" xr:uid="{00000000-0005-0000-0000-00002A1F0000}"/>
    <cellStyle name="Style 103 4" xfId="7934" xr:uid="{00000000-0005-0000-0000-00002B1F0000}"/>
    <cellStyle name="Style 104" xfId="7935" xr:uid="{00000000-0005-0000-0000-00002C1F0000}"/>
    <cellStyle name="Style 104 2" xfId="7936" xr:uid="{00000000-0005-0000-0000-00002D1F0000}"/>
    <cellStyle name="Style 104 2 2" xfId="7937" xr:uid="{00000000-0005-0000-0000-00002E1F0000}"/>
    <cellStyle name="Style 104 3" xfId="7938" xr:uid="{00000000-0005-0000-0000-00002F1F0000}"/>
    <cellStyle name="Style 104 3 2" xfId="7939" xr:uid="{00000000-0005-0000-0000-0000301F0000}"/>
    <cellStyle name="Style 104 4" xfId="7940" xr:uid="{00000000-0005-0000-0000-0000311F0000}"/>
    <cellStyle name="Style 105" xfId="7941" xr:uid="{00000000-0005-0000-0000-0000321F0000}"/>
    <cellStyle name="Style 105 2" xfId="7942" xr:uid="{00000000-0005-0000-0000-0000331F0000}"/>
    <cellStyle name="Style 105 2 2" xfId="7943" xr:uid="{00000000-0005-0000-0000-0000341F0000}"/>
    <cellStyle name="Style 105 3" xfId="7944" xr:uid="{00000000-0005-0000-0000-0000351F0000}"/>
    <cellStyle name="Style 106" xfId="7945" xr:uid="{00000000-0005-0000-0000-0000361F0000}"/>
    <cellStyle name="Style 106 2" xfId="7946" xr:uid="{00000000-0005-0000-0000-0000371F0000}"/>
    <cellStyle name="Style 106 2 2" xfId="7947" xr:uid="{00000000-0005-0000-0000-0000381F0000}"/>
    <cellStyle name="Style 106 3" xfId="7948" xr:uid="{00000000-0005-0000-0000-0000391F0000}"/>
    <cellStyle name="Style 107" xfId="7949" xr:uid="{00000000-0005-0000-0000-00003A1F0000}"/>
    <cellStyle name="Style 107 2" xfId="7950" xr:uid="{00000000-0005-0000-0000-00003B1F0000}"/>
    <cellStyle name="Style 107 2 2" xfId="7951" xr:uid="{00000000-0005-0000-0000-00003C1F0000}"/>
    <cellStyle name="Style 107 3" xfId="7952" xr:uid="{00000000-0005-0000-0000-00003D1F0000}"/>
    <cellStyle name="Style 108" xfId="7953" xr:uid="{00000000-0005-0000-0000-00003E1F0000}"/>
    <cellStyle name="Style 108 2" xfId="7954" xr:uid="{00000000-0005-0000-0000-00003F1F0000}"/>
    <cellStyle name="Style 108 2 2" xfId="7955" xr:uid="{00000000-0005-0000-0000-0000401F0000}"/>
    <cellStyle name="Style 108 3" xfId="7956" xr:uid="{00000000-0005-0000-0000-0000411F0000}"/>
    <cellStyle name="Style 108 3 2" xfId="7957" xr:uid="{00000000-0005-0000-0000-0000421F0000}"/>
    <cellStyle name="Style 108 4" xfId="7958" xr:uid="{00000000-0005-0000-0000-0000431F0000}"/>
    <cellStyle name="Style 109" xfId="7959" xr:uid="{00000000-0005-0000-0000-0000441F0000}"/>
    <cellStyle name="Style 109 2" xfId="7960" xr:uid="{00000000-0005-0000-0000-0000451F0000}"/>
    <cellStyle name="Style 109 2 2" xfId="7961" xr:uid="{00000000-0005-0000-0000-0000461F0000}"/>
    <cellStyle name="Style 109 3" xfId="7962" xr:uid="{00000000-0005-0000-0000-0000471F0000}"/>
    <cellStyle name="Style 110" xfId="7963" xr:uid="{00000000-0005-0000-0000-0000481F0000}"/>
    <cellStyle name="Style 110 2" xfId="7964" xr:uid="{00000000-0005-0000-0000-0000491F0000}"/>
    <cellStyle name="Style 110 2 2" xfId="7965" xr:uid="{00000000-0005-0000-0000-00004A1F0000}"/>
    <cellStyle name="Style 110 3" xfId="7966" xr:uid="{00000000-0005-0000-0000-00004B1F0000}"/>
    <cellStyle name="Style 114" xfId="7967" xr:uid="{00000000-0005-0000-0000-00004C1F0000}"/>
    <cellStyle name="Style 114 2" xfId="7968" xr:uid="{00000000-0005-0000-0000-00004D1F0000}"/>
    <cellStyle name="Style 114 2 2" xfId="7969" xr:uid="{00000000-0005-0000-0000-00004E1F0000}"/>
    <cellStyle name="Style 114 3" xfId="7970" xr:uid="{00000000-0005-0000-0000-00004F1F0000}"/>
    <cellStyle name="Style 114 3 2" xfId="7971" xr:uid="{00000000-0005-0000-0000-0000501F0000}"/>
    <cellStyle name="Style 114 4" xfId="7972" xr:uid="{00000000-0005-0000-0000-0000511F0000}"/>
    <cellStyle name="Style 115" xfId="7973" xr:uid="{00000000-0005-0000-0000-0000521F0000}"/>
    <cellStyle name="Style 115 2" xfId="7974" xr:uid="{00000000-0005-0000-0000-0000531F0000}"/>
    <cellStyle name="Style 115 2 2" xfId="7975" xr:uid="{00000000-0005-0000-0000-0000541F0000}"/>
    <cellStyle name="Style 115 3" xfId="7976" xr:uid="{00000000-0005-0000-0000-0000551F0000}"/>
    <cellStyle name="Style 115 3 2" xfId="7977" xr:uid="{00000000-0005-0000-0000-0000561F0000}"/>
    <cellStyle name="Style 115 4" xfId="7978" xr:uid="{00000000-0005-0000-0000-0000571F0000}"/>
    <cellStyle name="Style 116" xfId="7979" xr:uid="{00000000-0005-0000-0000-0000581F0000}"/>
    <cellStyle name="Style 116 2" xfId="7980" xr:uid="{00000000-0005-0000-0000-0000591F0000}"/>
    <cellStyle name="Style 116 2 2" xfId="7981" xr:uid="{00000000-0005-0000-0000-00005A1F0000}"/>
    <cellStyle name="Style 116 3" xfId="7982" xr:uid="{00000000-0005-0000-0000-00005B1F0000}"/>
    <cellStyle name="Style 117" xfId="7983" xr:uid="{00000000-0005-0000-0000-00005C1F0000}"/>
    <cellStyle name="Style 117 2" xfId="7984" xr:uid="{00000000-0005-0000-0000-00005D1F0000}"/>
    <cellStyle name="Style 117 2 2" xfId="7985" xr:uid="{00000000-0005-0000-0000-00005E1F0000}"/>
    <cellStyle name="Style 117 3" xfId="7986" xr:uid="{00000000-0005-0000-0000-00005F1F0000}"/>
    <cellStyle name="Style 118" xfId="7987" xr:uid="{00000000-0005-0000-0000-0000601F0000}"/>
    <cellStyle name="Style 118 2" xfId="7988" xr:uid="{00000000-0005-0000-0000-0000611F0000}"/>
    <cellStyle name="Style 118 2 2" xfId="7989" xr:uid="{00000000-0005-0000-0000-0000621F0000}"/>
    <cellStyle name="Style 118 3" xfId="7990" xr:uid="{00000000-0005-0000-0000-0000631F0000}"/>
    <cellStyle name="Style 119" xfId="7991" xr:uid="{00000000-0005-0000-0000-0000641F0000}"/>
    <cellStyle name="Style 119 2" xfId="7992" xr:uid="{00000000-0005-0000-0000-0000651F0000}"/>
    <cellStyle name="Style 119 2 2" xfId="7993" xr:uid="{00000000-0005-0000-0000-0000661F0000}"/>
    <cellStyle name="Style 119 3" xfId="7994" xr:uid="{00000000-0005-0000-0000-0000671F0000}"/>
    <cellStyle name="Style 119 3 2" xfId="7995" xr:uid="{00000000-0005-0000-0000-0000681F0000}"/>
    <cellStyle name="Style 119 4" xfId="7996" xr:uid="{00000000-0005-0000-0000-0000691F0000}"/>
    <cellStyle name="Style 120" xfId="7997" xr:uid="{00000000-0005-0000-0000-00006A1F0000}"/>
    <cellStyle name="Style 120 2" xfId="7998" xr:uid="{00000000-0005-0000-0000-00006B1F0000}"/>
    <cellStyle name="Style 120 2 2" xfId="7999" xr:uid="{00000000-0005-0000-0000-00006C1F0000}"/>
    <cellStyle name="Style 120 3" xfId="8000" xr:uid="{00000000-0005-0000-0000-00006D1F0000}"/>
    <cellStyle name="Style 121" xfId="8001" xr:uid="{00000000-0005-0000-0000-00006E1F0000}"/>
    <cellStyle name="Style 121 2" xfId="8002" xr:uid="{00000000-0005-0000-0000-00006F1F0000}"/>
    <cellStyle name="Style 121 2 2" xfId="8003" xr:uid="{00000000-0005-0000-0000-0000701F0000}"/>
    <cellStyle name="Style 121 3" xfId="8004" xr:uid="{00000000-0005-0000-0000-0000711F0000}"/>
    <cellStyle name="Style 126" xfId="8005" xr:uid="{00000000-0005-0000-0000-0000721F0000}"/>
    <cellStyle name="Style 126 2" xfId="8006" xr:uid="{00000000-0005-0000-0000-0000731F0000}"/>
    <cellStyle name="Style 126 2 2" xfId="8007" xr:uid="{00000000-0005-0000-0000-0000741F0000}"/>
    <cellStyle name="Style 126 3" xfId="8008" xr:uid="{00000000-0005-0000-0000-0000751F0000}"/>
    <cellStyle name="Style 126 3 2" xfId="8009" xr:uid="{00000000-0005-0000-0000-0000761F0000}"/>
    <cellStyle name="Style 126 4" xfId="8010" xr:uid="{00000000-0005-0000-0000-0000771F0000}"/>
    <cellStyle name="Style 127" xfId="8011" xr:uid="{00000000-0005-0000-0000-0000781F0000}"/>
    <cellStyle name="Style 127 2" xfId="8012" xr:uid="{00000000-0005-0000-0000-0000791F0000}"/>
    <cellStyle name="Style 127 2 2" xfId="8013" xr:uid="{00000000-0005-0000-0000-00007A1F0000}"/>
    <cellStyle name="Style 127 3" xfId="8014" xr:uid="{00000000-0005-0000-0000-00007B1F0000}"/>
    <cellStyle name="Style 128" xfId="8015" xr:uid="{00000000-0005-0000-0000-00007C1F0000}"/>
    <cellStyle name="Style 128 2" xfId="8016" xr:uid="{00000000-0005-0000-0000-00007D1F0000}"/>
    <cellStyle name="Style 128 2 2" xfId="8017" xr:uid="{00000000-0005-0000-0000-00007E1F0000}"/>
    <cellStyle name="Style 128 3" xfId="8018" xr:uid="{00000000-0005-0000-0000-00007F1F0000}"/>
    <cellStyle name="Style 129" xfId="8019" xr:uid="{00000000-0005-0000-0000-0000801F0000}"/>
    <cellStyle name="Style 129 2" xfId="8020" xr:uid="{00000000-0005-0000-0000-0000811F0000}"/>
    <cellStyle name="Style 129 2 2" xfId="8021" xr:uid="{00000000-0005-0000-0000-0000821F0000}"/>
    <cellStyle name="Style 129 3" xfId="8022" xr:uid="{00000000-0005-0000-0000-0000831F0000}"/>
    <cellStyle name="Style 130" xfId="8023" xr:uid="{00000000-0005-0000-0000-0000841F0000}"/>
    <cellStyle name="Style 130 2" xfId="8024" xr:uid="{00000000-0005-0000-0000-0000851F0000}"/>
    <cellStyle name="Style 130 2 2" xfId="8025" xr:uid="{00000000-0005-0000-0000-0000861F0000}"/>
    <cellStyle name="Style 130 3" xfId="8026" xr:uid="{00000000-0005-0000-0000-0000871F0000}"/>
    <cellStyle name="Style 130 3 2" xfId="8027" xr:uid="{00000000-0005-0000-0000-0000881F0000}"/>
    <cellStyle name="Style 130 4" xfId="8028" xr:uid="{00000000-0005-0000-0000-0000891F0000}"/>
    <cellStyle name="Style 131" xfId="8029" xr:uid="{00000000-0005-0000-0000-00008A1F0000}"/>
    <cellStyle name="Style 131 2" xfId="8030" xr:uid="{00000000-0005-0000-0000-00008B1F0000}"/>
    <cellStyle name="Style 131 2 2" xfId="8031" xr:uid="{00000000-0005-0000-0000-00008C1F0000}"/>
    <cellStyle name="Style 131 3" xfId="8032" xr:uid="{00000000-0005-0000-0000-00008D1F0000}"/>
    <cellStyle name="Style 132" xfId="8033" xr:uid="{00000000-0005-0000-0000-00008E1F0000}"/>
    <cellStyle name="Style 132 2" xfId="8034" xr:uid="{00000000-0005-0000-0000-00008F1F0000}"/>
    <cellStyle name="Style 132 2 2" xfId="8035" xr:uid="{00000000-0005-0000-0000-0000901F0000}"/>
    <cellStyle name="Style 132 3" xfId="8036" xr:uid="{00000000-0005-0000-0000-0000911F0000}"/>
    <cellStyle name="Style 137" xfId="8037" xr:uid="{00000000-0005-0000-0000-0000921F0000}"/>
    <cellStyle name="Style 137 2" xfId="8038" xr:uid="{00000000-0005-0000-0000-0000931F0000}"/>
    <cellStyle name="Style 137 2 2" xfId="8039" xr:uid="{00000000-0005-0000-0000-0000941F0000}"/>
    <cellStyle name="Style 137 3" xfId="8040" xr:uid="{00000000-0005-0000-0000-0000951F0000}"/>
    <cellStyle name="Style 137 3 2" xfId="8041" xr:uid="{00000000-0005-0000-0000-0000961F0000}"/>
    <cellStyle name="Style 137 4" xfId="8042" xr:uid="{00000000-0005-0000-0000-0000971F0000}"/>
    <cellStyle name="Style 138" xfId="8043" xr:uid="{00000000-0005-0000-0000-0000981F0000}"/>
    <cellStyle name="Style 138 2" xfId="8044" xr:uid="{00000000-0005-0000-0000-0000991F0000}"/>
    <cellStyle name="Style 138 2 2" xfId="8045" xr:uid="{00000000-0005-0000-0000-00009A1F0000}"/>
    <cellStyle name="Style 138 3" xfId="8046" xr:uid="{00000000-0005-0000-0000-00009B1F0000}"/>
    <cellStyle name="Style 139" xfId="8047" xr:uid="{00000000-0005-0000-0000-00009C1F0000}"/>
    <cellStyle name="Style 139 2" xfId="8048" xr:uid="{00000000-0005-0000-0000-00009D1F0000}"/>
    <cellStyle name="Style 139 2 2" xfId="8049" xr:uid="{00000000-0005-0000-0000-00009E1F0000}"/>
    <cellStyle name="Style 139 3" xfId="8050" xr:uid="{00000000-0005-0000-0000-00009F1F0000}"/>
    <cellStyle name="Style 140" xfId="8051" xr:uid="{00000000-0005-0000-0000-0000A01F0000}"/>
    <cellStyle name="Style 140 2" xfId="8052" xr:uid="{00000000-0005-0000-0000-0000A11F0000}"/>
    <cellStyle name="Style 140 2 2" xfId="8053" xr:uid="{00000000-0005-0000-0000-0000A21F0000}"/>
    <cellStyle name="Style 140 3" xfId="8054" xr:uid="{00000000-0005-0000-0000-0000A31F0000}"/>
    <cellStyle name="Style 141" xfId="8055" xr:uid="{00000000-0005-0000-0000-0000A41F0000}"/>
    <cellStyle name="Style 141 2" xfId="8056" xr:uid="{00000000-0005-0000-0000-0000A51F0000}"/>
    <cellStyle name="Style 141 2 2" xfId="8057" xr:uid="{00000000-0005-0000-0000-0000A61F0000}"/>
    <cellStyle name="Style 141 3" xfId="8058" xr:uid="{00000000-0005-0000-0000-0000A71F0000}"/>
    <cellStyle name="Style 141 3 2" xfId="8059" xr:uid="{00000000-0005-0000-0000-0000A81F0000}"/>
    <cellStyle name="Style 141 4" xfId="8060" xr:uid="{00000000-0005-0000-0000-0000A91F0000}"/>
    <cellStyle name="Style 142" xfId="8061" xr:uid="{00000000-0005-0000-0000-0000AA1F0000}"/>
    <cellStyle name="Style 142 2" xfId="8062" xr:uid="{00000000-0005-0000-0000-0000AB1F0000}"/>
    <cellStyle name="Style 142 2 2" xfId="8063" xr:uid="{00000000-0005-0000-0000-0000AC1F0000}"/>
    <cellStyle name="Style 142 3" xfId="8064" xr:uid="{00000000-0005-0000-0000-0000AD1F0000}"/>
    <cellStyle name="Style 143" xfId="8065" xr:uid="{00000000-0005-0000-0000-0000AE1F0000}"/>
    <cellStyle name="Style 143 2" xfId="8066" xr:uid="{00000000-0005-0000-0000-0000AF1F0000}"/>
    <cellStyle name="Style 143 2 2" xfId="8067" xr:uid="{00000000-0005-0000-0000-0000B01F0000}"/>
    <cellStyle name="Style 143 3" xfId="8068" xr:uid="{00000000-0005-0000-0000-0000B11F0000}"/>
    <cellStyle name="Style 148" xfId="8069" xr:uid="{00000000-0005-0000-0000-0000B21F0000}"/>
    <cellStyle name="Style 148 2" xfId="8070" xr:uid="{00000000-0005-0000-0000-0000B31F0000}"/>
    <cellStyle name="Style 148 2 2" xfId="8071" xr:uid="{00000000-0005-0000-0000-0000B41F0000}"/>
    <cellStyle name="Style 148 3" xfId="8072" xr:uid="{00000000-0005-0000-0000-0000B51F0000}"/>
    <cellStyle name="Style 148 3 2" xfId="8073" xr:uid="{00000000-0005-0000-0000-0000B61F0000}"/>
    <cellStyle name="Style 148 4" xfId="8074" xr:uid="{00000000-0005-0000-0000-0000B71F0000}"/>
    <cellStyle name="Style 149" xfId="8075" xr:uid="{00000000-0005-0000-0000-0000B81F0000}"/>
    <cellStyle name="Style 149 2" xfId="8076" xr:uid="{00000000-0005-0000-0000-0000B91F0000}"/>
    <cellStyle name="Style 149 2 2" xfId="8077" xr:uid="{00000000-0005-0000-0000-0000BA1F0000}"/>
    <cellStyle name="Style 149 3" xfId="8078" xr:uid="{00000000-0005-0000-0000-0000BB1F0000}"/>
    <cellStyle name="Style 150" xfId="8079" xr:uid="{00000000-0005-0000-0000-0000BC1F0000}"/>
    <cellStyle name="Style 150 2" xfId="8080" xr:uid="{00000000-0005-0000-0000-0000BD1F0000}"/>
    <cellStyle name="Style 150 2 2" xfId="8081" xr:uid="{00000000-0005-0000-0000-0000BE1F0000}"/>
    <cellStyle name="Style 150 3" xfId="8082" xr:uid="{00000000-0005-0000-0000-0000BF1F0000}"/>
    <cellStyle name="Style 151" xfId="8083" xr:uid="{00000000-0005-0000-0000-0000C01F0000}"/>
    <cellStyle name="Style 151 2" xfId="8084" xr:uid="{00000000-0005-0000-0000-0000C11F0000}"/>
    <cellStyle name="Style 151 2 2" xfId="8085" xr:uid="{00000000-0005-0000-0000-0000C21F0000}"/>
    <cellStyle name="Style 151 3" xfId="8086" xr:uid="{00000000-0005-0000-0000-0000C31F0000}"/>
    <cellStyle name="Style 152" xfId="8087" xr:uid="{00000000-0005-0000-0000-0000C41F0000}"/>
    <cellStyle name="Style 152 2" xfId="8088" xr:uid="{00000000-0005-0000-0000-0000C51F0000}"/>
    <cellStyle name="Style 152 2 2" xfId="8089" xr:uid="{00000000-0005-0000-0000-0000C61F0000}"/>
    <cellStyle name="Style 152 3" xfId="8090" xr:uid="{00000000-0005-0000-0000-0000C71F0000}"/>
    <cellStyle name="Style 152 3 2" xfId="8091" xr:uid="{00000000-0005-0000-0000-0000C81F0000}"/>
    <cellStyle name="Style 152 4" xfId="8092" xr:uid="{00000000-0005-0000-0000-0000C91F0000}"/>
    <cellStyle name="Style 153" xfId="8093" xr:uid="{00000000-0005-0000-0000-0000CA1F0000}"/>
    <cellStyle name="Style 153 2" xfId="8094" xr:uid="{00000000-0005-0000-0000-0000CB1F0000}"/>
    <cellStyle name="Style 153 2 2" xfId="8095" xr:uid="{00000000-0005-0000-0000-0000CC1F0000}"/>
    <cellStyle name="Style 153 3" xfId="8096" xr:uid="{00000000-0005-0000-0000-0000CD1F0000}"/>
    <cellStyle name="Style 154" xfId="8097" xr:uid="{00000000-0005-0000-0000-0000CE1F0000}"/>
    <cellStyle name="Style 154 2" xfId="8098" xr:uid="{00000000-0005-0000-0000-0000CF1F0000}"/>
    <cellStyle name="Style 154 2 2" xfId="8099" xr:uid="{00000000-0005-0000-0000-0000D01F0000}"/>
    <cellStyle name="Style 154 3" xfId="8100" xr:uid="{00000000-0005-0000-0000-0000D11F0000}"/>
    <cellStyle name="Style 159" xfId="8101" xr:uid="{00000000-0005-0000-0000-0000D21F0000}"/>
    <cellStyle name="Style 159 2" xfId="8102" xr:uid="{00000000-0005-0000-0000-0000D31F0000}"/>
    <cellStyle name="Style 159 2 2" xfId="8103" xr:uid="{00000000-0005-0000-0000-0000D41F0000}"/>
    <cellStyle name="Style 159 3" xfId="8104" xr:uid="{00000000-0005-0000-0000-0000D51F0000}"/>
    <cellStyle name="Style 159 3 2" xfId="8105" xr:uid="{00000000-0005-0000-0000-0000D61F0000}"/>
    <cellStyle name="Style 159 4" xfId="8106" xr:uid="{00000000-0005-0000-0000-0000D71F0000}"/>
    <cellStyle name="Style 160" xfId="8107" xr:uid="{00000000-0005-0000-0000-0000D81F0000}"/>
    <cellStyle name="Style 160 2" xfId="8108" xr:uid="{00000000-0005-0000-0000-0000D91F0000}"/>
    <cellStyle name="Style 160 2 2" xfId="8109" xr:uid="{00000000-0005-0000-0000-0000DA1F0000}"/>
    <cellStyle name="Style 160 3" xfId="8110" xr:uid="{00000000-0005-0000-0000-0000DB1F0000}"/>
    <cellStyle name="Style 161" xfId="8111" xr:uid="{00000000-0005-0000-0000-0000DC1F0000}"/>
    <cellStyle name="Style 161 2" xfId="8112" xr:uid="{00000000-0005-0000-0000-0000DD1F0000}"/>
    <cellStyle name="Style 161 2 2" xfId="8113" xr:uid="{00000000-0005-0000-0000-0000DE1F0000}"/>
    <cellStyle name="Style 161 3" xfId="8114" xr:uid="{00000000-0005-0000-0000-0000DF1F0000}"/>
    <cellStyle name="Style 162" xfId="8115" xr:uid="{00000000-0005-0000-0000-0000E01F0000}"/>
    <cellStyle name="Style 162 2" xfId="8116" xr:uid="{00000000-0005-0000-0000-0000E11F0000}"/>
    <cellStyle name="Style 162 2 2" xfId="8117" xr:uid="{00000000-0005-0000-0000-0000E21F0000}"/>
    <cellStyle name="Style 162 3" xfId="8118" xr:uid="{00000000-0005-0000-0000-0000E31F0000}"/>
    <cellStyle name="Style 163" xfId="8119" xr:uid="{00000000-0005-0000-0000-0000E41F0000}"/>
    <cellStyle name="Style 163 2" xfId="8120" xr:uid="{00000000-0005-0000-0000-0000E51F0000}"/>
    <cellStyle name="Style 163 2 2" xfId="8121" xr:uid="{00000000-0005-0000-0000-0000E61F0000}"/>
    <cellStyle name="Style 163 3" xfId="8122" xr:uid="{00000000-0005-0000-0000-0000E71F0000}"/>
    <cellStyle name="Style 163 3 2" xfId="8123" xr:uid="{00000000-0005-0000-0000-0000E81F0000}"/>
    <cellStyle name="Style 163 4" xfId="8124" xr:uid="{00000000-0005-0000-0000-0000E91F0000}"/>
    <cellStyle name="Style 164" xfId="8125" xr:uid="{00000000-0005-0000-0000-0000EA1F0000}"/>
    <cellStyle name="Style 164 2" xfId="8126" xr:uid="{00000000-0005-0000-0000-0000EB1F0000}"/>
    <cellStyle name="Style 164 2 2" xfId="8127" xr:uid="{00000000-0005-0000-0000-0000EC1F0000}"/>
    <cellStyle name="Style 164 3" xfId="8128" xr:uid="{00000000-0005-0000-0000-0000ED1F0000}"/>
    <cellStyle name="Style 165" xfId="8129" xr:uid="{00000000-0005-0000-0000-0000EE1F0000}"/>
    <cellStyle name="Style 165 2" xfId="8130" xr:uid="{00000000-0005-0000-0000-0000EF1F0000}"/>
    <cellStyle name="Style 165 2 2" xfId="8131" xr:uid="{00000000-0005-0000-0000-0000F01F0000}"/>
    <cellStyle name="Style 165 3" xfId="8132" xr:uid="{00000000-0005-0000-0000-0000F11F0000}"/>
    <cellStyle name="Style 21" xfId="8133" xr:uid="{00000000-0005-0000-0000-0000F21F0000}"/>
    <cellStyle name="Style 21 2" xfId="8134" xr:uid="{00000000-0005-0000-0000-0000F31F0000}"/>
    <cellStyle name="Style 21 2 2" xfId="8135" xr:uid="{00000000-0005-0000-0000-0000F41F0000}"/>
    <cellStyle name="Style 21 2 2 2" xfId="8136" xr:uid="{00000000-0005-0000-0000-0000F51F0000}"/>
    <cellStyle name="Style 21 2 3" xfId="8137" xr:uid="{00000000-0005-0000-0000-0000F61F0000}"/>
    <cellStyle name="Style 21 2 3 2" xfId="8138" xr:uid="{00000000-0005-0000-0000-0000F71F0000}"/>
    <cellStyle name="Style 21 2 4" xfId="8139" xr:uid="{00000000-0005-0000-0000-0000F81F0000}"/>
    <cellStyle name="Style 21 2 4 2" xfId="8140" xr:uid="{00000000-0005-0000-0000-0000F91F0000}"/>
    <cellStyle name="Style 21 3" xfId="8141" xr:uid="{00000000-0005-0000-0000-0000FA1F0000}"/>
    <cellStyle name="Style 21 3 2" xfId="8142" xr:uid="{00000000-0005-0000-0000-0000FB1F0000}"/>
    <cellStyle name="Style 21 3 2 2" xfId="8143" xr:uid="{00000000-0005-0000-0000-0000FC1F0000}"/>
    <cellStyle name="Style 21 3 3" xfId="8144" xr:uid="{00000000-0005-0000-0000-0000FD1F0000}"/>
    <cellStyle name="Style 21 3 3 2" xfId="8145" xr:uid="{00000000-0005-0000-0000-0000FE1F0000}"/>
    <cellStyle name="Style 21 3 4" xfId="8146" xr:uid="{00000000-0005-0000-0000-0000FF1F0000}"/>
    <cellStyle name="Style 21 4" xfId="8147" xr:uid="{00000000-0005-0000-0000-000000200000}"/>
    <cellStyle name="Style 21 4 2" xfId="8148" xr:uid="{00000000-0005-0000-0000-000001200000}"/>
    <cellStyle name="Style 21 5" xfId="8149" xr:uid="{00000000-0005-0000-0000-000002200000}"/>
    <cellStyle name="Style 21 5 2" xfId="8150" xr:uid="{00000000-0005-0000-0000-000003200000}"/>
    <cellStyle name="Style 21 6" xfId="8151" xr:uid="{00000000-0005-0000-0000-000004200000}"/>
    <cellStyle name="Style 21 6 2" xfId="8152" xr:uid="{00000000-0005-0000-0000-000005200000}"/>
    <cellStyle name="Style 22" xfId="8153" xr:uid="{00000000-0005-0000-0000-000006200000}"/>
    <cellStyle name="Style 22 2" xfId="8154" xr:uid="{00000000-0005-0000-0000-000007200000}"/>
    <cellStyle name="Style 22 2 2" xfId="8155" xr:uid="{00000000-0005-0000-0000-000008200000}"/>
    <cellStyle name="Style 22 3" xfId="8156" xr:uid="{00000000-0005-0000-0000-000009200000}"/>
    <cellStyle name="Style 22 3 2" xfId="8157" xr:uid="{00000000-0005-0000-0000-00000A200000}"/>
    <cellStyle name="Style 22 4" xfId="8158" xr:uid="{00000000-0005-0000-0000-00000B200000}"/>
    <cellStyle name="Style 22 4 2" xfId="8159" xr:uid="{00000000-0005-0000-0000-00000C200000}"/>
    <cellStyle name="Style 23" xfId="8160" xr:uid="{00000000-0005-0000-0000-00000D200000}"/>
    <cellStyle name="Style 23 2" xfId="8161" xr:uid="{00000000-0005-0000-0000-00000E200000}"/>
    <cellStyle name="Style 23 2 2" xfId="8162" xr:uid="{00000000-0005-0000-0000-00000F200000}"/>
    <cellStyle name="Style 23 3" xfId="8163" xr:uid="{00000000-0005-0000-0000-000010200000}"/>
    <cellStyle name="Style 23 3 2" xfId="8164" xr:uid="{00000000-0005-0000-0000-000011200000}"/>
    <cellStyle name="Style 23 4" xfId="8165" xr:uid="{00000000-0005-0000-0000-000012200000}"/>
    <cellStyle name="Style 23 4 2" xfId="8166" xr:uid="{00000000-0005-0000-0000-000013200000}"/>
    <cellStyle name="Style 24" xfId="8167" xr:uid="{00000000-0005-0000-0000-000014200000}"/>
    <cellStyle name="Style 24 2" xfId="8168" xr:uid="{00000000-0005-0000-0000-000015200000}"/>
    <cellStyle name="Style 24 2 2" xfId="8169" xr:uid="{00000000-0005-0000-0000-000016200000}"/>
    <cellStyle name="Style 24 3" xfId="8170" xr:uid="{00000000-0005-0000-0000-000017200000}"/>
    <cellStyle name="Style 24 3 2" xfId="8171" xr:uid="{00000000-0005-0000-0000-000018200000}"/>
    <cellStyle name="Style 24 4" xfId="8172" xr:uid="{00000000-0005-0000-0000-000019200000}"/>
    <cellStyle name="Style 24 4 2" xfId="8173" xr:uid="{00000000-0005-0000-0000-00001A200000}"/>
    <cellStyle name="Style 25" xfId="8174" xr:uid="{00000000-0005-0000-0000-00001B200000}"/>
    <cellStyle name="Style 25 2" xfId="8175" xr:uid="{00000000-0005-0000-0000-00001C200000}"/>
    <cellStyle name="Style 25 2 2" xfId="8176" xr:uid="{00000000-0005-0000-0000-00001D200000}"/>
    <cellStyle name="Style 25 2 2 2" xfId="8177" xr:uid="{00000000-0005-0000-0000-00001E200000}"/>
    <cellStyle name="Style 25 2 3" xfId="8178" xr:uid="{00000000-0005-0000-0000-00001F200000}"/>
    <cellStyle name="Style 25 2 3 2" xfId="8179" xr:uid="{00000000-0005-0000-0000-000020200000}"/>
    <cellStyle name="Style 25 3" xfId="8180" xr:uid="{00000000-0005-0000-0000-000021200000}"/>
    <cellStyle name="Style 25 3 2" xfId="8181" xr:uid="{00000000-0005-0000-0000-000022200000}"/>
    <cellStyle name="Style 25 3 2 2" xfId="8182" xr:uid="{00000000-0005-0000-0000-000023200000}"/>
    <cellStyle name="Style 25 3 3" xfId="8183" xr:uid="{00000000-0005-0000-0000-000024200000}"/>
    <cellStyle name="Style 25 3 3 2" xfId="8184" xr:uid="{00000000-0005-0000-0000-000025200000}"/>
    <cellStyle name="Style 25 3 4" xfId="8185" xr:uid="{00000000-0005-0000-0000-000026200000}"/>
    <cellStyle name="Style 25 4" xfId="8186" xr:uid="{00000000-0005-0000-0000-000027200000}"/>
    <cellStyle name="Style 25 4 2" xfId="8187" xr:uid="{00000000-0005-0000-0000-000028200000}"/>
    <cellStyle name="Style 25 5" xfId="8188" xr:uid="{00000000-0005-0000-0000-000029200000}"/>
    <cellStyle name="Style 25 5 2" xfId="8189" xr:uid="{00000000-0005-0000-0000-00002A200000}"/>
    <cellStyle name="Style 26" xfId="8190" xr:uid="{00000000-0005-0000-0000-00002B200000}"/>
    <cellStyle name="Style 26 2" xfId="8191" xr:uid="{00000000-0005-0000-0000-00002C200000}"/>
    <cellStyle name="Style 26 2 2" xfId="8192" xr:uid="{00000000-0005-0000-0000-00002D200000}"/>
    <cellStyle name="Style 26 3" xfId="8193" xr:uid="{00000000-0005-0000-0000-00002E200000}"/>
    <cellStyle name="Style 26 3 2" xfId="8194" xr:uid="{00000000-0005-0000-0000-00002F200000}"/>
    <cellStyle name="Style 26 4" xfId="8195" xr:uid="{00000000-0005-0000-0000-000030200000}"/>
    <cellStyle name="Style 26 4 2" xfId="8196" xr:uid="{00000000-0005-0000-0000-000031200000}"/>
    <cellStyle name="Style 27" xfId="8197" xr:uid="{00000000-0005-0000-0000-000032200000}"/>
    <cellStyle name="Style 27 2" xfId="8198" xr:uid="{00000000-0005-0000-0000-000033200000}"/>
    <cellStyle name="Style 27 2 2" xfId="8199" xr:uid="{00000000-0005-0000-0000-000034200000}"/>
    <cellStyle name="Style 27 3" xfId="8200" xr:uid="{00000000-0005-0000-0000-000035200000}"/>
    <cellStyle name="Style 35" xfId="8201" xr:uid="{00000000-0005-0000-0000-000036200000}"/>
    <cellStyle name="Style 35 2" xfId="8202" xr:uid="{00000000-0005-0000-0000-000037200000}"/>
    <cellStyle name="Style 35 2 2" xfId="8203" xr:uid="{00000000-0005-0000-0000-000038200000}"/>
    <cellStyle name="Style 35 3" xfId="8204" xr:uid="{00000000-0005-0000-0000-000039200000}"/>
    <cellStyle name="Style 35 3 2" xfId="8205" xr:uid="{00000000-0005-0000-0000-00003A200000}"/>
    <cellStyle name="Style 35 4" xfId="8206" xr:uid="{00000000-0005-0000-0000-00003B200000}"/>
    <cellStyle name="Style 36" xfId="8207" xr:uid="{00000000-0005-0000-0000-00003C200000}"/>
    <cellStyle name="Style 36 2" xfId="8208" xr:uid="{00000000-0005-0000-0000-00003D200000}"/>
    <cellStyle name="Style 36 2 2" xfId="8209" xr:uid="{00000000-0005-0000-0000-00003E200000}"/>
    <cellStyle name="Style 36 3" xfId="8210" xr:uid="{00000000-0005-0000-0000-00003F200000}"/>
    <cellStyle name="Style 37" xfId="8211" xr:uid="{00000000-0005-0000-0000-000040200000}"/>
    <cellStyle name="Style 37 2" xfId="8212" xr:uid="{00000000-0005-0000-0000-000041200000}"/>
    <cellStyle name="Style 37 2 2" xfId="8213" xr:uid="{00000000-0005-0000-0000-000042200000}"/>
    <cellStyle name="Style 37 3" xfId="8214" xr:uid="{00000000-0005-0000-0000-000043200000}"/>
    <cellStyle name="Style 38" xfId="8215" xr:uid="{00000000-0005-0000-0000-000044200000}"/>
    <cellStyle name="Style 38 2" xfId="8216" xr:uid="{00000000-0005-0000-0000-000045200000}"/>
    <cellStyle name="Style 38 2 2" xfId="8217" xr:uid="{00000000-0005-0000-0000-000046200000}"/>
    <cellStyle name="Style 38 3" xfId="8218" xr:uid="{00000000-0005-0000-0000-000047200000}"/>
    <cellStyle name="Style 39" xfId="8219" xr:uid="{00000000-0005-0000-0000-000048200000}"/>
    <cellStyle name="Style 39 2" xfId="8220" xr:uid="{00000000-0005-0000-0000-000049200000}"/>
    <cellStyle name="Style 39 2 2" xfId="8221" xr:uid="{00000000-0005-0000-0000-00004A200000}"/>
    <cellStyle name="Style 39 3" xfId="8222" xr:uid="{00000000-0005-0000-0000-00004B200000}"/>
    <cellStyle name="Style 39 3 2" xfId="8223" xr:uid="{00000000-0005-0000-0000-00004C200000}"/>
    <cellStyle name="Style 39 4" xfId="8224" xr:uid="{00000000-0005-0000-0000-00004D200000}"/>
    <cellStyle name="Style 40" xfId="8225" xr:uid="{00000000-0005-0000-0000-00004E200000}"/>
    <cellStyle name="Style 40 2" xfId="8226" xr:uid="{00000000-0005-0000-0000-00004F200000}"/>
    <cellStyle name="Style 40 2 2" xfId="8227" xr:uid="{00000000-0005-0000-0000-000050200000}"/>
    <cellStyle name="Style 40 3" xfId="8228" xr:uid="{00000000-0005-0000-0000-000051200000}"/>
    <cellStyle name="Style 41" xfId="8229" xr:uid="{00000000-0005-0000-0000-000052200000}"/>
    <cellStyle name="Style 41 2" xfId="8230" xr:uid="{00000000-0005-0000-0000-000053200000}"/>
    <cellStyle name="Style 41 2 2" xfId="8231" xr:uid="{00000000-0005-0000-0000-000054200000}"/>
    <cellStyle name="Style 41 3" xfId="8232" xr:uid="{00000000-0005-0000-0000-000055200000}"/>
    <cellStyle name="Style 46" xfId="8233" xr:uid="{00000000-0005-0000-0000-000056200000}"/>
    <cellStyle name="Style 46 2" xfId="8234" xr:uid="{00000000-0005-0000-0000-000057200000}"/>
    <cellStyle name="Style 46 2 2" xfId="8235" xr:uid="{00000000-0005-0000-0000-000058200000}"/>
    <cellStyle name="Style 46 3" xfId="8236" xr:uid="{00000000-0005-0000-0000-000059200000}"/>
    <cellStyle name="Style 46 3 2" xfId="8237" xr:uid="{00000000-0005-0000-0000-00005A200000}"/>
    <cellStyle name="Style 46 4" xfId="8238" xr:uid="{00000000-0005-0000-0000-00005B200000}"/>
    <cellStyle name="Style 47" xfId="8239" xr:uid="{00000000-0005-0000-0000-00005C200000}"/>
    <cellStyle name="Style 47 2" xfId="8240" xr:uid="{00000000-0005-0000-0000-00005D200000}"/>
    <cellStyle name="Style 47 2 2" xfId="8241" xr:uid="{00000000-0005-0000-0000-00005E200000}"/>
    <cellStyle name="Style 47 3" xfId="8242" xr:uid="{00000000-0005-0000-0000-00005F200000}"/>
    <cellStyle name="Style 48" xfId="8243" xr:uid="{00000000-0005-0000-0000-000060200000}"/>
    <cellStyle name="Style 48 2" xfId="8244" xr:uid="{00000000-0005-0000-0000-000061200000}"/>
    <cellStyle name="Style 48 2 2" xfId="8245" xr:uid="{00000000-0005-0000-0000-000062200000}"/>
    <cellStyle name="Style 48 3" xfId="8246" xr:uid="{00000000-0005-0000-0000-000063200000}"/>
    <cellStyle name="Style 49" xfId="8247" xr:uid="{00000000-0005-0000-0000-000064200000}"/>
    <cellStyle name="Style 49 2" xfId="8248" xr:uid="{00000000-0005-0000-0000-000065200000}"/>
    <cellStyle name="Style 49 2 2" xfId="8249" xr:uid="{00000000-0005-0000-0000-000066200000}"/>
    <cellStyle name="Style 49 3" xfId="8250" xr:uid="{00000000-0005-0000-0000-000067200000}"/>
    <cellStyle name="Style 50" xfId="8251" xr:uid="{00000000-0005-0000-0000-000068200000}"/>
    <cellStyle name="Style 50 2" xfId="8252" xr:uid="{00000000-0005-0000-0000-000069200000}"/>
    <cellStyle name="Style 50 2 2" xfId="8253" xr:uid="{00000000-0005-0000-0000-00006A200000}"/>
    <cellStyle name="Style 50 3" xfId="8254" xr:uid="{00000000-0005-0000-0000-00006B200000}"/>
    <cellStyle name="Style 50 3 2" xfId="8255" xr:uid="{00000000-0005-0000-0000-00006C200000}"/>
    <cellStyle name="Style 50 4" xfId="8256" xr:uid="{00000000-0005-0000-0000-00006D200000}"/>
    <cellStyle name="Style 51" xfId="8257" xr:uid="{00000000-0005-0000-0000-00006E200000}"/>
    <cellStyle name="Style 51 2" xfId="8258" xr:uid="{00000000-0005-0000-0000-00006F200000}"/>
    <cellStyle name="Style 51 2 2" xfId="8259" xr:uid="{00000000-0005-0000-0000-000070200000}"/>
    <cellStyle name="Style 51 3" xfId="8260" xr:uid="{00000000-0005-0000-0000-000071200000}"/>
    <cellStyle name="Style 52" xfId="8261" xr:uid="{00000000-0005-0000-0000-000072200000}"/>
    <cellStyle name="Style 52 2" xfId="8262" xr:uid="{00000000-0005-0000-0000-000073200000}"/>
    <cellStyle name="Style 52 2 2" xfId="8263" xr:uid="{00000000-0005-0000-0000-000074200000}"/>
    <cellStyle name="Style 52 3" xfId="8264" xr:uid="{00000000-0005-0000-0000-000075200000}"/>
    <cellStyle name="Style 58" xfId="8265" xr:uid="{00000000-0005-0000-0000-000076200000}"/>
    <cellStyle name="Style 58 2" xfId="8266" xr:uid="{00000000-0005-0000-0000-000077200000}"/>
    <cellStyle name="Style 58 2 2" xfId="8267" xr:uid="{00000000-0005-0000-0000-000078200000}"/>
    <cellStyle name="Style 58 3" xfId="8268" xr:uid="{00000000-0005-0000-0000-000079200000}"/>
    <cellStyle name="Style 58 3 2" xfId="8269" xr:uid="{00000000-0005-0000-0000-00007A200000}"/>
    <cellStyle name="Style 58 4" xfId="8270" xr:uid="{00000000-0005-0000-0000-00007B200000}"/>
    <cellStyle name="Style 59" xfId="8271" xr:uid="{00000000-0005-0000-0000-00007C200000}"/>
    <cellStyle name="Style 59 2" xfId="8272" xr:uid="{00000000-0005-0000-0000-00007D200000}"/>
    <cellStyle name="Style 59 2 2" xfId="8273" xr:uid="{00000000-0005-0000-0000-00007E200000}"/>
    <cellStyle name="Style 59 3" xfId="8274" xr:uid="{00000000-0005-0000-0000-00007F200000}"/>
    <cellStyle name="Style 60" xfId="8275" xr:uid="{00000000-0005-0000-0000-000080200000}"/>
    <cellStyle name="Style 60 2" xfId="8276" xr:uid="{00000000-0005-0000-0000-000081200000}"/>
    <cellStyle name="Style 60 2 2" xfId="8277" xr:uid="{00000000-0005-0000-0000-000082200000}"/>
    <cellStyle name="Style 60 3" xfId="8278" xr:uid="{00000000-0005-0000-0000-000083200000}"/>
    <cellStyle name="Style 61" xfId="8279" xr:uid="{00000000-0005-0000-0000-000084200000}"/>
    <cellStyle name="Style 61 2" xfId="8280" xr:uid="{00000000-0005-0000-0000-000085200000}"/>
    <cellStyle name="Style 61 2 2" xfId="8281" xr:uid="{00000000-0005-0000-0000-000086200000}"/>
    <cellStyle name="Style 61 3" xfId="8282" xr:uid="{00000000-0005-0000-0000-000087200000}"/>
    <cellStyle name="Style 62" xfId="8283" xr:uid="{00000000-0005-0000-0000-000088200000}"/>
    <cellStyle name="Style 62 2" xfId="8284" xr:uid="{00000000-0005-0000-0000-000089200000}"/>
    <cellStyle name="Style 62 2 2" xfId="8285" xr:uid="{00000000-0005-0000-0000-00008A200000}"/>
    <cellStyle name="Style 62 3" xfId="8286" xr:uid="{00000000-0005-0000-0000-00008B200000}"/>
    <cellStyle name="Style 62 3 2" xfId="8287" xr:uid="{00000000-0005-0000-0000-00008C200000}"/>
    <cellStyle name="Style 62 4" xfId="8288" xr:uid="{00000000-0005-0000-0000-00008D200000}"/>
    <cellStyle name="Style 63" xfId="8289" xr:uid="{00000000-0005-0000-0000-00008E200000}"/>
    <cellStyle name="Style 63 2" xfId="8290" xr:uid="{00000000-0005-0000-0000-00008F200000}"/>
    <cellStyle name="Style 63 2 2" xfId="8291" xr:uid="{00000000-0005-0000-0000-000090200000}"/>
    <cellStyle name="Style 63 3" xfId="8292" xr:uid="{00000000-0005-0000-0000-000091200000}"/>
    <cellStyle name="Style 64" xfId="8293" xr:uid="{00000000-0005-0000-0000-000092200000}"/>
    <cellStyle name="Style 64 2" xfId="8294" xr:uid="{00000000-0005-0000-0000-000093200000}"/>
    <cellStyle name="Style 64 2 2" xfId="8295" xr:uid="{00000000-0005-0000-0000-000094200000}"/>
    <cellStyle name="Style 64 3" xfId="8296" xr:uid="{00000000-0005-0000-0000-000095200000}"/>
    <cellStyle name="Style 69" xfId="8297" xr:uid="{00000000-0005-0000-0000-000096200000}"/>
    <cellStyle name="Style 69 2" xfId="8298" xr:uid="{00000000-0005-0000-0000-000097200000}"/>
    <cellStyle name="Style 69 2 2" xfId="8299" xr:uid="{00000000-0005-0000-0000-000098200000}"/>
    <cellStyle name="Style 69 3" xfId="8300" xr:uid="{00000000-0005-0000-0000-000099200000}"/>
    <cellStyle name="Style 69 3 2" xfId="8301" xr:uid="{00000000-0005-0000-0000-00009A200000}"/>
    <cellStyle name="Style 69 4" xfId="8302" xr:uid="{00000000-0005-0000-0000-00009B200000}"/>
    <cellStyle name="Style 70" xfId="8303" xr:uid="{00000000-0005-0000-0000-00009C200000}"/>
    <cellStyle name="Style 70 2" xfId="8304" xr:uid="{00000000-0005-0000-0000-00009D200000}"/>
    <cellStyle name="Style 70 2 2" xfId="8305" xr:uid="{00000000-0005-0000-0000-00009E200000}"/>
    <cellStyle name="Style 70 3" xfId="8306" xr:uid="{00000000-0005-0000-0000-00009F200000}"/>
    <cellStyle name="Style 71" xfId="8307" xr:uid="{00000000-0005-0000-0000-0000A0200000}"/>
    <cellStyle name="Style 71 2" xfId="8308" xr:uid="{00000000-0005-0000-0000-0000A1200000}"/>
    <cellStyle name="Style 71 2 2" xfId="8309" xr:uid="{00000000-0005-0000-0000-0000A2200000}"/>
    <cellStyle name="Style 71 3" xfId="8310" xr:uid="{00000000-0005-0000-0000-0000A3200000}"/>
    <cellStyle name="Style 72" xfId="8311" xr:uid="{00000000-0005-0000-0000-0000A4200000}"/>
    <cellStyle name="Style 72 2" xfId="8312" xr:uid="{00000000-0005-0000-0000-0000A5200000}"/>
    <cellStyle name="Style 72 2 2" xfId="8313" xr:uid="{00000000-0005-0000-0000-0000A6200000}"/>
    <cellStyle name="Style 72 3" xfId="8314" xr:uid="{00000000-0005-0000-0000-0000A7200000}"/>
    <cellStyle name="Style 73" xfId="8315" xr:uid="{00000000-0005-0000-0000-0000A8200000}"/>
    <cellStyle name="Style 73 2" xfId="8316" xr:uid="{00000000-0005-0000-0000-0000A9200000}"/>
    <cellStyle name="Style 73 2 2" xfId="8317" xr:uid="{00000000-0005-0000-0000-0000AA200000}"/>
    <cellStyle name="Style 73 3" xfId="8318" xr:uid="{00000000-0005-0000-0000-0000AB200000}"/>
    <cellStyle name="Style 73 3 2" xfId="8319" xr:uid="{00000000-0005-0000-0000-0000AC200000}"/>
    <cellStyle name="Style 73 4" xfId="8320" xr:uid="{00000000-0005-0000-0000-0000AD200000}"/>
    <cellStyle name="Style 74" xfId="8321" xr:uid="{00000000-0005-0000-0000-0000AE200000}"/>
    <cellStyle name="Style 74 2" xfId="8322" xr:uid="{00000000-0005-0000-0000-0000AF200000}"/>
    <cellStyle name="Style 74 2 2" xfId="8323" xr:uid="{00000000-0005-0000-0000-0000B0200000}"/>
    <cellStyle name="Style 74 3" xfId="8324" xr:uid="{00000000-0005-0000-0000-0000B1200000}"/>
    <cellStyle name="Style 75" xfId="8325" xr:uid="{00000000-0005-0000-0000-0000B2200000}"/>
    <cellStyle name="Style 75 2" xfId="8326" xr:uid="{00000000-0005-0000-0000-0000B3200000}"/>
    <cellStyle name="Style 75 2 2" xfId="8327" xr:uid="{00000000-0005-0000-0000-0000B4200000}"/>
    <cellStyle name="Style 75 3" xfId="8328" xr:uid="{00000000-0005-0000-0000-0000B5200000}"/>
    <cellStyle name="Style 80" xfId="8329" xr:uid="{00000000-0005-0000-0000-0000B6200000}"/>
    <cellStyle name="Style 80 2" xfId="8330" xr:uid="{00000000-0005-0000-0000-0000B7200000}"/>
    <cellStyle name="Style 80 2 2" xfId="8331" xr:uid="{00000000-0005-0000-0000-0000B8200000}"/>
    <cellStyle name="Style 80 3" xfId="8332" xr:uid="{00000000-0005-0000-0000-0000B9200000}"/>
    <cellStyle name="Style 80 3 2" xfId="8333" xr:uid="{00000000-0005-0000-0000-0000BA200000}"/>
    <cellStyle name="Style 80 4" xfId="8334" xr:uid="{00000000-0005-0000-0000-0000BB200000}"/>
    <cellStyle name="Style 81" xfId="8335" xr:uid="{00000000-0005-0000-0000-0000BC200000}"/>
    <cellStyle name="Style 81 2" xfId="8336" xr:uid="{00000000-0005-0000-0000-0000BD200000}"/>
    <cellStyle name="Style 81 2 2" xfId="8337" xr:uid="{00000000-0005-0000-0000-0000BE200000}"/>
    <cellStyle name="Style 81 3" xfId="8338" xr:uid="{00000000-0005-0000-0000-0000BF200000}"/>
    <cellStyle name="Style 81 3 2" xfId="8339" xr:uid="{00000000-0005-0000-0000-0000C0200000}"/>
    <cellStyle name="Style 81 4" xfId="8340" xr:uid="{00000000-0005-0000-0000-0000C1200000}"/>
    <cellStyle name="Style 82" xfId="8341" xr:uid="{00000000-0005-0000-0000-0000C2200000}"/>
    <cellStyle name="Style 82 2" xfId="8342" xr:uid="{00000000-0005-0000-0000-0000C3200000}"/>
    <cellStyle name="Style 82 2 2" xfId="8343" xr:uid="{00000000-0005-0000-0000-0000C4200000}"/>
    <cellStyle name="Style 82 3" xfId="8344" xr:uid="{00000000-0005-0000-0000-0000C5200000}"/>
    <cellStyle name="Style 83" xfId="8345" xr:uid="{00000000-0005-0000-0000-0000C6200000}"/>
    <cellStyle name="Style 83 2" xfId="8346" xr:uid="{00000000-0005-0000-0000-0000C7200000}"/>
    <cellStyle name="Style 83 2 2" xfId="8347" xr:uid="{00000000-0005-0000-0000-0000C8200000}"/>
    <cellStyle name="Style 83 3" xfId="8348" xr:uid="{00000000-0005-0000-0000-0000C9200000}"/>
    <cellStyle name="Style 84" xfId="8349" xr:uid="{00000000-0005-0000-0000-0000CA200000}"/>
    <cellStyle name="Style 84 2" xfId="8350" xr:uid="{00000000-0005-0000-0000-0000CB200000}"/>
    <cellStyle name="Style 84 2 2" xfId="8351" xr:uid="{00000000-0005-0000-0000-0000CC200000}"/>
    <cellStyle name="Style 84 3" xfId="8352" xr:uid="{00000000-0005-0000-0000-0000CD200000}"/>
    <cellStyle name="Style 85" xfId="8353" xr:uid="{00000000-0005-0000-0000-0000CE200000}"/>
    <cellStyle name="Style 85 2" xfId="8354" xr:uid="{00000000-0005-0000-0000-0000CF200000}"/>
    <cellStyle name="Style 85 2 2" xfId="8355" xr:uid="{00000000-0005-0000-0000-0000D0200000}"/>
    <cellStyle name="Style 85 3" xfId="8356" xr:uid="{00000000-0005-0000-0000-0000D1200000}"/>
    <cellStyle name="Style 85 3 2" xfId="8357" xr:uid="{00000000-0005-0000-0000-0000D2200000}"/>
    <cellStyle name="Style 85 4" xfId="8358" xr:uid="{00000000-0005-0000-0000-0000D3200000}"/>
    <cellStyle name="Style 86" xfId="8359" xr:uid="{00000000-0005-0000-0000-0000D4200000}"/>
    <cellStyle name="Style 86 2" xfId="8360" xr:uid="{00000000-0005-0000-0000-0000D5200000}"/>
    <cellStyle name="Style 86 2 2" xfId="8361" xr:uid="{00000000-0005-0000-0000-0000D6200000}"/>
    <cellStyle name="Style 86 3" xfId="8362" xr:uid="{00000000-0005-0000-0000-0000D7200000}"/>
    <cellStyle name="Style 87" xfId="8363" xr:uid="{00000000-0005-0000-0000-0000D8200000}"/>
    <cellStyle name="Style 87 2" xfId="8364" xr:uid="{00000000-0005-0000-0000-0000D9200000}"/>
    <cellStyle name="Style 87 2 2" xfId="8365" xr:uid="{00000000-0005-0000-0000-0000DA200000}"/>
    <cellStyle name="Style 87 3" xfId="8366" xr:uid="{00000000-0005-0000-0000-0000DB200000}"/>
    <cellStyle name="Style 93" xfId="8367" xr:uid="{00000000-0005-0000-0000-0000DC200000}"/>
    <cellStyle name="Style 93 2" xfId="8368" xr:uid="{00000000-0005-0000-0000-0000DD200000}"/>
    <cellStyle name="Style 93 2 2" xfId="8369" xr:uid="{00000000-0005-0000-0000-0000DE200000}"/>
    <cellStyle name="Style 93 3" xfId="8370" xr:uid="{00000000-0005-0000-0000-0000DF200000}"/>
    <cellStyle name="Style 93 3 2" xfId="8371" xr:uid="{00000000-0005-0000-0000-0000E0200000}"/>
    <cellStyle name="Style 93 4" xfId="8372" xr:uid="{00000000-0005-0000-0000-0000E1200000}"/>
    <cellStyle name="Style 94" xfId="8373" xr:uid="{00000000-0005-0000-0000-0000E2200000}"/>
    <cellStyle name="Style 94 2" xfId="8374" xr:uid="{00000000-0005-0000-0000-0000E3200000}"/>
    <cellStyle name="Style 94 2 2" xfId="8375" xr:uid="{00000000-0005-0000-0000-0000E4200000}"/>
    <cellStyle name="Style 94 3" xfId="8376" xr:uid="{00000000-0005-0000-0000-0000E5200000}"/>
    <cellStyle name="Style 95" xfId="8377" xr:uid="{00000000-0005-0000-0000-0000E6200000}"/>
    <cellStyle name="Style 95 2" xfId="8378" xr:uid="{00000000-0005-0000-0000-0000E7200000}"/>
    <cellStyle name="Style 95 2 2" xfId="8379" xr:uid="{00000000-0005-0000-0000-0000E8200000}"/>
    <cellStyle name="Style 95 3" xfId="8380" xr:uid="{00000000-0005-0000-0000-0000E9200000}"/>
    <cellStyle name="Style 96" xfId="8381" xr:uid="{00000000-0005-0000-0000-0000EA200000}"/>
    <cellStyle name="Style 96 2" xfId="8382" xr:uid="{00000000-0005-0000-0000-0000EB200000}"/>
    <cellStyle name="Style 96 2 2" xfId="8383" xr:uid="{00000000-0005-0000-0000-0000EC200000}"/>
    <cellStyle name="Style 96 3" xfId="8384" xr:uid="{00000000-0005-0000-0000-0000ED200000}"/>
    <cellStyle name="Style 97" xfId="8385" xr:uid="{00000000-0005-0000-0000-0000EE200000}"/>
    <cellStyle name="Style 97 2" xfId="8386" xr:uid="{00000000-0005-0000-0000-0000EF200000}"/>
    <cellStyle name="Style 97 2 2" xfId="8387" xr:uid="{00000000-0005-0000-0000-0000F0200000}"/>
    <cellStyle name="Style 97 3" xfId="8388" xr:uid="{00000000-0005-0000-0000-0000F1200000}"/>
    <cellStyle name="Style 97 3 2" xfId="8389" xr:uid="{00000000-0005-0000-0000-0000F2200000}"/>
    <cellStyle name="Style 97 4" xfId="8390" xr:uid="{00000000-0005-0000-0000-0000F3200000}"/>
    <cellStyle name="Style 98" xfId="8391" xr:uid="{00000000-0005-0000-0000-0000F4200000}"/>
    <cellStyle name="Style 98 2" xfId="8392" xr:uid="{00000000-0005-0000-0000-0000F5200000}"/>
    <cellStyle name="Style 98 2 2" xfId="8393" xr:uid="{00000000-0005-0000-0000-0000F6200000}"/>
    <cellStyle name="Style 98 3" xfId="8394" xr:uid="{00000000-0005-0000-0000-0000F7200000}"/>
    <cellStyle name="Style 99" xfId="8395" xr:uid="{00000000-0005-0000-0000-0000F8200000}"/>
    <cellStyle name="Style 99 2" xfId="8396" xr:uid="{00000000-0005-0000-0000-0000F9200000}"/>
    <cellStyle name="Style 99 2 2" xfId="8397" xr:uid="{00000000-0005-0000-0000-0000FA200000}"/>
    <cellStyle name="Style 99 3" xfId="8398" xr:uid="{00000000-0005-0000-0000-0000FB200000}"/>
    <cellStyle name="Számítás" xfId="8399" xr:uid="{00000000-0005-0000-0000-0000FC200000}"/>
    <cellStyle name="tableau | cellule | normal | decimal 1" xfId="8400" xr:uid="{00000000-0005-0000-0000-0000FD200000}"/>
    <cellStyle name="tableau | cellule | normal | decimal 1 2" xfId="8401" xr:uid="{00000000-0005-0000-0000-0000FE200000}"/>
    <cellStyle name="tableau | cellule | normal | decimal 1 2 2" xfId="8402" xr:uid="{00000000-0005-0000-0000-0000FF200000}"/>
    <cellStyle name="tableau | cellule | normal | pourcentage | decimal 1" xfId="8403" xr:uid="{00000000-0005-0000-0000-000000210000}"/>
    <cellStyle name="tableau | cellule | normal | pourcentage | decimal 1 2" xfId="8404" xr:uid="{00000000-0005-0000-0000-000001210000}"/>
    <cellStyle name="tableau | cellule | normal | pourcentage | decimal 1 2 2" xfId="8405" xr:uid="{00000000-0005-0000-0000-000002210000}"/>
    <cellStyle name="tableau | cellule | total | decimal 1" xfId="8406" xr:uid="{00000000-0005-0000-0000-000003210000}"/>
    <cellStyle name="tableau | cellule | total | decimal 1 2" xfId="8407" xr:uid="{00000000-0005-0000-0000-000004210000}"/>
    <cellStyle name="tableau | cellule | total | decimal 1 2 2" xfId="8408" xr:uid="{00000000-0005-0000-0000-000005210000}"/>
    <cellStyle name="tableau | coin superieur gauche" xfId="8409" xr:uid="{00000000-0005-0000-0000-000006210000}"/>
    <cellStyle name="tableau | coin superieur gauche 2" xfId="8410" xr:uid="{00000000-0005-0000-0000-000007210000}"/>
    <cellStyle name="tableau | coin superieur gauche 2 2" xfId="8411" xr:uid="{00000000-0005-0000-0000-000008210000}"/>
    <cellStyle name="tableau | entete-colonne | series" xfId="8412" xr:uid="{00000000-0005-0000-0000-000009210000}"/>
    <cellStyle name="tableau | entete-colonne | series 2" xfId="8413" xr:uid="{00000000-0005-0000-0000-00000A210000}"/>
    <cellStyle name="tableau | entete-colonne | series 2 2" xfId="8414" xr:uid="{00000000-0005-0000-0000-00000B210000}"/>
    <cellStyle name="tableau | entete-ligne | normal" xfId="8415" xr:uid="{00000000-0005-0000-0000-00000C210000}"/>
    <cellStyle name="tableau | entete-ligne | normal 2" xfId="8416" xr:uid="{00000000-0005-0000-0000-00000D210000}"/>
    <cellStyle name="tableau | entete-ligne | normal 2 2" xfId="8417" xr:uid="{00000000-0005-0000-0000-00000E210000}"/>
    <cellStyle name="tableau | entete-ligne | total" xfId="8418" xr:uid="{00000000-0005-0000-0000-00000F210000}"/>
    <cellStyle name="tableau | entete-ligne | total 2" xfId="8419" xr:uid="{00000000-0005-0000-0000-000010210000}"/>
    <cellStyle name="tableau | entete-ligne | total 2 2" xfId="8420" xr:uid="{00000000-0005-0000-0000-000011210000}"/>
    <cellStyle name="tableau | ligne-titre | niveau1" xfId="8421" xr:uid="{00000000-0005-0000-0000-000012210000}"/>
    <cellStyle name="tableau | ligne-titre | niveau1 2" xfId="8422" xr:uid="{00000000-0005-0000-0000-000013210000}"/>
    <cellStyle name="tableau | ligne-titre | niveau1 2 2" xfId="8423" xr:uid="{00000000-0005-0000-0000-000014210000}"/>
    <cellStyle name="tableau | ligne-titre | niveau2" xfId="8424" xr:uid="{00000000-0005-0000-0000-000015210000}"/>
    <cellStyle name="tableau | ligne-titre | niveau2 2" xfId="8425" xr:uid="{00000000-0005-0000-0000-000016210000}"/>
    <cellStyle name="tableau | ligne-titre | niveau2 2 2" xfId="8426" xr:uid="{00000000-0005-0000-0000-000017210000}"/>
    <cellStyle name="Title 10" xfId="8427" xr:uid="{00000000-0005-0000-0000-000018210000}"/>
    <cellStyle name="Title 10 2" xfId="8428" xr:uid="{00000000-0005-0000-0000-000019210000}"/>
    <cellStyle name="Title 11" xfId="8429" xr:uid="{00000000-0005-0000-0000-00001A210000}"/>
    <cellStyle name="Title 11 2" xfId="8430" xr:uid="{00000000-0005-0000-0000-00001B210000}"/>
    <cellStyle name="Title 12" xfId="8431" xr:uid="{00000000-0005-0000-0000-00001C210000}"/>
    <cellStyle name="Title 12 2" xfId="8432" xr:uid="{00000000-0005-0000-0000-00001D210000}"/>
    <cellStyle name="Title 13" xfId="8433" xr:uid="{00000000-0005-0000-0000-00001E210000}"/>
    <cellStyle name="Title 13 2" xfId="8434" xr:uid="{00000000-0005-0000-0000-00001F210000}"/>
    <cellStyle name="Title 14" xfId="8435" xr:uid="{00000000-0005-0000-0000-000020210000}"/>
    <cellStyle name="Title 14 2" xfId="8436" xr:uid="{00000000-0005-0000-0000-000021210000}"/>
    <cellStyle name="Title 15" xfId="8437" xr:uid="{00000000-0005-0000-0000-000022210000}"/>
    <cellStyle name="Title 15 2" xfId="8438" xr:uid="{00000000-0005-0000-0000-000023210000}"/>
    <cellStyle name="Title 16" xfId="8439" xr:uid="{00000000-0005-0000-0000-000024210000}"/>
    <cellStyle name="Title 16 2" xfId="8440" xr:uid="{00000000-0005-0000-0000-000025210000}"/>
    <cellStyle name="Title 17" xfId="8441" xr:uid="{00000000-0005-0000-0000-000026210000}"/>
    <cellStyle name="Title 17 2" xfId="8442" xr:uid="{00000000-0005-0000-0000-000027210000}"/>
    <cellStyle name="Title 18" xfId="8443" xr:uid="{00000000-0005-0000-0000-000028210000}"/>
    <cellStyle name="Title 18 2" xfId="8444" xr:uid="{00000000-0005-0000-0000-000029210000}"/>
    <cellStyle name="Title 19" xfId="8445" xr:uid="{00000000-0005-0000-0000-00002A210000}"/>
    <cellStyle name="Title 19 2" xfId="8446" xr:uid="{00000000-0005-0000-0000-00002B210000}"/>
    <cellStyle name="Title 2" xfId="8447" xr:uid="{00000000-0005-0000-0000-00002C210000}"/>
    <cellStyle name="Title 2 10" xfId="8448" xr:uid="{00000000-0005-0000-0000-00002D210000}"/>
    <cellStyle name="Title 2 10 2" xfId="8449" xr:uid="{00000000-0005-0000-0000-00002E210000}"/>
    <cellStyle name="Title 2 10 3" xfId="8450" xr:uid="{00000000-0005-0000-0000-00002F210000}"/>
    <cellStyle name="Title 2 11" xfId="8451" xr:uid="{00000000-0005-0000-0000-000030210000}"/>
    <cellStyle name="Title 2 11 2" xfId="8452" xr:uid="{00000000-0005-0000-0000-000031210000}"/>
    <cellStyle name="Title 2 2" xfId="8453" xr:uid="{00000000-0005-0000-0000-000032210000}"/>
    <cellStyle name="Title 2 2 2" xfId="8454" xr:uid="{00000000-0005-0000-0000-000033210000}"/>
    <cellStyle name="Title 2 2 2 2" xfId="8455" xr:uid="{00000000-0005-0000-0000-000034210000}"/>
    <cellStyle name="Title 2 2 3" xfId="8456" xr:uid="{00000000-0005-0000-0000-000035210000}"/>
    <cellStyle name="Title 2 2 4" xfId="8457" xr:uid="{00000000-0005-0000-0000-000036210000}"/>
    <cellStyle name="Title 2 3" xfId="8458" xr:uid="{00000000-0005-0000-0000-000037210000}"/>
    <cellStyle name="Title 2 3 2" xfId="8459" xr:uid="{00000000-0005-0000-0000-000038210000}"/>
    <cellStyle name="Title 2 3 3" xfId="8460" xr:uid="{00000000-0005-0000-0000-000039210000}"/>
    <cellStyle name="Title 2 4" xfId="8461" xr:uid="{00000000-0005-0000-0000-00003A210000}"/>
    <cellStyle name="Title 2 4 2" xfId="8462" xr:uid="{00000000-0005-0000-0000-00003B210000}"/>
    <cellStyle name="Title 2 4 3" xfId="8463" xr:uid="{00000000-0005-0000-0000-00003C210000}"/>
    <cellStyle name="Title 2 5" xfId="8464" xr:uid="{00000000-0005-0000-0000-00003D210000}"/>
    <cellStyle name="Title 2 5 2" xfId="8465" xr:uid="{00000000-0005-0000-0000-00003E210000}"/>
    <cellStyle name="Title 2 5 3" xfId="8466" xr:uid="{00000000-0005-0000-0000-00003F210000}"/>
    <cellStyle name="Title 2 6" xfId="8467" xr:uid="{00000000-0005-0000-0000-000040210000}"/>
    <cellStyle name="Title 2 6 2" xfId="8468" xr:uid="{00000000-0005-0000-0000-000041210000}"/>
    <cellStyle name="Title 2 6 3" xfId="8469" xr:uid="{00000000-0005-0000-0000-000042210000}"/>
    <cellStyle name="Title 2 7" xfId="8470" xr:uid="{00000000-0005-0000-0000-000043210000}"/>
    <cellStyle name="Title 2 7 2" xfId="8471" xr:uid="{00000000-0005-0000-0000-000044210000}"/>
    <cellStyle name="Title 2 7 3" xfId="8472" xr:uid="{00000000-0005-0000-0000-000045210000}"/>
    <cellStyle name="Title 2 8" xfId="8473" xr:uid="{00000000-0005-0000-0000-000046210000}"/>
    <cellStyle name="Title 2 8 2" xfId="8474" xr:uid="{00000000-0005-0000-0000-000047210000}"/>
    <cellStyle name="Title 2 8 3" xfId="8475" xr:uid="{00000000-0005-0000-0000-000048210000}"/>
    <cellStyle name="Title 2 9" xfId="8476" xr:uid="{00000000-0005-0000-0000-000049210000}"/>
    <cellStyle name="Title 2 9 2" xfId="8477" xr:uid="{00000000-0005-0000-0000-00004A210000}"/>
    <cellStyle name="Title 2 9 3" xfId="8478" xr:uid="{00000000-0005-0000-0000-00004B210000}"/>
    <cellStyle name="Title 20" xfId="8479" xr:uid="{00000000-0005-0000-0000-00004C210000}"/>
    <cellStyle name="Title 20 2" xfId="8480" xr:uid="{00000000-0005-0000-0000-00004D210000}"/>
    <cellStyle name="Title 21" xfId="8481" xr:uid="{00000000-0005-0000-0000-00004E210000}"/>
    <cellStyle name="Title 21 2" xfId="8482" xr:uid="{00000000-0005-0000-0000-00004F210000}"/>
    <cellStyle name="Title 22" xfId="8483" xr:uid="{00000000-0005-0000-0000-000050210000}"/>
    <cellStyle name="Title 22 2" xfId="8484" xr:uid="{00000000-0005-0000-0000-000051210000}"/>
    <cellStyle name="Title 23" xfId="8485" xr:uid="{00000000-0005-0000-0000-000052210000}"/>
    <cellStyle name="Title 23 2" xfId="8486" xr:uid="{00000000-0005-0000-0000-000053210000}"/>
    <cellStyle name="Title 24" xfId="8487" xr:uid="{00000000-0005-0000-0000-000054210000}"/>
    <cellStyle name="Title 24 2" xfId="8488" xr:uid="{00000000-0005-0000-0000-000055210000}"/>
    <cellStyle name="Title 25" xfId="8489" xr:uid="{00000000-0005-0000-0000-000056210000}"/>
    <cellStyle name="Title 25 2" xfId="8490" xr:uid="{00000000-0005-0000-0000-000057210000}"/>
    <cellStyle name="Title 26" xfId="8491" xr:uid="{00000000-0005-0000-0000-000058210000}"/>
    <cellStyle name="Title 26 2" xfId="8492" xr:uid="{00000000-0005-0000-0000-000059210000}"/>
    <cellStyle name="Title 27" xfId="8493" xr:uid="{00000000-0005-0000-0000-00005A210000}"/>
    <cellStyle name="Title 27 2" xfId="8494" xr:uid="{00000000-0005-0000-0000-00005B210000}"/>
    <cellStyle name="Title 28" xfId="8495" xr:uid="{00000000-0005-0000-0000-00005C210000}"/>
    <cellStyle name="Title 28 2" xfId="8496" xr:uid="{00000000-0005-0000-0000-00005D210000}"/>
    <cellStyle name="Title 29" xfId="8497" xr:uid="{00000000-0005-0000-0000-00005E210000}"/>
    <cellStyle name="Title 29 2" xfId="8498" xr:uid="{00000000-0005-0000-0000-00005F210000}"/>
    <cellStyle name="Title 3" xfId="8499" xr:uid="{00000000-0005-0000-0000-000060210000}"/>
    <cellStyle name="Title 3 2" xfId="8500" xr:uid="{00000000-0005-0000-0000-000061210000}"/>
    <cellStyle name="Title 3 2 2" xfId="8501" xr:uid="{00000000-0005-0000-0000-000062210000}"/>
    <cellStyle name="Title 3 2 3" xfId="8502" xr:uid="{00000000-0005-0000-0000-000063210000}"/>
    <cellStyle name="Title 3 3" xfId="8503" xr:uid="{00000000-0005-0000-0000-000064210000}"/>
    <cellStyle name="Title 3 3 2" xfId="8504" xr:uid="{00000000-0005-0000-0000-000065210000}"/>
    <cellStyle name="Title 3 4" xfId="8505" xr:uid="{00000000-0005-0000-0000-000066210000}"/>
    <cellStyle name="Title 3 4 2" xfId="8506" xr:uid="{00000000-0005-0000-0000-000067210000}"/>
    <cellStyle name="Title 3 5" xfId="8507" xr:uid="{00000000-0005-0000-0000-000068210000}"/>
    <cellStyle name="Title 3 5 2" xfId="8508" xr:uid="{00000000-0005-0000-0000-000069210000}"/>
    <cellStyle name="Title 3 6" xfId="8509" xr:uid="{00000000-0005-0000-0000-00006A210000}"/>
    <cellStyle name="Title 30" xfId="8510" xr:uid="{00000000-0005-0000-0000-00006B210000}"/>
    <cellStyle name="Title 30 2" xfId="8511" xr:uid="{00000000-0005-0000-0000-00006C210000}"/>
    <cellStyle name="Title 31" xfId="8512" xr:uid="{00000000-0005-0000-0000-00006D210000}"/>
    <cellStyle name="Title 31 2" xfId="8513" xr:uid="{00000000-0005-0000-0000-00006E210000}"/>
    <cellStyle name="Title 32" xfId="8514" xr:uid="{00000000-0005-0000-0000-00006F210000}"/>
    <cellStyle name="Title 32 2" xfId="8515" xr:uid="{00000000-0005-0000-0000-000070210000}"/>
    <cellStyle name="Title 33" xfId="8516" xr:uid="{00000000-0005-0000-0000-000071210000}"/>
    <cellStyle name="Title 33 2" xfId="8517" xr:uid="{00000000-0005-0000-0000-000072210000}"/>
    <cellStyle name="Title 34" xfId="8518" xr:uid="{00000000-0005-0000-0000-000073210000}"/>
    <cellStyle name="Title 34 2" xfId="8519" xr:uid="{00000000-0005-0000-0000-000074210000}"/>
    <cellStyle name="Title 35" xfId="8520" xr:uid="{00000000-0005-0000-0000-000075210000}"/>
    <cellStyle name="Title 35 2" xfId="8521" xr:uid="{00000000-0005-0000-0000-000076210000}"/>
    <cellStyle name="Title 36" xfId="8522" xr:uid="{00000000-0005-0000-0000-000077210000}"/>
    <cellStyle name="Title 36 2" xfId="8523" xr:uid="{00000000-0005-0000-0000-000078210000}"/>
    <cellStyle name="Title 37" xfId="8524" xr:uid="{00000000-0005-0000-0000-000079210000}"/>
    <cellStyle name="Title 37 2" xfId="8525" xr:uid="{00000000-0005-0000-0000-00007A210000}"/>
    <cellStyle name="Title 38" xfId="8526" xr:uid="{00000000-0005-0000-0000-00007B210000}"/>
    <cellStyle name="Title 38 2" xfId="8527" xr:uid="{00000000-0005-0000-0000-00007C210000}"/>
    <cellStyle name="Title 39" xfId="8528" xr:uid="{00000000-0005-0000-0000-00007D210000}"/>
    <cellStyle name="Title 39 2" xfId="8529" xr:uid="{00000000-0005-0000-0000-00007E210000}"/>
    <cellStyle name="Title 4" xfId="8530" xr:uid="{00000000-0005-0000-0000-00007F210000}"/>
    <cellStyle name="Title 4 2" xfId="8531" xr:uid="{00000000-0005-0000-0000-000080210000}"/>
    <cellStyle name="Title 4 2 2" xfId="8532" xr:uid="{00000000-0005-0000-0000-000081210000}"/>
    <cellStyle name="Title 40" xfId="8533" xr:uid="{00000000-0005-0000-0000-000082210000}"/>
    <cellStyle name="Title 40 2" xfId="8534" xr:uid="{00000000-0005-0000-0000-000083210000}"/>
    <cellStyle name="Title 41" xfId="8535" xr:uid="{00000000-0005-0000-0000-000084210000}"/>
    <cellStyle name="Title 41 2" xfId="8536" xr:uid="{00000000-0005-0000-0000-000085210000}"/>
    <cellStyle name="Title 42" xfId="8537" xr:uid="{00000000-0005-0000-0000-000086210000}"/>
    <cellStyle name="Title 42 2" xfId="8538" xr:uid="{00000000-0005-0000-0000-000087210000}"/>
    <cellStyle name="Title 43" xfId="8539" xr:uid="{00000000-0005-0000-0000-000088210000}"/>
    <cellStyle name="Title 43 2" xfId="8540" xr:uid="{00000000-0005-0000-0000-000089210000}"/>
    <cellStyle name="Title 5" xfId="8541" xr:uid="{00000000-0005-0000-0000-00008A210000}"/>
    <cellStyle name="Title 5 2" xfId="8542" xr:uid="{00000000-0005-0000-0000-00008B210000}"/>
    <cellStyle name="Title 5 2 2" xfId="8543" xr:uid="{00000000-0005-0000-0000-00008C210000}"/>
    <cellStyle name="Title 6" xfId="8544" xr:uid="{00000000-0005-0000-0000-00008D210000}"/>
    <cellStyle name="Title 6 2" xfId="8545" xr:uid="{00000000-0005-0000-0000-00008E210000}"/>
    <cellStyle name="Title 6 2 2" xfId="8546" xr:uid="{00000000-0005-0000-0000-00008F210000}"/>
    <cellStyle name="Title 7" xfId="8547" xr:uid="{00000000-0005-0000-0000-000090210000}"/>
    <cellStyle name="Title 7 2" xfId="8548" xr:uid="{00000000-0005-0000-0000-000091210000}"/>
    <cellStyle name="Title 8" xfId="8549" xr:uid="{00000000-0005-0000-0000-000092210000}"/>
    <cellStyle name="Title 8 2" xfId="8550" xr:uid="{00000000-0005-0000-0000-000093210000}"/>
    <cellStyle name="Title 9" xfId="8551" xr:uid="{00000000-0005-0000-0000-000094210000}"/>
    <cellStyle name="Title 9 2" xfId="8552" xr:uid="{00000000-0005-0000-0000-000095210000}"/>
    <cellStyle name="Total 10" xfId="8553" xr:uid="{00000000-0005-0000-0000-000096210000}"/>
    <cellStyle name="Total 10 2" xfId="8554" xr:uid="{00000000-0005-0000-0000-000097210000}"/>
    <cellStyle name="Total 11" xfId="8555" xr:uid="{00000000-0005-0000-0000-000098210000}"/>
    <cellStyle name="Total 11 2" xfId="8556" xr:uid="{00000000-0005-0000-0000-000099210000}"/>
    <cellStyle name="Total 12" xfId="8557" xr:uid="{00000000-0005-0000-0000-00009A210000}"/>
    <cellStyle name="Total 12 2" xfId="8558" xr:uid="{00000000-0005-0000-0000-00009B210000}"/>
    <cellStyle name="Total 13" xfId="8559" xr:uid="{00000000-0005-0000-0000-00009C210000}"/>
    <cellStyle name="Total 13 2" xfId="8560" xr:uid="{00000000-0005-0000-0000-00009D210000}"/>
    <cellStyle name="Total 14" xfId="8561" xr:uid="{00000000-0005-0000-0000-00009E210000}"/>
    <cellStyle name="Total 14 2" xfId="8562" xr:uid="{00000000-0005-0000-0000-00009F210000}"/>
    <cellStyle name="Total 15" xfId="8563" xr:uid="{00000000-0005-0000-0000-0000A0210000}"/>
    <cellStyle name="Total 15 2" xfId="8564" xr:uid="{00000000-0005-0000-0000-0000A1210000}"/>
    <cellStyle name="Total 16" xfId="8565" xr:uid="{00000000-0005-0000-0000-0000A2210000}"/>
    <cellStyle name="Total 16 2" xfId="8566" xr:uid="{00000000-0005-0000-0000-0000A3210000}"/>
    <cellStyle name="Total 17" xfId="8567" xr:uid="{00000000-0005-0000-0000-0000A4210000}"/>
    <cellStyle name="Total 17 2" xfId="8568" xr:uid="{00000000-0005-0000-0000-0000A5210000}"/>
    <cellStyle name="Total 18" xfId="8569" xr:uid="{00000000-0005-0000-0000-0000A6210000}"/>
    <cellStyle name="Total 18 2" xfId="8570" xr:uid="{00000000-0005-0000-0000-0000A7210000}"/>
    <cellStyle name="Total 19" xfId="8571" xr:uid="{00000000-0005-0000-0000-0000A8210000}"/>
    <cellStyle name="Total 19 2" xfId="8572" xr:uid="{00000000-0005-0000-0000-0000A9210000}"/>
    <cellStyle name="Total 2" xfId="8573" xr:uid="{00000000-0005-0000-0000-0000AA210000}"/>
    <cellStyle name="Total 2 10" xfId="8574" xr:uid="{00000000-0005-0000-0000-0000AB210000}"/>
    <cellStyle name="Total 2 10 2" xfId="8575" xr:uid="{00000000-0005-0000-0000-0000AC210000}"/>
    <cellStyle name="Total 2 10 3" xfId="8576" xr:uid="{00000000-0005-0000-0000-0000AD210000}"/>
    <cellStyle name="Total 2 11" xfId="8577" xr:uid="{00000000-0005-0000-0000-0000AE210000}"/>
    <cellStyle name="Total 2 11 2" xfId="8578" xr:uid="{00000000-0005-0000-0000-0000AF210000}"/>
    <cellStyle name="Total 2 2" xfId="8579" xr:uid="{00000000-0005-0000-0000-0000B0210000}"/>
    <cellStyle name="Total 2 2 2" xfId="8580" xr:uid="{00000000-0005-0000-0000-0000B1210000}"/>
    <cellStyle name="Total 2 2 3" xfId="8581" xr:uid="{00000000-0005-0000-0000-0000B2210000}"/>
    <cellStyle name="Total 2 3" xfId="8582" xr:uid="{00000000-0005-0000-0000-0000B3210000}"/>
    <cellStyle name="Total 2 3 2" xfId="8583" xr:uid="{00000000-0005-0000-0000-0000B4210000}"/>
    <cellStyle name="Total 2 3 3" xfId="8584" xr:uid="{00000000-0005-0000-0000-0000B5210000}"/>
    <cellStyle name="Total 2 4" xfId="8585" xr:uid="{00000000-0005-0000-0000-0000B6210000}"/>
    <cellStyle name="Total 2 4 2" xfId="8586" xr:uid="{00000000-0005-0000-0000-0000B7210000}"/>
    <cellStyle name="Total 2 4 3" xfId="8587" xr:uid="{00000000-0005-0000-0000-0000B8210000}"/>
    <cellStyle name="Total 2 5" xfId="8588" xr:uid="{00000000-0005-0000-0000-0000B9210000}"/>
    <cellStyle name="Total 2 5 2" xfId="8589" xr:uid="{00000000-0005-0000-0000-0000BA210000}"/>
    <cellStyle name="Total 2 5 3" xfId="8590" xr:uid="{00000000-0005-0000-0000-0000BB210000}"/>
    <cellStyle name="Total 2 6" xfId="8591" xr:uid="{00000000-0005-0000-0000-0000BC210000}"/>
    <cellStyle name="Total 2 6 2" xfId="8592" xr:uid="{00000000-0005-0000-0000-0000BD210000}"/>
    <cellStyle name="Total 2 6 3" xfId="8593" xr:uid="{00000000-0005-0000-0000-0000BE210000}"/>
    <cellStyle name="Total 2 7" xfId="8594" xr:uid="{00000000-0005-0000-0000-0000BF210000}"/>
    <cellStyle name="Total 2 7 2" xfId="8595" xr:uid="{00000000-0005-0000-0000-0000C0210000}"/>
    <cellStyle name="Total 2 7 3" xfId="8596" xr:uid="{00000000-0005-0000-0000-0000C1210000}"/>
    <cellStyle name="Total 2 8" xfId="8597" xr:uid="{00000000-0005-0000-0000-0000C2210000}"/>
    <cellStyle name="Total 2 8 2" xfId="8598" xr:uid="{00000000-0005-0000-0000-0000C3210000}"/>
    <cellStyle name="Total 2 8 3" xfId="8599" xr:uid="{00000000-0005-0000-0000-0000C4210000}"/>
    <cellStyle name="Total 2 9" xfId="8600" xr:uid="{00000000-0005-0000-0000-0000C5210000}"/>
    <cellStyle name="Total 2 9 2" xfId="8601" xr:uid="{00000000-0005-0000-0000-0000C6210000}"/>
    <cellStyle name="Total 2 9 3" xfId="8602" xr:uid="{00000000-0005-0000-0000-0000C7210000}"/>
    <cellStyle name="Total 20" xfId="8603" xr:uid="{00000000-0005-0000-0000-0000C8210000}"/>
    <cellStyle name="Total 20 2" xfId="8604" xr:uid="{00000000-0005-0000-0000-0000C9210000}"/>
    <cellStyle name="Total 21" xfId="8605" xr:uid="{00000000-0005-0000-0000-0000CA210000}"/>
    <cellStyle name="Total 21 2" xfId="8606" xr:uid="{00000000-0005-0000-0000-0000CB210000}"/>
    <cellStyle name="Total 22" xfId="8607" xr:uid="{00000000-0005-0000-0000-0000CC210000}"/>
    <cellStyle name="Total 22 2" xfId="8608" xr:uid="{00000000-0005-0000-0000-0000CD210000}"/>
    <cellStyle name="Total 23" xfId="8609" xr:uid="{00000000-0005-0000-0000-0000CE210000}"/>
    <cellStyle name="Total 23 2" xfId="8610" xr:uid="{00000000-0005-0000-0000-0000CF210000}"/>
    <cellStyle name="Total 24" xfId="8611" xr:uid="{00000000-0005-0000-0000-0000D0210000}"/>
    <cellStyle name="Total 24 2" xfId="8612" xr:uid="{00000000-0005-0000-0000-0000D1210000}"/>
    <cellStyle name="Total 25" xfId="8613" xr:uid="{00000000-0005-0000-0000-0000D2210000}"/>
    <cellStyle name="Total 25 2" xfId="8614" xr:uid="{00000000-0005-0000-0000-0000D3210000}"/>
    <cellStyle name="Total 26" xfId="8615" xr:uid="{00000000-0005-0000-0000-0000D4210000}"/>
    <cellStyle name="Total 26 2" xfId="8616" xr:uid="{00000000-0005-0000-0000-0000D5210000}"/>
    <cellStyle name="Total 27" xfId="8617" xr:uid="{00000000-0005-0000-0000-0000D6210000}"/>
    <cellStyle name="Total 27 2" xfId="8618" xr:uid="{00000000-0005-0000-0000-0000D7210000}"/>
    <cellStyle name="Total 28" xfId="8619" xr:uid="{00000000-0005-0000-0000-0000D8210000}"/>
    <cellStyle name="Total 28 2" xfId="8620" xr:uid="{00000000-0005-0000-0000-0000D9210000}"/>
    <cellStyle name="Total 29" xfId="8621" xr:uid="{00000000-0005-0000-0000-0000DA210000}"/>
    <cellStyle name="Total 29 2" xfId="8622" xr:uid="{00000000-0005-0000-0000-0000DB210000}"/>
    <cellStyle name="Total 3" xfId="8623" xr:uid="{00000000-0005-0000-0000-0000DC210000}"/>
    <cellStyle name="Total 3 2" xfId="8624" xr:uid="{00000000-0005-0000-0000-0000DD210000}"/>
    <cellStyle name="Total 3 2 2" xfId="8625" xr:uid="{00000000-0005-0000-0000-0000DE210000}"/>
    <cellStyle name="Total 3 2 3" xfId="8626" xr:uid="{00000000-0005-0000-0000-0000DF210000}"/>
    <cellStyle name="Total 3 3" xfId="8627" xr:uid="{00000000-0005-0000-0000-0000E0210000}"/>
    <cellStyle name="Total 3 3 2" xfId="8628" xr:uid="{00000000-0005-0000-0000-0000E1210000}"/>
    <cellStyle name="Total 3 4" xfId="8629" xr:uid="{00000000-0005-0000-0000-0000E2210000}"/>
    <cellStyle name="Total 3 4 2" xfId="8630" xr:uid="{00000000-0005-0000-0000-0000E3210000}"/>
    <cellStyle name="Total 3 5" xfId="8631" xr:uid="{00000000-0005-0000-0000-0000E4210000}"/>
    <cellStyle name="Total 3 5 2" xfId="8632" xr:uid="{00000000-0005-0000-0000-0000E5210000}"/>
    <cellStyle name="Total 3 6" xfId="8633" xr:uid="{00000000-0005-0000-0000-0000E6210000}"/>
    <cellStyle name="Total 30" xfId="8634" xr:uid="{00000000-0005-0000-0000-0000E7210000}"/>
    <cellStyle name="Total 30 2" xfId="8635" xr:uid="{00000000-0005-0000-0000-0000E8210000}"/>
    <cellStyle name="Total 31" xfId="8636" xr:uid="{00000000-0005-0000-0000-0000E9210000}"/>
    <cellStyle name="Total 31 2" xfId="8637" xr:uid="{00000000-0005-0000-0000-0000EA210000}"/>
    <cellStyle name="Total 32" xfId="8638" xr:uid="{00000000-0005-0000-0000-0000EB210000}"/>
    <cellStyle name="Total 32 2" xfId="8639" xr:uid="{00000000-0005-0000-0000-0000EC210000}"/>
    <cellStyle name="Total 33" xfId="8640" xr:uid="{00000000-0005-0000-0000-0000ED210000}"/>
    <cellStyle name="Total 33 2" xfId="8641" xr:uid="{00000000-0005-0000-0000-0000EE210000}"/>
    <cellStyle name="Total 34" xfId="8642" xr:uid="{00000000-0005-0000-0000-0000EF210000}"/>
    <cellStyle name="Total 34 2" xfId="8643" xr:uid="{00000000-0005-0000-0000-0000F0210000}"/>
    <cellStyle name="Total 35" xfId="8644" xr:uid="{00000000-0005-0000-0000-0000F1210000}"/>
    <cellStyle name="Total 35 2" xfId="8645" xr:uid="{00000000-0005-0000-0000-0000F2210000}"/>
    <cellStyle name="Total 36" xfId="8646" xr:uid="{00000000-0005-0000-0000-0000F3210000}"/>
    <cellStyle name="Total 36 2" xfId="8647" xr:uid="{00000000-0005-0000-0000-0000F4210000}"/>
    <cellStyle name="Total 37" xfId="8648" xr:uid="{00000000-0005-0000-0000-0000F5210000}"/>
    <cellStyle name="Total 37 2" xfId="8649" xr:uid="{00000000-0005-0000-0000-0000F6210000}"/>
    <cellStyle name="Total 38" xfId="8650" xr:uid="{00000000-0005-0000-0000-0000F7210000}"/>
    <cellStyle name="Total 38 2" xfId="8651" xr:uid="{00000000-0005-0000-0000-0000F8210000}"/>
    <cellStyle name="Total 39" xfId="8652" xr:uid="{00000000-0005-0000-0000-0000F9210000}"/>
    <cellStyle name="Total 39 2" xfId="8653" xr:uid="{00000000-0005-0000-0000-0000FA210000}"/>
    <cellStyle name="Total 4" xfId="8654" xr:uid="{00000000-0005-0000-0000-0000FB210000}"/>
    <cellStyle name="Total 4 2" xfId="8655" xr:uid="{00000000-0005-0000-0000-0000FC210000}"/>
    <cellStyle name="Total 4 2 2" xfId="8656" xr:uid="{00000000-0005-0000-0000-0000FD210000}"/>
    <cellStyle name="Total 40" xfId="8657" xr:uid="{00000000-0005-0000-0000-0000FE210000}"/>
    <cellStyle name="Total 40 2" xfId="8658" xr:uid="{00000000-0005-0000-0000-0000FF210000}"/>
    <cellStyle name="Total 41" xfId="8659" xr:uid="{00000000-0005-0000-0000-000000220000}"/>
    <cellStyle name="Total 41 2" xfId="8660" xr:uid="{00000000-0005-0000-0000-000001220000}"/>
    <cellStyle name="Total 42" xfId="8661" xr:uid="{00000000-0005-0000-0000-000002220000}"/>
    <cellStyle name="Total 42 2" xfId="8662" xr:uid="{00000000-0005-0000-0000-000003220000}"/>
    <cellStyle name="Total 5" xfId="8663" xr:uid="{00000000-0005-0000-0000-000004220000}"/>
    <cellStyle name="Total 5 2" xfId="8664" xr:uid="{00000000-0005-0000-0000-000005220000}"/>
    <cellStyle name="Total 5 2 2" xfId="8665" xr:uid="{00000000-0005-0000-0000-000006220000}"/>
    <cellStyle name="Total 6" xfId="8666" xr:uid="{00000000-0005-0000-0000-000007220000}"/>
    <cellStyle name="Total 6 2" xfId="8667" xr:uid="{00000000-0005-0000-0000-000008220000}"/>
    <cellStyle name="Total 7" xfId="8668" xr:uid="{00000000-0005-0000-0000-000009220000}"/>
    <cellStyle name="Total 7 2" xfId="8669" xr:uid="{00000000-0005-0000-0000-00000A220000}"/>
    <cellStyle name="Total 8" xfId="8670" xr:uid="{00000000-0005-0000-0000-00000B220000}"/>
    <cellStyle name="Total 8 2" xfId="8671" xr:uid="{00000000-0005-0000-0000-00000C220000}"/>
    <cellStyle name="Total 9" xfId="8672" xr:uid="{00000000-0005-0000-0000-00000D220000}"/>
    <cellStyle name="Total 9 2" xfId="8673" xr:uid="{00000000-0005-0000-0000-00000E220000}"/>
    <cellStyle name="Überschrift" xfId="8674" xr:uid="{00000000-0005-0000-0000-00000F220000}"/>
    <cellStyle name="Überschrift 1" xfId="8675" xr:uid="{00000000-0005-0000-0000-000010220000}"/>
    <cellStyle name="Überschrift 1 2" xfId="8676" xr:uid="{00000000-0005-0000-0000-000011220000}"/>
    <cellStyle name="Überschrift 2" xfId="8677" xr:uid="{00000000-0005-0000-0000-000012220000}"/>
    <cellStyle name="Überschrift 2 2" xfId="8678" xr:uid="{00000000-0005-0000-0000-000013220000}"/>
    <cellStyle name="Überschrift 3" xfId="8679" xr:uid="{00000000-0005-0000-0000-000014220000}"/>
    <cellStyle name="Überschrift 3 2" xfId="8680" xr:uid="{00000000-0005-0000-0000-000015220000}"/>
    <cellStyle name="Überschrift 4" xfId="8681" xr:uid="{00000000-0005-0000-0000-000016220000}"/>
    <cellStyle name="Überschrift 4 2" xfId="8682" xr:uid="{00000000-0005-0000-0000-000017220000}"/>
    <cellStyle name="Überschrift 5" xfId="8683" xr:uid="{00000000-0005-0000-0000-000018220000}"/>
    <cellStyle name="Valuutta_Layo9704" xfId="8684" xr:uid="{00000000-0005-0000-0000-000019220000}"/>
    <cellStyle name="Verknüpfte Zelle" xfId="8685" xr:uid="{00000000-0005-0000-0000-00001A220000}"/>
    <cellStyle name="Verknüpfte Zelle 2" xfId="8686" xr:uid="{00000000-0005-0000-0000-00001B220000}"/>
    <cellStyle name="Warnender Text" xfId="8687" xr:uid="{00000000-0005-0000-0000-00001C220000}"/>
    <cellStyle name="Warnender Text 2" xfId="8688" xr:uid="{00000000-0005-0000-0000-00001D220000}"/>
    <cellStyle name="Warning Text 10" xfId="8689" xr:uid="{00000000-0005-0000-0000-00001E220000}"/>
    <cellStyle name="Warning Text 10 2" xfId="8690" xr:uid="{00000000-0005-0000-0000-00001F220000}"/>
    <cellStyle name="Warning Text 11" xfId="8691" xr:uid="{00000000-0005-0000-0000-000020220000}"/>
    <cellStyle name="Warning Text 11 2" xfId="8692" xr:uid="{00000000-0005-0000-0000-000021220000}"/>
    <cellStyle name="Warning Text 12" xfId="8693" xr:uid="{00000000-0005-0000-0000-000022220000}"/>
    <cellStyle name="Warning Text 12 2" xfId="8694" xr:uid="{00000000-0005-0000-0000-000023220000}"/>
    <cellStyle name="Warning Text 13" xfId="8695" xr:uid="{00000000-0005-0000-0000-000024220000}"/>
    <cellStyle name="Warning Text 13 2" xfId="8696" xr:uid="{00000000-0005-0000-0000-000025220000}"/>
    <cellStyle name="Warning Text 14" xfId="8697" xr:uid="{00000000-0005-0000-0000-000026220000}"/>
    <cellStyle name="Warning Text 14 2" xfId="8698" xr:uid="{00000000-0005-0000-0000-000027220000}"/>
    <cellStyle name="Warning Text 15" xfId="8699" xr:uid="{00000000-0005-0000-0000-000028220000}"/>
    <cellStyle name="Warning Text 15 2" xfId="8700" xr:uid="{00000000-0005-0000-0000-000029220000}"/>
    <cellStyle name="Warning Text 16" xfId="8701" xr:uid="{00000000-0005-0000-0000-00002A220000}"/>
    <cellStyle name="Warning Text 16 2" xfId="8702" xr:uid="{00000000-0005-0000-0000-00002B220000}"/>
    <cellStyle name="Warning Text 17" xfId="8703" xr:uid="{00000000-0005-0000-0000-00002C220000}"/>
    <cellStyle name="Warning Text 17 2" xfId="8704" xr:uid="{00000000-0005-0000-0000-00002D220000}"/>
    <cellStyle name="Warning Text 18" xfId="8705" xr:uid="{00000000-0005-0000-0000-00002E220000}"/>
    <cellStyle name="Warning Text 18 2" xfId="8706" xr:uid="{00000000-0005-0000-0000-00002F220000}"/>
    <cellStyle name="Warning Text 19" xfId="8707" xr:uid="{00000000-0005-0000-0000-000030220000}"/>
    <cellStyle name="Warning Text 19 2" xfId="8708" xr:uid="{00000000-0005-0000-0000-000031220000}"/>
    <cellStyle name="Warning Text 2" xfId="8709" xr:uid="{00000000-0005-0000-0000-000032220000}"/>
    <cellStyle name="Warning Text 2 10" xfId="8710" xr:uid="{00000000-0005-0000-0000-000033220000}"/>
    <cellStyle name="Warning Text 2 10 2" xfId="8711" xr:uid="{00000000-0005-0000-0000-000034220000}"/>
    <cellStyle name="Warning Text 2 10 3" xfId="8712" xr:uid="{00000000-0005-0000-0000-000035220000}"/>
    <cellStyle name="Warning Text 2 11" xfId="8713" xr:uid="{00000000-0005-0000-0000-000036220000}"/>
    <cellStyle name="Warning Text 2 11 2" xfId="8714" xr:uid="{00000000-0005-0000-0000-000037220000}"/>
    <cellStyle name="Warning Text 2 2" xfId="8715" xr:uid="{00000000-0005-0000-0000-000038220000}"/>
    <cellStyle name="Warning Text 2 2 2" xfId="8716" xr:uid="{00000000-0005-0000-0000-000039220000}"/>
    <cellStyle name="Warning Text 2 2 3" xfId="8717" xr:uid="{00000000-0005-0000-0000-00003A220000}"/>
    <cellStyle name="Warning Text 2 3" xfId="8718" xr:uid="{00000000-0005-0000-0000-00003B220000}"/>
    <cellStyle name="Warning Text 2 3 2" xfId="8719" xr:uid="{00000000-0005-0000-0000-00003C220000}"/>
    <cellStyle name="Warning Text 2 3 3" xfId="8720" xr:uid="{00000000-0005-0000-0000-00003D220000}"/>
    <cellStyle name="Warning Text 2 4" xfId="8721" xr:uid="{00000000-0005-0000-0000-00003E220000}"/>
    <cellStyle name="Warning Text 2 4 2" xfId="8722" xr:uid="{00000000-0005-0000-0000-00003F220000}"/>
    <cellStyle name="Warning Text 2 4 3" xfId="8723" xr:uid="{00000000-0005-0000-0000-000040220000}"/>
    <cellStyle name="Warning Text 2 5" xfId="8724" xr:uid="{00000000-0005-0000-0000-000041220000}"/>
    <cellStyle name="Warning Text 2 5 2" xfId="8725" xr:uid="{00000000-0005-0000-0000-000042220000}"/>
    <cellStyle name="Warning Text 2 5 3" xfId="8726" xr:uid="{00000000-0005-0000-0000-000043220000}"/>
    <cellStyle name="Warning Text 2 6" xfId="8727" xr:uid="{00000000-0005-0000-0000-000044220000}"/>
    <cellStyle name="Warning Text 2 6 2" xfId="8728" xr:uid="{00000000-0005-0000-0000-000045220000}"/>
    <cellStyle name="Warning Text 2 6 3" xfId="8729" xr:uid="{00000000-0005-0000-0000-000046220000}"/>
    <cellStyle name="Warning Text 2 7" xfId="8730" xr:uid="{00000000-0005-0000-0000-000047220000}"/>
    <cellStyle name="Warning Text 2 7 2" xfId="8731" xr:uid="{00000000-0005-0000-0000-000048220000}"/>
    <cellStyle name="Warning Text 2 7 3" xfId="8732" xr:uid="{00000000-0005-0000-0000-000049220000}"/>
    <cellStyle name="Warning Text 2 8" xfId="8733" xr:uid="{00000000-0005-0000-0000-00004A220000}"/>
    <cellStyle name="Warning Text 2 8 2" xfId="8734" xr:uid="{00000000-0005-0000-0000-00004B220000}"/>
    <cellStyle name="Warning Text 2 8 3" xfId="8735" xr:uid="{00000000-0005-0000-0000-00004C220000}"/>
    <cellStyle name="Warning Text 2 9" xfId="8736" xr:uid="{00000000-0005-0000-0000-00004D220000}"/>
    <cellStyle name="Warning Text 2 9 2" xfId="8737" xr:uid="{00000000-0005-0000-0000-00004E220000}"/>
    <cellStyle name="Warning Text 2 9 3" xfId="8738" xr:uid="{00000000-0005-0000-0000-00004F220000}"/>
    <cellStyle name="Warning Text 20" xfId="8739" xr:uid="{00000000-0005-0000-0000-000050220000}"/>
    <cellStyle name="Warning Text 20 2" xfId="8740" xr:uid="{00000000-0005-0000-0000-000051220000}"/>
    <cellStyle name="Warning Text 21" xfId="8741" xr:uid="{00000000-0005-0000-0000-000052220000}"/>
    <cellStyle name="Warning Text 21 2" xfId="8742" xr:uid="{00000000-0005-0000-0000-000053220000}"/>
    <cellStyle name="Warning Text 22" xfId="8743" xr:uid="{00000000-0005-0000-0000-000054220000}"/>
    <cellStyle name="Warning Text 22 2" xfId="8744" xr:uid="{00000000-0005-0000-0000-000055220000}"/>
    <cellStyle name="Warning Text 23" xfId="8745" xr:uid="{00000000-0005-0000-0000-000056220000}"/>
    <cellStyle name="Warning Text 23 2" xfId="8746" xr:uid="{00000000-0005-0000-0000-000057220000}"/>
    <cellStyle name="Warning Text 24" xfId="8747" xr:uid="{00000000-0005-0000-0000-000058220000}"/>
    <cellStyle name="Warning Text 24 2" xfId="8748" xr:uid="{00000000-0005-0000-0000-000059220000}"/>
    <cellStyle name="Warning Text 25" xfId="8749" xr:uid="{00000000-0005-0000-0000-00005A220000}"/>
    <cellStyle name="Warning Text 25 2" xfId="8750" xr:uid="{00000000-0005-0000-0000-00005B220000}"/>
    <cellStyle name="Warning Text 26" xfId="8751" xr:uid="{00000000-0005-0000-0000-00005C220000}"/>
    <cellStyle name="Warning Text 26 2" xfId="8752" xr:uid="{00000000-0005-0000-0000-00005D220000}"/>
    <cellStyle name="Warning Text 27" xfId="8753" xr:uid="{00000000-0005-0000-0000-00005E220000}"/>
    <cellStyle name="Warning Text 27 2" xfId="8754" xr:uid="{00000000-0005-0000-0000-00005F220000}"/>
    <cellStyle name="Warning Text 28" xfId="8755" xr:uid="{00000000-0005-0000-0000-000060220000}"/>
    <cellStyle name="Warning Text 28 2" xfId="8756" xr:uid="{00000000-0005-0000-0000-000061220000}"/>
    <cellStyle name="Warning Text 29" xfId="8757" xr:uid="{00000000-0005-0000-0000-000062220000}"/>
    <cellStyle name="Warning Text 29 2" xfId="8758" xr:uid="{00000000-0005-0000-0000-000063220000}"/>
    <cellStyle name="Warning Text 3" xfId="8759" xr:uid="{00000000-0005-0000-0000-000064220000}"/>
    <cellStyle name="Warning Text 3 2" xfId="8760" xr:uid="{00000000-0005-0000-0000-000065220000}"/>
    <cellStyle name="Warning Text 3 2 2" xfId="8761" xr:uid="{00000000-0005-0000-0000-000066220000}"/>
    <cellStyle name="Warning Text 3 3" xfId="8762" xr:uid="{00000000-0005-0000-0000-000067220000}"/>
    <cellStyle name="Warning Text 3 3 2" xfId="8763" xr:uid="{00000000-0005-0000-0000-000068220000}"/>
    <cellStyle name="Warning Text 30" xfId="8764" xr:uid="{00000000-0005-0000-0000-000069220000}"/>
    <cellStyle name="Warning Text 30 2" xfId="8765" xr:uid="{00000000-0005-0000-0000-00006A220000}"/>
    <cellStyle name="Warning Text 31" xfId="8766" xr:uid="{00000000-0005-0000-0000-00006B220000}"/>
    <cellStyle name="Warning Text 31 2" xfId="8767" xr:uid="{00000000-0005-0000-0000-00006C220000}"/>
    <cellStyle name="Warning Text 32" xfId="8768" xr:uid="{00000000-0005-0000-0000-00006D220000}"/>
    <cellStyle name="Warning Text 32 2" xfId="8769" xr:uid="{00000000-0005-0000-0000-00006E220000}"/>
    <cellStyle name="Warning Text 33" xfId="8770" xr:uid="{00000000-0005-0000-0000-00006F220000}"/>
    <cellStyle name="Warning Text 33 2" xfId="8771" xr:uid="{00000000-0005-0000-0000-000070220000}"/>
    <cellStyle name="Warning Text 34" xfId="8772" xr:uid="{00000000-0005-0000-0000-000071220000}"/>
    <cellStyle name="Warning Text 34 2" xfId="8773" xr:uid="{00000000-0005-0000-0000-000072220000}"/>
    <cellStyle name="Warning Text 35" xfId="8774" xr:uid="{00000000-0005-0000-0000-000073220000}"/>
    <cellStyle name="Warning Text 35 2" xfId="8775" xr:uid="{00000000-0005-0000-0000-000074220000}"/>
    <cellStyle name="Warning Text 36" xfId="8776" xr:uid="{00000000-0005-0000-0000-000075220000}"/>
    <cellStyle name="Warning Text 36 2" xfId="8777" xr:uid="{00000000-0005-0000-0000-000076220000}"/>
    <cellStyle name="Warning Text 37" xfId="8778" xr:uid="{00000000-0005-0000-0000-000077220000}"/>
    <cellStyle name="Warning Text 37 2" xfId="8779" xr:uid="{00000000-0005-0000-0000-000078220000}"/>
    <cellStyle name="Warning Text 38" xfId="8780" xr:uid="{00000000-0005-0000-0000-000079220000}"/>
    <cellStyle name="Warning Text 38 2" xfId="8781" xr:uid="{00000000-0005-0000-0000-00007A220000}"/>
    <cellStyle name="Warning Text 39" xfId="8782" xr:uid="{00000000-0005-0000-0000-00007B220000}"/>
    <cellStyle name="Warning Text 39 2" xfId="8783" xr:uid="{00000000-0005-0000-0000-00007C220000}"/>
    <cellStyle name="Warning Text 4" xfId="8784" xr:uid="{00000000-0005-0000-0000-00007D220000}"/>
    <cellStyle name="Warning Text 4 2" xfId="8785" xr:uid="{00000000-0005-0000-0000-00007E220000}"/>
    <cellStyle name="Warning Text 4 2 2" xfId="8786" xr:uid="{00000000-0005-0000-0000-00007F220000}"/>
    <cellStyle name="Warning Text 40" xfId="8787" xr:uid="{00000000-0005-0000-0000-000080220000}"/>
    <cellStyle name="Warning Text 40 2" xfId="8788" xr:uid="{00000000-0005-0000-0000-000081220000}"/>
    <cellStyle name="Warning Text 41" xfId="8789" xr:uid="{00000000-0005-0000-0000-000082220000}"/>
    <cellStyle name="Warning Text 41 2" xfId="8790" xr:uid="{00000000-0005-0000-0000-000083220000}"/>
    <cellStyle name="Warning Text 5" xfId="8791" xr:uid="{00000000-0005-0000-0000-000084220000}"/>
    <cellStyle name="Warning Text 5 2" xfId="8792" xr:uid="{00000000-0005-0000-0000-000085220000}"/>
    <cellStyle name="Warning Text 5 2 2" xfId="8793" xr:uid="{00000000-0005-0000-0000-000086220000}"/>
    <cellStyle name="Warning Text 6" xfId="8794" xr:uid="{00000000-0005-0000-0000-000087220000}"/>
    <cellStyle name="Warning Text 6 2" xfId="8795" xr:uid="{00000000-0005-0000-0000-000088220000}"/>
    <cellStyle name="Warning Text 7" xfId="8796" xr:uid="{00000000-0005-0000-0000-000089220000}"/>
    <cellStyle name="Warning Text 7 2" xfId="8797" xr:uid="{00000000-0005-0000-0000-00008A220000}"/>
    <cellStyle name="Warning Text 8" xfId="8798" xr:uid="{00000000-0005-0000-0000-00008B220000}"/>
    <cellStyle name="Warning Text 8 2" xfId="8799" xr:uid="{00000000-0005-0000-0000-00008C220000}"/>
    <cellStyle name="Warning Text 9" xfId="8800" xr:uid="{00000000-0005-0000-0000-00008D220000}"/>
    <cellStyle name="Warning Text 9 2" xfId="8801" xr:uid="{00000000-0005-0000-0000-00008E220000}"/>
    <cellStyle name="Zelle überprüfen" xfId="8802" xr:uid="{00000000-0005-0000-0000-00008F220000}"/>
    <cellStyle name="Zelle überprüfen 2" xfId="8803" xr:uid="{00000000-0005-0000-0000-000090220000}"/>
    <cellStyle name="Гиперссылка" xfId="8804" xr:uid="{00000000-0005-0000-0000-000091220000}"/>
    <cellStyle name="Гиперссылка 2" xfId="8805" xr:uid="{00000000-0005-0000-0000-000092220000}"/>
    <cellStyle name="Обычный_2++" xfId="8806" xr:uid="{00000000-0005-0000-0000-000093220000}"/>
    <cellStyle name="已访问的超链接" xfId="8807" xr:uid="{00000000-0005-0000-0000-000094220000}"/>
    <cellStyle name="已访问的超链接 2" xfId="8808" xr:uid="{00000000-0005-0000-0000-000095220000}"/>
    <cellStyle name="已访问的超链接 2 2" xfId="8809" xr:uid="{00000000-0005-0000-0000-000096220000}"/>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09016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a:xfrm>
          <a:off x="580396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macro="" textlink="">
      <xdr:nvSpPr>
        <xdr:cNvPr id="4" name="Cross 3">
          <a:extLst>
            <a:ext uri="{FF2B5EF4-FFF2-40B4-BE49-F238E27FC236}">
              <a16:creationId xmlns:a16="http://schemas.microsoft.com/office/drawing/2014/main" id="{00000000-0008-0000-0000-000004000000}"/>
            </a:ext>
          </a:extLst>
        </xdr:cNvPr>
        <xdr:cNvSpPr/>
      </xdr:nvSpPr>
      <xdr:spPr>
        <a:xfrm>
          <a:off x="535254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RSD_V1p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COM_V1p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sheetData sheetId="1"/>
      <sheetData sheetId="2"/>
      <sheetData sheetId="3"/>
      <sheetData sheetId="4"/>
      <sheetData sheetId="5"/>
      <sheetData sheetId="6"/>
      <sheetData sheetId="7">
        <row r="19">
          <cell r="E19" t="str">
            <v>RSDAHT</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Demand"/>
      <sheetName val="attached_space_heating_byendtyp"/>
      <sheetName val="TechHeat-RES-AP"/>
      <sheetName val="TechHeat-RES-SA"/>
      <sheetName val="TechHeat-RES-SD"/>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row r="161">
          <cell r="I161">
            <v>0.60975609756097604</v>
          </cell>
        </row>
        <row r="163">
          <cell r="I163">
            <v>0.238095238095238</v>
          </cell>
        </row>
        <row r="165">
          <cell r="I165">
            <v>0.32051282051282098</v>
          </cell>
        </row>
        <row r="167">
          <cell r="I167">
            <v>0.83333333333333304</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Demand"/>
      <sheetName val="attached_space_heating_byendtyp"/>
      <sheetName val="TechHeat-RES-AP"/>
      <sheetName val="TechHeat-RES-SA"/>
      <sheetName val="TechHeat-RES-SD"/>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row r="79">
          <cell r="H79" t="str">
            <v>WH14_15,WH16_17,WH18_19,WH20_21, WH0_1,WH2_3,WH4_5,WH6_7,WH8_9, WH10_11,WH12_13, WH22_23</v>
          </cell>
        </row>
      </sheetData>
      <sheetData sheetId="10"/>
      <sheetData sheetId="11"/>
      <sheetData sheetId="12"/>
      <sheetData sheetId="13"/>
      <sheetData sheetId="14"/>
      <sheetData sheetId="15"/>
      <sheetData sheetId="16"/>
      <sheetData sheetId="17"/>
      <sheetData sheetId="18"/>
      <sheetData sheetId="19">
        <row r="33">
          <cell r="G33">
            <v>0.11899999999999999</v>
          </cell>
        </row>
      </sheetData>
      <sheetData sheetId="20"/>
      <sheetData sheetId="21"/>
      <sheetData sheetId="22"/>
      <sheetData sheetId="23">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0.22441379914876899</v>
          </cell>
        </row>
      </sheetData>
      <sheetData sheetId="24">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1.1264758734460101</v>
          </cell>
        </row>
      </sheetData>
      <sheetData sheetId="25">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0.35298455491446901</v>
          </cell>
        </row>
      </sheetData>
      <sheetData sheetId="26">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2.7269434932209702</v>
          </cell>
        </row>
      </sheetData>
      <sheetData sheetId="27"/>
      <sheetData sheetId="28"/>
      <sheetData sheetId="29"/>
      <sheetData sheetId="30"/>
      <sheetData sheetId="31">
        <row r="45">
          <cell r="F45">
            <v>1</v>
          </cell>
        </row>
      </sheetData>
      <sheetData sheetId="32"/>
      <sheetData sheetId="33"/>
      <sheetData sheetId="34">
        <row r="23">
          <cell r="F23">
            <v>0.71428571428571397</v>
          </cell>
          <cell r="N23">
            <v>0.69568463418715298</v>
          </cell>
        </row>
        <row r="54">
          <cell r="N54">
            <v>5.8565106387802497E-2</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ic_vehecle"/>
      <sheetName val="LIFE_n_OM"/>
      <sheetName val="mvkmPerTJ_EFF"/>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Rail_EFF_DEM"/>
      <sheetName val="Aviation_EFF_DEM"/>
      <sheetName val="Navigation_EFF_DEM"/>
      <sheetName val="attached_avi_freight_energy"/>
      <sheetName val="attached_rail"/>
      <sheetName val="attached_avi_passenger_eneuse"/>
      <sheetName val="FuelTech"/>
      <sheetName val="Emi"/>
      <sheetName val="attached_motorcycle"/>
      <sheetName val="attached_motorcycle_stock"/>
    </sheetNames>
    <sheetDataSet>
      <sheetData sheetId="0" refreshError="1">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72">
          <cell r="D72">
            <v>1.77</v>
          </cell>
          <cell r="E72">
            <v>1.77</v>
          </cell>
          <cell r="F72">
            <v>1.77</v>
          </cell>
          <cell r="G72">
            <v>1.77</v>
          </cell>
          <cell r="H72">
            <v>1.77</v>
          </cell>
          <cell r="I72">
            <v>1.77</v>
          </cell>
          <cell r="J72">
            <v>1.77</v>
          </cell>
        </row>
        <row r="73">
          <cell r="D73">
            <v>1.2390000000000001</v>
          </cell>
          <cell r="E73">
            <v>1.2390000000000001</v>
          </cell>
          <cell r="F73">
            <v>1.2390000000000001</v>
          </cell>
          <cell r="G73">
            <v>1.2390000000000001</v>
          </cell>
          <cell r="H73">
            <v>1.2390000000000001</v>
          </cell>
          <cell r="I73">
            <v>1.2390000000000001</v>
          </cell>
          <cell r="J73">
            <v>1.2390000000000001</v>
          </cell>
        </row>
        <row r="75">
          <cell r="D75">
            <v>1.1505000000000001</v>
          </cell>
          <cell r="E75">
            <v>1.1505000000000001</v>
          </cell>
          <cell r="F75">
            <v>1.1505000000000001</v>
          </cell>
          <cell r="G75">
            <v>1.1505000000000001</v>
          </cell>
          <cell r="H75">
            <v>1.1505000000000001</v>
          </cell>
          <cell r="I75">
            <v>1.1505000000000001</v>
          </cell>
          <cell r="J75">
            <v>1.1505000000000001</v>
          </cell>
        </row>
        <row r="77">
          <cell r="D77">
            <v>0.69</v>
          </cell>
        </row>
        <row r="78">
          <cell r="D78">
            <v>0.48299999999999998</v>
          </cell>
        </row>
        <row r="80">
          <cell r="D80">
            <v>0.44850000000000001</v>
          </cell>
        </row>
        <row r="94">
          <cell r="D94">
            <v>0.4</v>
          </cell>
        </row>
      </sheetData>
      <sheetData sheetId="1" refreshError="1"/>
      <sheetData sheetId="2" refreshError="1">
        <row r="5">
          <cell r="G5">
            <v>0.13786764705882401</v>
          </cell>
          <cell r="H5">
            <v>0.134657691676244</v>
          </cell>
          <cell r="I5">
            <v>0.13454293681355201</v>
          </cell>
          <cell r="J5">
            <v>0.14281833215213799</v>
          </cell>
          <cell r="K5">
            <v>0.116573220564478</v>
          </cell>
          <cell r="L5">
            <v>0.13347104681702601</v>
          </cell>
          <cell r="M5">
            <v>0.13347104681702601</v>
          </cell>
        </row>
        <row r="6">
          <cell r="G6">
            <v>0.13786764705882401</v>
          </cell>
          <cell r="H6">
            <v>0.134657691676244</v>
          </cell>
          <cell r="I6">
            <v>0.13454293681355201</v>
          </cell>
          <cell r="J6">
            <v>0.14281833215213799</v>
          </cell>
          <cell r="K6">
            <v>0.116573220564478</v>
          </cell>
          <cell r="L6">
            <v>0.13347104681702601</v>
          </cell>
          <cell r="M6">
            <v>0.13347104681702601</v>
          </cell>
        </row>
        <row r="7">
          <cell r="G7">
            <v>7.2565350045353402E-2</v>
          </cell>
          <cell r="H7">
            <v>6.3301533133313603E-2</v>
          </cell>
          <cell r="I7">
            <v>6.2780060372295901E-2</v>
          </cell>
          <cell r="J7">
            <v>7.6802323784802701E-2</v>
          </cell>
          <cell r="K7">
            <v>4.6997964721845302E-2</v>
          </cell>
          <cell r="L7">
            <v>5.9762036050401902E-2</v>
          </cell>
          <cell r="M7">
            <v>6.4746628717412297E-2</v>
          </cell>
        </row>
        <row r="8">
          <cell r="G8">
            <v>7.2565350045353402E-2</v>
          </cell>
          <cell r="H8">
            <v>6.3301533133313603E-2</v>
          </cell>
          <cell r="I8">
            <v>6.2780060372295901E-2</v>
          </cell>
          <cell r="J8">
            <v>7.6802323784802701E-2</v>
          </cell>
          <cell r="K8">
            <v>4.6997964721845302E-2</v>
          </cell>
          <cell r="L8">
            <v>5.9762036050401902E-2</v>
          </cell>
          <cell r="M8">
            <v>6.4746628717412297E-2</v>
          </cell>
        </row>
        <row r="9">
          <cell r="G9">
            <v>0.124240112798465</v>
          </cell>
          <cell r="H9">
            <v>0.117443692379508</v>
          </cell>
          <cell r="I9">
            <v>0.14829658713379601</v>
          </cell>
          <cell r="J9">
            <v>0.15653251783453401</v>
          </cell>
          <cell r="K9">
            <v>0.114443017201491</v>
          </cell>
          <cell r="L9">
            <v>0.15527716186252799</v>
          </cell>
          <cell r="M9">
            <v>0.21035316234725501</v>
          </cell>
        </row>
        <row r="10">
          <cell r="G10">
            <v>0.124240112798465</v>
          </cell>
          <cell r="H10">
            <v>0.117443692379508</v>
          </cell>
          <cell r="I10">
            <v>0.14829658713379601</v>
          </cell>
          <cell r="J10">
            <v>0.15653251783453401</v>
          </cell>
          <cell r="K10">
            <v>0.114443017201491</v>
          </cell>
          <cell r="L10">
            <v>0.15527716186252799</v>
          </cell>
          <cell r="M10">
            <v>0.21035316234725501</v>
          </cell>
        </row>
        <row r="11">
          <cell r="G11">
            <v>0.27539725469425202</v>
          </cell>
          <cell r="H11">
            <v>0.28117720301754001</v>
          </cell>
          <cell r="I11">
            <v>0.28262177034293301</v>
          </cell>
          <cell r="J11">
            <v>0.23549694944229499</v>
          </cell>
          <cell r="K11">
            <v>0.25244860906733102</v>
          </cell>
          <cell r="L11">
            <v>0.24054768110250299</v>
          </cell>
          <cell r="M11">
            <v>0.26275430943045902</v>
          </cell>
        </row>
        <row r="12">
          <cell r="G12">
            <v>0.27539725469425202</v>
          </cell>
          <cell r="H12">
            <v>0.28117720301754001</v>
          </cell>
          <cell r="I12">
            <v>0.28262177034293301</v>
          </cell>
          <cell r="J12">
            <v>0.23549694944229499</v>
          </cell>
          <cell r="K12">
            <v>0.25244860906733102</v>
          </cell>
          <cell r="L12">
            <v>0.24054768110250299</v>
          </cell>
          <cell r="M12">
            <v>0.26275430943045902</v>
          </cell>
        </row>
        <row r="14">
          <cell r="G14">
            <v>0.18828193967576901</v>
          </cell>
          <cell r="H14">
            <v>0.193791273221008</v>
          </cell>
          <cell r="I14">
            <v>0.18563673168936301</v>
          </cell>
          <cell r="J14">
            <v>0.211831478848512</v>
          </cell>
          <cell r="K14">
            <v>0.17648867282823899</v>
          </cell>
          <cell r="L14">
            <v>0.14129144851657899</v>
          </cell>
          <cell r="M14">
            <v>0.14043940682884101</v>
          </cell>
        </row>
        <row r="15">
          <cell r="G15">
            <v>0.18828193967576901</v>
          </cell>
          <cell r="H15">
            <v>0.193791273221008</v>
          </cell>
          <cell r="I15">
            <v>0.18563673168936301</v>
          </cell>
          <cell r="J15">
            <v>0.211831478848512</v>
          </cell>
          <cell r="K15">
            <v>0.17648867282823899</v>
          </cell>
          <cell r="L15">
            <v>0.14129144851657899</v>
          </cell>
          <cell r="M15">
            <v>0.14043940682884101</v>
          </cell>
        </row>
        <row r="16">
          <cell r="G16">
            <v>1.86763279979639</v>
          </cell>
          <cell r="H16">
            <v>3.0317039675679198</v>
          </cell>
          <cell r="I16">
            <v>3.0076028622540201</v>
          </cell>
          <cell r="J16">
            <v>3.4330821672048901</v>
          </cell>
          <cell r="K16">
            <v>1.4764456164686399</v>
          </cell>
          <cell r="L16">
            <v>1.4360975609756099</v>
          </cell>
          <cell r="M16">
            <v>0.80947324638082996</v>
          </cell>
        </row>
        <row r="18">
          <cell r="G18">
            <v>0.40443207019150501</v>
          </cell>
          <cell r="H18">
            <v>0.34835335742648299</v>
          </cell>
          <cell r="I18">
            <v>0.37528082388380302</v>
          </cell>
          <cell r="J18">
            <v>0.34999053948036302</v>
          </cell>
          <cell r="K18">
            <v>0.335665591464548</v>
          </cell>
          <cell r="L18">
            <v>0.35625944354653499</v>
          </cell>
          <cell r="M18">
            <v>0.35820171208102197</v>
          </cell>
        </row>
        <row r="25">
          <cell r="C25">
            <v>0.133343131699898</v>
          </cell>
        </row>
        <row r="26">
          <cell r="C26">
            <v>0.133343131699898</v>
          </cell>
        </row>
        <row r="27">
          <cell r="C27">
            <v>6.3850842403632105E-2</v>
          </cell>
        </row>
        <row r="28">
          <cell r="C28">
            <v>6.3850842403632105E-2</v>
          </cell>
        </row>
        <row r="29">
          <cell r="C29">
            <v>0.14665517879393999</v>
          </cell>
        </row>
        <row r="30">
          <cell r="C30">
            <v>0.14665517879393999</v>
          </cell>
        </row>
        <row r="31">
          <cell r="C31">
            <v>0.26149196815675901</v>
          </cell>
        </row>
        <row r="32">
          <cell r="C32">
            <v>0.26149196815675901</v>
          </cell>
        </row>
        <row r="33">
          <cell r="C33">
            <v>0.25731817182310801</v>
          </cell>
        </row>
        <row r="34">
          <cell r="C34">
            <v>0.14089741995368099</v>
          </cell>
        </row>
        <row r="35">
          <cell r="C35">
            <v>2.1517197458069002</v>
          </cell>
        </row>
        <row r="36">
          <cell r="C36">
            <v>0.54521420692670197</v>
          </cell>
        </row>
        <row r="37">
          <cell r="C37">
            <v>0.36116907686775102</v>
          </cell>
        </row>
        <row r="38">
          <cell r="C38">
            <v>0.36135614783700698</v>
          </cell>
        </row>
      </sheetData>
      <sheetData sheetId="3" refreshError="1"/>
      <sheetData sheetId="4" refreshError="1">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5" refreshError="1">
        <row r="5">
          <cell r="D5">
            <v>21.3333333333333</v>
          </cell>
          <cell r="E5">
            <v>21.841875008964799</v>
          </cell>
          <cell r="F5">
            <v>21.8605044623345</v>
          </cell>
          <cell r="G5">
            <v>20.593830121578002</v>
          </cell>
          <cell r="H5">
            <v>25.230292655090899</v>
          </cell>
          <cell r="I5">
            <v>22.0360635563177</v>
          </cell>
          <cell r="J5">
            <v>20.9204289037765</v>
          </cell>
        </row>
        <row r="6">
          <cell r="D6">
            <v>21.3333333333333</v>
          </cell>
          <cell r="E6">
            <v>21.841875008964799</v>
          </cell>
          <cell r="F6">
            <v>21.8605044623345</v>
          </cell>
          <cell r="G6">
            <v>20.593830121578002</v>
          </cell>
          <cell r="H6">
            <v>25.230292655090899</v>
          </cell>
          <cell r="I6">
            <v>22.0360635563177</v>
          </cell>
          <cell r="J6">
            <v>20.9204289037765</v>
          </cell>
        </row>
        <row r="7">
          <cell r="D7">
            <v>10.284090909090899</v>
          </cell>
          <cell r="E7">
            <v>11.789108727347401</v>
          </cell>
          <cell r="F7">
            <v>11.88703311674</v>
          </cell>
          <cell r="G7">
            <v>9.7167457954453997</v>
          </cell>
          <cell r="H7">
            <v>15.8787441356911</v>
          </cell>
          <cell r="I7">
            <v>12.487336544006499</v>
          </cell>
          <cell r="J7">
            <v>11.525984773253899</v>
          </cell>
        </row>
        <row r="8">
          <cell r="D8">
            <v>10.284090909090899</v>
          </cell>
          <cell r="E8">
            <v>11.789108727347401</v>
          </cell>
          <cell r="F8">
            <v>11.88703311674</v>
          </cell>
          <cell r="G8">
            <v>9.7167457954453997</v>
          </cell>
          <cell r="H8">
            <v>15.8787441356911</v>
          </cell>
          <cell r="I8">
            <v>12.487336544006499</v>
          </cell>
          <cell r="J8">
            <v>11.525984773253899</v>
          </cell>
        </row>
        <row r="9">
          <cell r="D9">
            <v>18.293023255813999</v>
          </cell>
          <cell r="E9">
            <v>19.351633337473601</v>
          </cell>
          <cell r="F9">
            <v>15.325553451049901</v>
          </cell>
          <cell r="G9">
            <v>14.519202170693401</v>
          </cell>
          <cell r="H9">
            <v>19.8590296577541</v>
          </cell>
          <cell r="I9">
            <v>14.6365843210053</v>
          </cell>
          <cell r="J9">
            <v>10.804340887328401</v>
          </cell>
        </row>
        <row r="10">
          <cell r="D10">
            <v>18.293023255813999</v>
          </cell>
          <cell r="E10">
            <v>19.351633337473601</v>
          </cell>
          <cell r="F10">
            <v>15.325553451049901</v>
          </cell>
          <cell r="G10">
            <v>14.519202170693401</v>
          </cell>
          <cell r="H10">
            <v>19.8590296577541</v>
          </cell>
          <cell r="I10">
            <v>14.6365843210053</v>
          </cell>
          <cell r="J10">
            <v>10.804340887328401</v>
          </cell>
        </row>
        <row r="11">
          <cell r="D11">
            <v>1.6617486580479901</v>
          </cell>
          <cell r="E11">
            <v>1.7016632016632001</v>
          </cell>
          <cell r="F11">
            <v>1.8238648668158499</v>
          </cell>
          <cell r="G11">
            <v>1.67839506172839</v>
          </cell>
          <cell r="H11">
            <v>1.70008680555556</v>
          </cell>
          <cell r="I11">
            <v>1.6762822431025199</v>
          </cell>
          <cell r="J11">
            <v>1.7538418079096101</v>
          </cell>
        </row>
        <row r="12">
          <cell r="D12">
            <v>1.6617486580479901</v>
          </cell>
          <cell r="E12">
            <v>1.7016632016632001</v>
          </cell>
          <cell r="F12">
            <v>1.8238648668158499</v>
          </cell>
          <cell r="G12">
            <v>1.67839506172839</v>
          </cell>
          <cell r="H12">
            <v>1.70008680555556</v>
          </cell>
          <cell r="I12">
            <v>1.6762822431025199</v>
          </cell>
          <cell r="J12">
            <v>1.7538418079096101</v>
          </cell>
        </row>
        <row r="13">
          <cell r="D13">
            <v>0.516272634667721</v>
          </cell>
          <cell r="E13">
            <v>0.55922067901234396</v>
          </cell>
          <cell r="F13">
            <v>0.58374331550802105</v>
          </cell>
          <cell r="G13">
            <v>0.534553775743705</v>
          </cell>
          <cell r="H13">
            <v>0.56687730384412804</v>
          </cell>
          <cell r="I13">
            <v>0.58163265306122403</v>
          </cell>
          <cell r="J13">
            <v>0.576731220657277</v>
          </cell>
        </row>
        <row r="14">
          <cell r="D14">
            <v>0.92610358325805597</v>
          </cell>
          <cell r="E14">
            <v>0.90529668119343198</v>
          </cell>
          <cell r="F14">
            <v>0.94506402313093896</v>
          </cell>
          <cell r="G14">
            <v>0.84148550724637505</v>
          </cell>
          <cell r="H14">
            <v>0.99755035383777702</v>
          </cell>
          <cell r="I14">
            <v>1.23517786561265</v>
          </cell>
          <cell r="J14">
            <v>1.2319218980588</v>
          </cell>
        </row>
        <row r="15">
          <cell r="D15">
            <v>0.27327646719090198</v>
          </cell>
          <cell r="E15">
            <v>0.20236043461970801</v>
          </cell>
          <cell r="F15">
            <v>0.19330855018587401</v>
          </cell>
          <cell r="G15">
            <v>0.194188963210702</v>
          </cell>
          <cell r="H15">
            <v>0.37838116869708799</v>
          </cell>
          <cell r="I15">
            <v>0.424592391304348</v>
          </cell>
          <cell r="J15">
            <v>0.56668407310705005</v>
          </cell>
        </row>
        <row r="16">
          <cell r="D16">
            <v>1.1583713153524899</v>
          </cell>
          <cell r="E16">
            <v>1.20132011435283</v>
          </cell>
          <cell r="F16">
            <v>1.2048192771084301</v>
          </cell>
          <cell r="G16">
            <v>1.2119952905325899</v>
          </cell>
          <cell r="H16">
            <v>1.1636927851047301</v>
          </cell>
          <cell r="I16">
            <v>1.20229815542788</v>
          </cell>
          <cell r="J16">
            <v>1.1968150065946901</v>
          </cell>
        </row>
        <row r="17">
          <cell r="D17">
            <v>1.58511582802766</v>
          </cell>
          <cell r="E17">
            <v>1.58599357826457</v>
          </cell>
          <cell r="F17">
            <v>1.5861138042651399</v>
          </cell>
          <cell r="G17">
            <v>1.5873444933123</v>
          </cell>
          <cell r="H17">
            <v>1.5846571919874599</v>
          </cell>
          <cell r="I17">
            <v>1.5858435801397399</v>
          </cell>
          <cell r="J17">
            <v>1.58620631621465</v>
          </cell>
        </row>
        <row r="18">
          <cell r="D18">
            <v>1.58511582802766</v>
          </cell>
          <cell r="E18">
            <v>1.58599357826457</v>
          </cell>
          <cell r="F18">
            <v>1.5861138042651399</v>
          </cell>
          <cell r="G18">
            <v>1.5873444933123</v>
          </cell>
          <cell r="H18">
            <v>1.5846571919874599</v>
          </cell>
          <cell r="I18">
            <v>1.5858435801397399</v>
          </cell>
          <cell r="J18">
            <v>1.58620631621465</v>
          </cell>
        </row>
        <row r="19">
          <cell r="D19">
            <v>1.58511582802766</v>
          </cell>
          <cell r="E19">
            <v>1.58599357826457</v>
          </cell>
          <cell r="F19">
            <v>1.5861138042651399</v>
          </cell>
          <cell r="G19">
            <v>1.5873444933123</v>
          </cell>
          <cell r="H19">
            <v>1.5846571919874599</v>
          </cell>
          <cell r="I19">
            <v>1.5858435801397399</v>
          </cell>
          <cell r="J19">
            <v>1.58620631621465</v>
          </cell>
        </row>
        <row r="20">
          <cell r="D20">
            <v>1.58511582802766</v>
          </cell>
          <cell r="E20">
            <v>1.58599357826457</v>
          </cell>
          <cell r="F20">
            <v>1.5861138042651399</v>
          </cell>
          <cell r="G20">
            <v>1.5873444933123</v>
          </cell>
          <cell r="H20">
            <v>1.5846571919874599</v>
          </cell>
          <cell r="I20">
            <v>1.5858435801397399</v>
          </cell>
          <cell r="J20">
            <v>1.58620631621465</v>
          </cell>
        </row>
        <row r="21">
          <cell r="D21">
            <v>1.58511582802766</v>
          </cell>
          <cell r="E21">
            <v>1.58599357826457</v>
          </cell>
          <cell r="F21">
            <v>1.5861138042651399</v>
          </cell>
          <cell r="G21">
            <v>1.5873444933123</v>
          </cell>
          <cell r="H21">
            <v>1.5846571919874599</v>
          </cell>
          <cell r="I21">
            <v>1.5858435801397399</v>
          </cell>
          <cell r="J21">
            <v>1.58620631621465</v>
          </cell>
        </row>
        <row r="22">
          <cell r="D22">
            <v>1.6617486580479901</v>
          </cell>
          <cell r="E22">
            <v>1.7016632016632001</v>
          </cell>
          <cell r="F22">
            <v>1.8238648668158499</v>
          </cell>
          <cell r="G22">
            <v>1.67839506172839</v>
          </cell>
          <cell r="H22">
            <v>1.70008680555556</v>
          </cell>
          <cell r="I22">
            <v>1.6762822431025199</v>
          </cell>
          <cell r="J22">
            <v>1.7538418079096101</v>
          </cell>
        </row>
        <row r="23">
          <cell r="D23">
            <v>1.6617486580479901</v>
          </cell>
          <cell r="E23">
            <v>1.7016632016632001</v>
          </cell>
          <cell r="F23">
            <v>1.8238648668158499</v>
          </cell>
          <cell r="G23">
            <v>1.67839506172839</v>
          </cell>
          <cell r="H23">
            <v>1.70008680555556</v>
          </cell>
          <cell r="I23">
            <v>1.6762822431025199</v>
          </cell>
          <cell r="J23">
            <v>1.7538418079096101</v>
          </cell>
        </row>
        <row r="24">
          <cell r="D24">
            <v>1.6617486580479901</v>
          </cell>
          <cell r="E24">
            <v>1.7016632016632001</v>
          </cell>
          <cell r="F24">
            <v>1.8238648668158499</v>
          </cell>
          <cell r="G24">
            <v>1.67839506172839</v>
          </cell>
          <cell r="H24">
            <v>1.70008680555556</v>
          </cell>
          <cell r="I24">
            <v>1.6762822431025199</v>
          </cell>
          <cell r="J24">
            <v>1.7538418079096101</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1</v>
          </cell>
        </row>
      </sheetData>
      <sheetData sheetId="7"/>
      <sheetData sheetId="8">
        <row r="199">
          <cell r="O199">
            <v>1</v>
          </cell>
        </row>
        <row r="200">
          <cell r="O200">
            <v>1</v>
          </cell>
        </row>
        <row r="201">
          <cell r="O201">
            <v>1</v>
          </cell>
        </row>
        <row r="202">
          <cell r="O202">
            <v>1</v>
          </cell>
        </row>
        <row r="203">
          <cell r="O203">
            <v>1</v>
          </cell>
        </row>
        <row r="204">
          <cell r="O204">
            <v>1</v>
          </cell>
        </row>
      </sheetData>
      <sheetData sheetId="9"/>
      <sheetData sheetId="10"/>
      <sheetData sheetId="11"/>
      <sheetData sheetId="12"/>
      <sheetData sheetId="13">
        <row r="199">
          <cell r="O199">
            <v>0.19848365442079791</v>
          </cell>
        </row>
        <row r="200">
          <cell r="O200">
            <v>0.4694684934038334</v>
          </cell>
        </row>
        <row r="201">
          <cell r="O201">
            <v>0.18361570890563317</v>
          </cell>
        </row>
        <row r="202">
          <cell r="O202">
            <v>0.18361570890563317</v>
          </cell>
        </row>
        <row r="203">
          <cell r="O203">
            <v>0.29415379576205714</v>
          </cell>
        </row>
        <row r="204">
          <cell r="O204">
            <v>0.61920112208002076</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79">
          <cell r="U79">
            <v>1.3415972844263499E-2</v>
          </cell>
        </row>
        <row r="80">
          <cell r="U80">
            <v>1.3415972844263499E-2</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limateinstitute.ca/wp-content/uploads/2023/09/Heat-Pumps-Pay-Off-Unlocking-lower-cost-heating-and-cooling-in-Canada-Canadian-Climate-Institute.pdf" TargetMode="External"/><Relationship Id="rId1" Type="http://schemas.openxmlformats.org/officeDocument/2006/relationships/hyperlink" Target="https://oee.nrcan.gc.ca/corporate/statistics/neud/dpa/showTable.cfm?type=CP&amp;sector=res&amp;juris=ca&amp;year=2021&amp;rn=21&amp;page=0"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us-regen-docs.epri.com/v2021a/assumptions/transportation.html" TargetMode="External"/><Relationship Id="rId1" Type="http://schemas.openxmlformats.org/officeDocument/2006/relationships/hyperlink" Target="https://iea.blob.core.windows.net/assets/a9e3544b-0b12-4e15-b407-65f5c8ce1b5f/GlobalEVOutlook2024.pdf"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Y243"/>
  <sheetViews>
    <sheetView topLeftCell="J1" zoomScale="51" zoomScaleNormal="51" workbookViewId="0">
      <pane ySplit="5" topLeftCell="A6" activePane="bottomLeft" state="frozen"/>
      <selection pane="bottomLeft" activeCell="I117" sqref="I117"/>
    </sheetView>
  </sheetViews>
  <sheetFormatPr defaultColWidth="9" defaultRowHeight="14.5"/>
  <cols>
    <col min="2" max="2" width="255.6328125" customWidth="1"/>
    <col min="3" max="3" width="38.6328125" customWidth="1"/>
    <col min="6" max="6" width="19" customWidth="1"/>
    <col min="7" max="7" width="9" style="41"/>
    <col min="8" max="9" width="9" style="42"/>
    <col min="10" max="10" width="28.453125" style="42" customWidth="1"/>
    <col min="11" max="14" width="12.81640625"/>
    <col min="15" max="15" width="15.26953125" customWidth="1"/>
    <col min="16" max="16" width="12.1796875" customWidth="1"/>
    <col min="17" max="17" width="47.6328125" style="41" customWidth="1"/>
    <col min="19" max="19" width="11" customWidth="1"/>
    <col min="23" max="23" width="29.7265625" customWidth="1"/>
    <col min="24" max="24" width="9.26953125" customWidth="1"/>
    <col min="40" max="40" width="27.6328125" customWidth="1"/>
    <col min="50" max="50" width="41.26953125" customWidth="1"/>
    <col min="51" max="51" width="11.7265625"/>
  </cols>
  <sheetData>
    <row r="1" spans="2:51">
      <c r="B1" s="17" t="s">
        <v>0</v>
      </c>
      <c r="AN1" s="189" t="s">
        <v>1</v>
      </c>
      <c r="AO1" s="191" t="s">
        <v>2</v>
      </c>
      <c r="AP1" s="58"/>
    </row>
    <row r="2" spans="2:51" ht="36" customHeight="1">
      <c r="B2" t="s">
        <v>3</v>
      </c>
      <c r="J2" s="42" t="s">
        <v>4</v>
      </c>
      <c r="K2" s="177"/>
      <c r="Q2" s="181" t="s">
        <v>5</v>
      </c>
      <c r="AN2" s="58" t="s">
        <v>6</v>
      </c>
      <c r="AO2" s="58" t="s">
        <v>7</v>
      </c>
      <c r="AP2" s="58" t="s">
        <v>8</v>
      </c>
    </row>
    <row r="3" spans="2:51" ht="47" customHeight="1">
      <c r="B3" s="172" t="s">
        <v>9</v>
      </c>
      <c r="AN3" s="190">
        <v>9.6000000000000002E-2</v>
      </c>
      <c r="AO3" s="190">
        <f>(7.1+15.9+9.6)/100</f>
        <v>0.32600000000000001</v>
      </c>
      <c r="AP3" s="58">
        <f>1-AN3-AO3</f>
        <v>0.57799999999999996</v>
      </c>
    </row>
    <row r="4" spans="2:51">
      <c r="F4" s="12" t="s">
        <v>10</v>
      </c>
      <c r="V4" s="20" t="s">
        <v>11</v>
      </c>
      <c r="W4" s="20"/>
      <c r="X4" s="48"/>
      <c r="Y4" s="48"/>
      <c r="Z4" s="48"/>
      <c r="AA4" s="48"/>
      <c r="AB4" s="48"/>
      <c r="AC4" s="48"/>
      <c r="AN4">
        <f t="shared" ref="AN4:AP8" si="0">AN3</f>
        <v>9.6000000000000002E-2</v>
      </c>
      <c r="AO4">
        <f t="shared" si="0"/>
        <v>0.32600000000000001</v>
      </c>
      <c r="AP4">
        <f t="shared" si="0"/>
        <v>0.57799999999999996</v>
      </c>
    </row>
    <row r="5" spans="2:51" ht="26">
      <c r="C5" s="13" t="s">
        <v>12</v>
      </c>
      <c r="D5" s="13" t="s">
        <v>13</v>
      </c>
      <c r="E5" s="43" t="s">
        <v>14</v>
      </c>
      <c r="F5" s="13" t="s">
        <v>15</v>
      </c>
      <c r="G5" s="44" t="s">
        <v>16</v>
      </c>
      <c r="H5" s="45" t="s">
        <v>17</v>
      </c>
      <c r="I5" s="45" t="s">
        <v>18</v>
      </c>
      <c r="J5" s="45" t="s">
        <v>19</v>
      </c>
      <c r="K5" s="15" t="s">
        <v>20</v>
      </c>
      <c r="L5" s="15" t="s">
        <v>21</v>
      </c>
      <c r="M5" s="15" t="s">
        <v>22</v>
      </c>
      <c r="N5" s="15" t="s">
        <v>23</v>
      </c>
      <c r="O5" s="15" t="s">
        <v>24</v>
      </c>
      <c r="P5" s="15" t="s">
        <v>25</v>
      </c>
      <c r="Q5" s="49" t="s">
        <v>26</v>
      </c>
      <c r="R5" s="27" t="s">
        <v>27</v>
      </c>
      <c r="S5" s="50" t="s">
        <v>28</v>
      </c>
      <c r="V5" s="52" t="s">
        <v>29</v>
      </c>
      <c r="W5" s="52" t="s">
        <v>12</v>
      </c>
      <c r="X5" s="52" t="s">
        <v>30</v>
      </c>
      <c r="Y5" s="52" t="s">
        <v>31</v>
      </c>
      <c r="Z5" s="52" t="s">
        <v>32</v>
      </c>
      <c r="AA5" s="52" t="s">
        <v>33</v>
      </c>
      <c r="AB5" s="52" t="s">
        <v>34</v>
      </c>
      <c r="AC5" s="52"/>
      <c r="AN5">
        <f t="shared" si="0"/>
        <v>9.6000000000000002E-2</v>
      </c>
      <c r="AO5">
        <f t="shared" si="0"/>
        <v>0.32600000000000001</v>
      </c>
      <c r="AP5">
        <f t="shared" si="0"/>
        <v>0.57799999999999996</v>
      </c>
    </row>
    <row r="6" spans="2:51">
      <c r="C6" t="s">
        <v>35</v>
      </c>
      <c r="D6" t="s">
        <v>36</v>
      </c>
      <c r="F6" t="s">
        <v>37</v>
      </c>
      <c r="G6" s="41">
        <v>2021</v>
      </c>
      <c r="H6" s="173">
        <v>0.6</v>
      </c>
      <c r="I6" s="173"/>
      <c r="J6" s="119"/>
      <c r="K6" s="178">
        <f>(6520/(105/3.412)*1)*574/157</f>
        <v>774.60368577494705</v>
      </c>
      <c r="L6" s="178">
        <f>80/(105/3.412)*1</f>
        <v>2.5996190476190502</v>
      </c>
      <c r="M6" s="179">
        <f>K6</f>
        <v>774.60368577494705</v>
      </c>
      <c r="N6" s="179">
        <f>L6</f>
        <v>2.5996190476190502</v>
      </c>
      <c r="O6" s="179">
        <f>M6</f>
        <v>774.60368577494705</v>
      </c>
      <c r="P6" s="179">
        <f>L6</f>
        <v>2.5996190476190502</v>
      </c>
      <c r="Q6" s="182">
        <f>(20+33)/2</f>
        <v>26.5</v>
      </c>
      <c r="R6" s="183">
        <v>31.54</v>
      </c>
      <c r="S6">
        <v>1</v>
      </c>
      <c r="V6" s="53" t="s">
        <v>38</v>
      </c>
      <c r="W6" t="s">
        <v>35</v>
      </c>
      <c r="X6" s="53"/>
      <c r="Y6" s="53" t="s">
        <v>39</v>
      </c>
      <c r="Z6" s="53" t="s">
        <v>40</v>
      </c>
      <c r="AA6" s="53"/>
      <c r="AB6" s="53"/>
      <c r="AC6" s="53"/>
      <c r="AN6">
        <f t="shared" si="0"/>
        <v>9.6000000000000002E-2</v>
      </c>
      <c r="AO6">
        <f t="shared" si="0"/>
        <v>0.32600000000000001</v>
      </c>
      <c r="AP6">
        <f t="shared" si="0"/>
        <v>0.57799999999999996</v>
      </c>
    </row>
    <row r="7" spans="2:51">
      <c r="C7" t="s">
        <v>41</v>
      </c>
      <c r="D7" t="s">
        <v>36</v>
      </c>
      <c r="F7" t="s">
        <v>37</v>
      </c>
      <c r="G7" s="41">
        <v>2021</v>
      </c>
      <c r="H7" s="173">
        <v>0.78</v>
      </c>
      <c r="I7" s="173"/>
      <c r="J7" s="119"/>
      <c r="K7" s="179">
        <f>K6</f>
        <v>774.60368577494705</v>
      </c>
      <c r="L7" s="179">
        <f t="shared" ref="L7:Q7" si="1">L6</f>
        <v>2.5996190476190502</v>
      </c>
      <c r="M7" s="179">
        <f t="shared" ref="M7:M23" si="2">K7</f>
        <v>774.60368577494705</v>
      </c>
      <c r="N7" s="179">
        <f t="shared" si="1"/>
        <v>2.5996190476190502</v>
      </c>
      <c r="O7" s="179">
        <f t="shared" ref="O7:O23" si="3">M7</f>
        <v>774.60368577494705</v>
      </c>
      <c r="P7" s="179">
        <f t="shared" si="1"/>
        <v>2.5996190476190502</v>
      </c>
      <c r="Q7" s="182">
        <f t="shared" si="1"/>
        <v>26.5</v>
      </c>
      <c r="R7" s="183">
        <v>31.54</v>
      </c>
      <c r="S7">
        <v>1</v>
      </c>
      <c r="V7" s="53"/>
      <c r="W7" t="s">
        <v>41</v>
      </c>
      <c r="X7" s="53"/>
      <c r="Y7" s="53" t="s">
        <v>39</v>
      </c>
      <c r="Z7" s="53" t="s">
        <v>40</v>
      </c>
      <c r="AA7" s="53"/>
      <c r="AB7" s="53"/>
      <c r="AC7" s="53"/>
      <c r="AN7">
        <f t="shared" si="0"/>
        <v>9.6000000000000002E-2</v>
      </c>
      <c r="AO7">
        <f t="shared" si="0"/>
        <v>0.32600000000000001</v>
      </c>
      <c r="AP7">
        <f t="shared" si="0"/>
        <v>0.57799999999999996</v>
      </c>
    </row>
    <row r="8" spans="2:51">
      <c r="C8" t="s">
        <v>42</v>
      </c>
      <c r="D8" t="s">
        <v>36</v>
      </c>
      <c r="F8" t="s">
        <v>37</v>
      </c>
      <c r="G8" s="41">
        <v>2021</v>
      </c>
      <c r="H8" s="173">
        <v>0.85</v>
      </c>
      <c r="I8" s="173"/>
      <c r="J8" s="119"/>
      <c r="K8" s="179">
        <f>K7</f>
        <v>774.60368577494705</v>
      </c>
      <c r="L8" s="179">
        <f>L7</f>
        <v>2.5996190476190502</v>
      </c>
      <c r="M8" s="179">
        <f t="shared" si="2"/>
        <v>774.60368577494705</v>
      </c>
      <c r="N8" s="179">
        <f>N7</f>
        <v>2.5996190476190502</v>
      </c>
      <c r="O8" s="179">
        <f t="shared" si="3"/>
        <v>774.60368577494705</v>
      </c>
      <c r="P8" s="179">
        <f t="shared" ref="P8:P11" si="4">P7</f>
        <v>2.5996190476190502</v>
      </c>
      <c r="Q8" s="182">
        <f>Q7</f>
        <v>26.5</v>
      </c>
      <c r="R8" s="183">
        <v>31.54</v>
      </c>
      <c r="S8">
        <v>1</v>
      </c>
      <c r="V8" s="53"/>
      <c r="W8" t="s">
        <v>42</v>
      </c>
      <c r="X8" s="53"/>
      <c r="Y8" s="53" t="s">
        <v>39</v>
      </c>
      <c r="Z8" s="53" t="s">
        <v>40</v>
      </c>
      <c r="AA8" s="53"/>
      <c r="AB8" s="53"/>
      <c r="AC8" s="53"/>
      <c r="AN8">
        <f t="shared" si="0"/>
        <v>9.6000000000000002E-2</v>
      </c>
      <c r="AO8">
        <f t="shared" si="0"/>
        <v>0.32600000000000001</v>
      </c>
      <c r="AP8">
        <f t="shared" si="0"/>
        <v>0.57799999999999996</v>
      </c>
    </row>
    <row r="9" spans="2:51">
      <c r="C9" t="s">
        <v>43</v>
      </c>
      <c r="D9" t="s">
        <v>44</v>
      </c>
      <c r="F9" t="s">
        <v>37</v>
      </c>
      <c r="G9" s="41">
        <v>2021</v>
      </c>
      <c r="H9" s="173">
        <v>0.62</v>
      </c>
      <c r="I9" s="173"/>
      <c r="J9" s="119"/>
      <c r="K9" s="136">
        <f>AY16</f>
        <v>573.73784999999998</v>
      </c>
      <c r="L9" s="136">
        <f>60/10</f>
        <v>6</v>
      </c>
      <c r="M9" s="102">
        <f t="shared" si="2"/>
        <v>573.73784999999998</v>
      </c>
      <c r="N9" s="136">
        <f>L9</f>
        <v>6</v>
      </c>
      <c r="O9" s="102">
        <f t="shared" si="3"/>
        <v>573.73784999999998</v>
      </c>
      <c r="P9" s="136">
        <f>N9</f>
        <v>6</v>
      </c>
      <c r="Q9" s="184">
        <v>22</v>
      </c>
      <c r="R9" s="183">
        <v>31.54</v>
      </c>
      <c r="S9">
        <v>1</v>
      </c>
      <c r="V9" s="53"/>
      <c r="W9" t="s">
        <v>43</v>
      </c>
      <c r="X9" s="53"/>
      <c r="Y9" s="53" t="s">
        <v>39</v>
      </c>
      <c r="Z9" s="53" t="s">
        <v>40</v>
      </c>
      <c r="AA9" s="53"/>
      <c r="AB9" s="53"/>
      <c r="AC9" s="53"/>
    </row>
    <row r="10" spans="2:51">
      <c r="C10" t="s">
        <v>45</v>
      </c>
      <c r="D10" t="s">
        <v>44</v>
      </c>
      <c r="F10" t="s">
        <v>37</v>
      </c>
      <c r="G10" s="41">
        <v>2021</v>
      </c>
      <c r="H10" s="173">
        <v>0.8</v>
      </c>
      <c r="I10" s="173"/>
      <c r="J10" s="119"/>
      <c r="K10" s="102">
        <f t="shared" ref="K10:N10" si="5">K9</f>
        <v>573.73784999999998</v>
      </c>
      <c r="L10" s="136">
        <f t="shared" si="5"/>
        <v>6</v>
      </c>
      <c r="M10" s="102">
        <f t="shared" si="2"/>
        <v>573.73784999999998</v>
      </c>
      <c r="N10" s="136">
        <f t="shared" si="5"/>
        <v>6</v>
      </c>
      <c r="O10" s="102">
        <f t="shared" si="3"/>
        <v>573.73784999999998</v>
      </c>
      <c r="P10" s="136">
        <f t="shared" si="4"/>
        <v>6</v>
      </c>
      <c r="Q10" s="184">
        <v>22</v>
      </c>
      <c r="R10" s="183">
        <v>31.54</v>
      </c>
      <c r="S10">
        <v>1</v>
      </c>
      <c r="V10" s="53"/>
      <c r="W10" t="s">
        <v>45</v>
      </c>
      <c r="X10" s="53"/>
      <c r="Y10" s="53" t="s">
        <v>39</v>
      </c>
      <c r="Z10" s="53" t="s">
        <v>40</v>
      </c>
      <c r="AA10" s="53"/>
      <c r="AB10" s="53"/>
      <c r="AC10" s="53"/>
    </row>
    <row r="11" spans="2:51">
      <c r="C11" t="s">
        <v>46</v>
      </c>
      <c r="D11" t="s">
        <v>44</v>
      </c>
      <c r="F11" t="s">
        <v>37</v>
      </c>
      <c r="G11" s="41">
        <v>2021</v>
      </c>
      <c r="H11" s="173">
        <v>0.9</v>
      </c>
      <c r="I11" s="173"/>
      <c r="J11" s="119"/>
      <c r="K11" s="102">
        <f t="shared" ref="K11:N11" si="6">K10</f>
        <v>573.73784999999998</v>
      </c>
      <c r="L11" s="136">
        <f t="shared" si="6"/>
        <v>6</v>
      </c>
      <c r="M11" s="102">
        <f t="shared" si="2"/>
        <v>573.73784999999998</v>
      </c>
      <c r="N11" s="136">
        <f t="shared" si="6"/>
        <v>6</v>
      </c>
      <c r="O11" s="102">
        <f t="shared" si="3"/>
        <v>573.73784999999998</v>
      </c>
      <c r="P11" s="136">
        <f t="shared" si="4"/>
        <v>6</v>
      </c>
      <c r="Q11" s="184">
        <v>22</v>
      </c>
      <c r="R11" s="183">
        <v>31.54</v>
      </c>
      <c r="S11">
        <v>1</v>
      </c>
      <c r="V11" s="53"/>
      <c r="W11" t="s">
        <v>46</v>
      </c>
      <c r="X11" s="53"/>
      <c r="Y11" s="53" t="s">
        <v>39</v>
      </c>
      <c r="Z11" s="53" t="s">
        <v>40</v>
      </c>
      <c r="AA11" s="53"/>
      <c r="AB11" s="53"/>
      <c r="AC11" s="53"/>
    </row>
    <row r="12" spans="2:51">
      <c r="C12" t="s">
        <v>47</v>
      </c>
      <c r="D12" t="s">
        <v>48</v>
      </c>
      <c r="F12" t="s">
        <v>37</v>
      </c>
      <c r="G12" s="41">
        <v>2021</v>
      </c>
      <c r="H12" s="173">
        <v>1</v>
      </c>
      <c r="I12" s="173"/>
      <c r="J12" s="119"/>
      <c r="K12" s="136">
        <f>AY17</f>
        <v>655.70309999999995</v>
      </c>
      <c r="L12" s="42">
        <v>5</v>
      </c>
      <c r="M12" s="42">
        <f t="shared" si="2"/>
        <v>655.70309999999995</v>
      </c>
      <c r="N12" s="42">
        <f t="shared" ref="N12:N13" si="7">L12</f>
        <v>5</v>
      </c>
      <c r="O12" s="42">
        <f t="shared" si="3"/>
        <v>655.70309999999995</v>
      </c>
      <c r="P12" s="42">
        <f t="shared" ref="P12:P13" si="8">N12</f>
        <v>5</v>
      </c>
      <c r="Q12" s="182">
        <f>(15+30)/2</f>
        <v>22.5</v>
      </c>
      <c r="R12" s="183">
        <v>31.54</v>
      </c>
      <c r="S12">
        <v>1</v>
      </c>
      <c r="V12" s="53"/>
      <c r="W12" t="s">
        <v>47</v>
      </c>
      <c r="X12" s="53"/>
      <c r="Y12" s="53" t="s">
        <v>39</v>
      </c>
      <c r="Z12" s="53" t="s">
        <v>40</v>
      </c>
      <c r="AA12" s="53"/>
      <c r="AB12" s="53"/>
      <c r="AC12" s="53"/>
    </row>
    <row r="13" spans="2:51">
      <c r="C13" t="s">
        <v>49</v>
      </c>
      <c r="D13" s="1" t="s">
        <v>48</v>
      </c>
      <c r="E13" s="1"/>
      <c r="F13" t="s">
        <v>37</v>
      </c>
      <c r="G13" s="41">
        <v>2021</v>
      </c>
      <c r="H13" s="173">
        <v>1</v>
      </c>
      <c r="I13" s="173"/>
      <c r="J13" s="119"/>
      <c r="K13" s="121">
        <f>AY19</f>
        <v>1727.7529500000001</v>
      </c>
      <c r="L13" s="42">
        <f>150/10*1</f>
        <v>15</v>
      </c>
      <c r="M13" s="42">
        <f t="shared" si="2"/>
        <v>1727.7529500000001</v>
      </c>
      <c r="N13" s="42">
        <f t="shared" si="7"/>
        <v>15</v>
      </c>
      <c r="O13" s="42">
        <f t="shared" si="3"/>
        <v>1727.7529500000001</v>
      </c>
      <c r="P13" s="42">
        <f t="shared" si="8"/>
        <v>15</v>
      </c>
      <c r="Q13" s="182">
        <v>15.3</v>
      </c>
      <c r="R13" s="185">
        <v>31.54</v>
      </c>
      <c r="S13" s="186">
        <v>0.33</v>
      </c>
      <c r="V13" s="53"/>
      <c r="W13" t="s">
        <v>49</v>
      </c>
      <c r="X13" s="53"/>
      <c r="Y13" s="53" t="s">
        <v>39</v>
      </c>
      <c r="Z13" s="53" t="s">
        <v>40</v>
      </c>
      <c r="AA13" s="53"/>
      <c r="AB13" s="53"/>
      <c r="AC13" s="53"/>
    </row>
    <row r="14" spans="2:51">
      <c r="D14" s="174" t="str">
        <f>[2]COMM!$E$19</f>
        <v>RSDAHT</v>
      </c>
      <c r="H14" s="173"/>
      <c r="I14" s="173"/>
      <c r="K14" s="102"/>
      <c r="L14" s="102"/>
      <c r="M14" s="102"/>
      <c r="N14" s="102"/>
      <c r="O14" s="102"/>
      <c r="P14" s="102"/>
      <c r="Q14" s="184"/>
      <c r="R14" s="183">
        <v>31.54</v>
      </c>
      <c r="S14" s="58">
        <f>1-S13</f>
        <v>0.67</v>
      </c>
      <c r="V14" s="53"/>
      <c r="W14" t="s">
        <v>18</v>
      </c>
      <c r="X14" s="53"/>
      <c r="Y14" s="53"/>
      <c r="Z14" s="53"/>
      <c r="AA14" s="53"/>
      <c r="AB14" s="53"/>
      <c r="AC14" s="53"/>
      <c r="AN14" s="191" t="s">
        <v>50</v>
      </c>
      <c r="AO14" s="191" t="s">
        <v>51</v>
      </c>
    </row>
    <row r="15" spans="2:51" ht="29">
      <c r="C15" t="s">
        <v>52</v>
      </c>
      <c r="D15" t="s">
        <v>53</v>
      </c>
      <c r="F15" t="s">
        <v>37</v>
      </c>
      <c r="G15" s="41">
        <v>2021</v>
      </c>
      <c r="H15" s="173">
        <v>0.5</v>
      </c>
      <c r="I15" s="173"/>
      <c r="K15" s="102">
        <f>K16</f>
        <v>1127.6899057324799</v>
      </c>
      <c r="L15" s="102">
        <f t="shared" ref="L15:Q15" si="9">L16</f>
        <v>21.154399999999999</v>
      </c>
      <c r="M15" s="102">
        <f t="shared" si="9"/>
        <v>1127.6899057324799</v>
      </c>
      <c r="N15" s="102">
        <f t="shared" si="9"/>
        <v>21.154399999999999</v>
      </c>
      <c r="O15" s="102">
        <f t="shared" si="9"/>
        <v>1127.6899057324799</v>
      </c>
      <c r="P15" s="102">
        <f t="shared" si="9"/>
        <v>21.154399999999999</v>
      </c>
      <c r="Q15" s="136">
        <f t="shared" si="9"/>
        <v>19</v>
      </c>
      <c r="R15" s="183">
        <v>31.54</v>
      </c>
      <c r="S15">
        <v>1</v>
      </c>
      <c r="V15" s="53"/>
      <c r="W15" t="s">
        <v>52</v>
      </c>
      <c r="X15" s="53"/>
      <c r="Y15" s="53" t="s">
        <v>39</v>
      </c>
      <c r="Z15" s="53" t="s">
        <v>40</v>
      </c>
      <c r="AA15" s="53"/>
      <c r="AB15" s="53"/>
      <c r="AC15" s="53"/>
      <c r="AN15" s="192" t="s">
        <v>54</v>
      </c>
      <c r="AO15" s="192" t="s">
        <v>55</v>
      </c>
      <c r="AP15" s="192" t="s">
        <v>56</v>
      </c>
      <c r="AQ15" s="192" t="s">
        <v>57</v>
      </c>
      <c r="AR15" s="192" t="s">
        <v>58</v>
      </c>
      <c r="AS15" s="192" t="s">
        <v>59</v>
      </c>
      <c r="AT15" s="192" t="s">
        <v>60</v>
      </c>
      <c r="AX15" s="102" t="s">
        <v>61</v>
      </c>
      <c r="AY15" s="136" t="s">
        <v>62</v>
      </c>
    </row>
    <row r="16" spans="2:51">
      <c r="C16" t="s">
        <v>63</v>
      </c>
      <c r="D16" t="s">
        <v>64</v>
      </c>
      <c r="F16" t="s">
        <v>37</v>
      </c>
      <c r="G16" s="41">
        <v>2021</v>
      </c>
      <c r="H16" s="173">
        <v>0.5</v>
      </c>
      <c r="I16" s="173"/>
      <c r="K16" s="178">
        <f>(4520/(50/3.412)*1)*574/157</f>
        <v>1127.6899057324799</v>
      </c>
      <c r="L16" s="178">
        <f>310/(50/3.412)*1</f>
        <v>21.154399999999999</v>
      </c>
      <c r="M16" s="178">
        <f>K16</f>
        <v>1127.6899057324799</v>
      </c>
      <c r="N16" s="178">
        <f>L16</f>
        <v>21.154399999999999</v>
      </c>
      <c r="O16" s="178">
        <f>M16</f>
        <v>1127.6899057324799</v>
      </c>
      <c r="P16" s="178">
        <f>N16</f>
        <v>21.154399999999999</v>
      </c>
      <c r="Q16" s="187">
        <v>19</v>
      </c>
      <c r="R16" s="183">
        <v>31.54</v>
      </c>
      <c r="S16">
        <v>1</v>
      </c>
      <c r="V16" s="53"/>
      <c r="W16" t="s">
        <v>63</v>
      </c>
      <c r="X16" s="53"/>
      <c r="Y16" s="53" t="s">
        <v>39</v>
      </c>
      <c r="Z16" s="53" t="s">
        <v>40</v>
      </c>
      <c r="AA16" s="53"/>
      <c r="AB16" s="53"/>
      <c r="AC16" s="53"/>
      <c r="AG16" s="193">
        <v>0.6</v>
      </c>
      <c r="AN16" s="194" t="s">
        <v>65</v>
      </c>
      <c r="AO16" s="198">
        <v>4500</v>
      </c>
      <c r="AP16" s="198">
        <v>6030</v>
      </c>
      <c r="AQ16" s="198">
        <v>4080</v>
      </c>
      <c r="AR16" s="198">
        <v>4850</v>
      </c>
      <c r="AS16" s="198">
        <v>3750</v>
      </c>
      <c r="AT16" s="198">
        <v>4170</v>
      </c>
      <c r="AX16">
        <f>AVERAGE(AO16:AP16)*AN3+AVERAGE(AQ16:AR16)*AO3+AVERAGE(AS16:AT16)*AP3</f>
        <v>4249.91</v>
      </c>
      <c r="AY16" s="136">
        <f>AX16/10*1.35</f>
        <v>573.73784999999998</v>
      </c>
    </row>
    <row r="17" spans="3:51">
      <c r="C17" s="105" t="s">
        <v>66</v>
      </c>
      <c r="D17" s="105" t="s">
        <v>48</v>
      </c>
      <c r="E17" s="105"/>
      <c r="F17" t="s">
        <v>37</v>
      </c>
      <c r="G17" s="41">
        <v>2021</v>
      </c>
      <c r="H17" s="175">
        <v>0.75</v>
      </c>
      <c r="I17" s="180"/>
      <c r="K17" s="102">
        <f>AVERAGE(K16,K12)</f>
        <v>891.69650286624199</v>
      </c>
      <c r="L17" s="102">
        <f>AVERAGE(L16,L12)</f>
        <v>13.077199999999999</v>
      </c>
      <c r="M17" s="102">
        <f t="shared" si="2"/>
        <v>891.69650286624199</v>
      </c>
      <c r="N17" s="102">
        <f>L17</f>
        <v>13.077199999999999</v>
      </c>
      <c r="O17" s="102">
        <f t="shared" si="3"/>
        <v>891.69650286624199</v>
      </c>
      <c r="P17" s="102">
        <f>N17</f>
        <v>13.077199999999999</v>
      </c>
      <c r="Q17" s="182">
        <f>AVERAGE(Q16,Q12)</f>
        <v>20.75</v>
      </c>
      <c r="R17" s="183">
        <v>31.54</v>
      </c>
      <c r="S17" s="142">
        <f>'[3]TechHeat-RES-SD'!$I$161</f>
        <v>0.60975609756097604</v>
      </c>
      <c r="V17" s="53"/>
      <c r="W17" s="105" t="s">
        <v>66</v>
      </c>
      <c r="X17" s="53"/>
      <c r="Y17" s="53" t="s">
        <v>39</v>
      </c>
      <c r="Z17" s="53" t="s">
        <v>40</v>
      </c>
      <c r="AA17" s="53"/>
      <c r="AB17" s="53"/>
      <c r="AC17" s="53"/>
      <c r="AG17" s="193">
        <v>0.78</v>
      </c>
      <c r="AN17" s="194" t="s">
        <v>67</v>
      </c>
      <c r="AO17" s="198">
        <v>4990</v>
      </c>
      <c r="AP17" s="198">
        <v>4990</v>
      </c>
      <c r="AQ17" s="198">
        <v>4990</v>
      </c>
      <c r="AR17" s="198">
        <v>4990</v>
      </c>
      <c r="AS17" s="198">
        <v>4760</v>
      </c>
      <c r="AT17" s="198">
        <v>4760</v>
      </c>
      <c r="AX17">
        <f>AVERAGE(AO17:AP17)*AN4+AVERAGE(AQ17:AR17)*AO4+AVERAGE(AS17:AT17)*AP4</f>
        <v>4857.0600000000004</v>
      </c>
      <c r="AY17" s="136">
        <f>AX17/10*1.35</f>
        <v>655.70309999999995</v>
      </c>
    </row>
    <row r="18" spans="3:51" ht="43.5">
      <c r="D18" s="105" t="s">
        <v>64</v>
      </c>
      <c r="E18" s="105"/>
      <c r="H18" s="175"/>
      <c r="I18" s="180"/>
      <c r="K18" s="102"/>
      <c r="L18" s="3"/>
      <c r="M18" s="102"/>
      <c r="N18" s="3"/>
      <c r="O18" s="102"/>
      <c r="P18" s="3"/>
      <c r="Q18" s="184"/>
      <c r="R18" s="183"/>
      <c r="S18" s="142">
        <f>1-S17</f>
        <v>0.39024390243902402</v>
      </c>
      <c r="V18" s="53"/>
      <c r="W18" t="s">
        <v>18</v>
      </c>
      <c r="X18" s="53"/>
      <c r="Y18" s="53"/>
      <c r="Z18" s="53"/>
      <c r="AA18" s="53"/>
      <c r="AB18" s="53"/>
      <c r="AC18" s="53"/>
      <c r="AG18" s="193">
        <v>0.85</v>
      </c>
      <c r="AN18" s="195" t="s">
        <v>68</v>
      </c>
      <c r="AO18" s="198">
        <v>7570</v>
      </c>
      <c r="AP18" s="198">
        <v>8180</v>
      </c>
      <c r="AQ18" s="198">
        <v>6200</v>
      </c>
      <c r="AR18" s="198">
        <v>6200</v>
      </c>
      <c r="AS18" s="198">
        <v>5760</v>
      </c>
      <c r="AT18" s="198">
        <v>5760</v>
      </c>
      <c r="AX18">
        <f>AVERAGE(AO18:AP18)*AN5+AVERAGE(AQ18:AR18)*AO5+AVERAGE(AS18:AT18)*AP5</f>
        <v>6106.48</v>
      </c>
      <c r="AY18" s="136">
        <f>AX18/10*1.35</f>
        <v>824.37480000000005</v>
      </c>
    </row>
    <row r="19" spans="3:51" ht="43.5">
      <c r="C19" s="105" t="s">
        <v>69</v>
      </c>
      <c r="D19" s="105" t="s">
        <v>36</v>
      </c>
      <c r="E19" s="105"/>
      <c r="F19" t="s">
        <v>37</v>
      </c>
      <c r="G19" s="41">
        <v>2021</v>
      </c>
      <c r="H19" s="175">
        <v>0.67500000000000004</v>
      </c>
      <c r="I19" s="180"/>
      <c r="K19" s="102">
        <f>AVERAGE(K6,K16)</f>
        <v>951.14679575371497</v>
      </c>
      <c r="L19" s="102">
        <f>AVERAGE(L6,L16)</f>
        <v>11.8770095238095</v>
      </c>
      <c r="M19" s="102">
        <f t="shared" si="2"/>
        <v>951.14679575371497</v>
      </c>
      <c r="N19" s="102">
        <f>L19</f>
        <v>11.8770095238095</v>
      </c>
      <c r="O19" s="102">
        <f t="shared" si="3"/>
        <v>951.14679575371497</v>
      </c>
      <c r="P19" s="102">
        <f>N19</f>
        <v>11.8770095238095</v>
      </c>
      <c r="Q19" s="182">
        <f>AVERAGE(Q6,Q16)</f>
        <v>22.75</v>
      </c>
      <c r="R19" s="183">
        <v>31.54</v>
      </c>
      <c r="S19" s="142">
        <f>'[3]TechHeat-RES-SD'!$I$163</f>
        <v>0.238095238095238</v>
      </c>
      <c r="V19" s="53"/>
      <c r="W19" s="105" t="s">
        <v>69</v>
      </c>
      <c r="X19" s="53"/>
      <c r="Y19" s="53" t="s">
        <v>39</v>
      </c>
      <c r="Z19" s="53" t="s">
        <v>40</v>
      </c>
      <c r="AA19" s="53"/>
      <c r="AB19" s="53"/>
      <c r="AC19" s="53"/>
      <c r="AG19" s="193">
        <v>0.62</v>
      </c>
      <c r="AN19" s="194" t="s">
        <v>70</v>
      </c>
      <c r="AO19" s="198">
        <v>14840</v>
      </c>
      <c r="AP19" s="198">
        <v>19880</v>
      </c>
      <c r="AQ19" s="198">
        <v>12870</v>
      </c>
      <c r="AR19" s="198">
        <v>13260</v>
      </c>
      <c r="AS19" s="198">
        <v>11890</v>
      </c>
      <c r="AT19" s="198">
        <v>11890</v>
      </c>
      <c r="AX19">
        <f>AVERAGE(AO19:AP19)*AN6+AVERAGE(AQ19:AR19)*AO6+AVERAGE(AS19:AT19)*AP6</f>
        <v>12798.17</v>
      </c>
      <c r="AY19" s="136">
        <f>AX19/10*1.35</f>
        <v>1727.7529500000001</v>
      </c>
    </row>
    <row r="20" spans="3:51" ht="29">
      <c r="D20" s="105" t="s">
        <v>64</v>
      </c>
      <c r="E20" s="105"/>
      <c r="H20" s="175"/>
      <c r="I20" s="180"/>
      <c r="K20" s="102"/>
      <c r="L20" s="3"/>
      <c r="M20" s="102"/>
      <c r="N20" s="3"/>
      <c r="O20" s="102"/>
      <c r="P20" s="3"/>
      <c r="Q20" s="184"/>
      <c r="R20" s="183"/>
      <c r="S20" s="142">
        <f>1-S19</f>
        <v>0.76190476190476197</v>
      </c>
      <c r="V20" s="53"/>
      <c r="W20" t="s">
        <v>18</v>
      </c>
      <c r="X20" s="53"/>
      <c r="Y20" s="53"/>
      <c r="Z20" s="53"/>
      <c r="AA20" s="53"/>
      <c r="AB20" s="53"/>
      <c r="AC20" s="53"/>
      <c r="AG20" s="193">
        <v>0.8</v>
      </c>
      <c r="AN20" s="195" t="s">
        <v>71</v>
      </c>
      <c r="AO20" s="199">
        <v>880</v>
      </c>
      <c r="AP20" s="198">
        <v>1810</v>
      </c>
      <c r="AQ20" s="199">
        <v>620</v>
      </c>
      <c r="AR20" s="198">
        <v>1090</v>
      </c>
      <c r="AS20" s="199">
        <v>420</v>
      </c>
      <c r="AT20" s="199">
        <v>680</v>
      </c>
      <c r="AX20">
        <f>AVERAGE(AO20:AP20)*AN7+AVERAGE(AQ20:AR20)*AO7+AVERAGE(AS20:AT20)*AP7</f>
        <v>725.75</v>
      </c>
      <c r="AY20" s="136">
        <f>AX20/10*1.35</f>
        <v>97.976249999999993</v>
      </c>
    </row>
    <row r="21" spans="3:51">
      <c r="C21" s="105" t="s">
        <v>72</v>
      </c>
      <c r="D21" s="105" t="s">
        <v>48</v>
      </c>
      <c r="E21" s="105"/>
      <c r="F21" t="s">
        <v>37</v>
      </c>
      <c r="G21" s="41">
        <v>2021</v>
      </c>
      <c r="H21" s="175">
        <v>0.9</v>
      </c>
      <c r="I21" s="180"/>
      <c r="K21" s="102">
        <f>AVERAGE(K12,K11)</f>
        <v>614.72047499999996</v>
      </c>
      <c r="L21" s="102">
        <f>AVERAGE(L12,L11)</f>
        <v>5.5</v>
      </c>
      <c r="M21" s="102">
        <f t="shared" si="2"/>
        <v>614.72047499999996</v>
      </c>
      <c r="N21" s="102">
        <f>L21</f>
        <v>5.5</v>
      </c>
      <c r="O21" s="102">
        <f t="shared" si="3"/>
        <v>614.72047499999996</v>
      </c>
      <c r="P21" s="102">
        <f>N21</f>
        <v>5.5</v>
      </c>
      <c r="Q21" s="184">
        <f>AVERAGE(Q9,Q12)</f>
        <v>22.25</v>
      </c>
      <c r="R21" s="183">
        <v>31.54</v>
      </c>
      <c r="S21" s="142">
        <f>'[3]TechHeat-RES-SD'!$I$165</f>
        <v>0.32051282051282098</v>
      </c>
      <c r="V21" s="53"/>
      <c r="W21" s="105" t="s">
        <v>72</v>
      </c>
      <c r="X21" s="53"/>
      <c r="Y21" s="53" t="s">
        <v>39</v>
      </c>
      <c r="Z21" s="53" t="s">
        <v>40</v>
      </c>
      <c r="AA21" s="53"/>
      <c r="AB21" s="53"/>
      <c r="AC21" s="53"/>
      <c r="AG21" s="193">
        <v>0.9</v>
      </c>
      <c r="AN21" s="195" t="s">
        <v>73</v>
      </c>
      <c r="AO21" s="198">
        <v>3400</v>
      </c>
      <c r="AP21" s="198">
        <v>3400</v>
      </c>
      <c r="AQ21" s="199" t="s">
        <v>74</v>
      </c>
      <c r="AR21" s="199" t="s">
        <v>74</v>
      </c>
      <c r="AS21" s="199" t="s">
        <v>74</v>
      </c>
      <c r="AT21" s="199" t="s">
        <v>74</v>
      </c>
    </row>
    <row r="22" spans="3:51">
      <c r="D22" s="105" t="s">
        <v>44</v>
      </c>
      <c r="E22" s="105"/>
      <c r="H22" s="175"/>
      <c r="I22" s="180"/>
      <c r="K22" s="102"/>
      <c r="L22" s="3"/>
      <c r="M22" s="102"/>
      <c r="N22" s="3"/>
      <c r="O22" s="102"/>
      <c r="P22" s="3"/>
      <c r="Q22" s="184"/>
      <c r="R22" s="183"/>
      <c r="S22" s="142">
        <f>1-S21</f>
        <v>0.67948717948717896</v>
      </c>
      <c r="V22" s="53"/>
      <c r="W22" t="s">
        <v>18</v>
      </c>
      <c r="X22" s="53"/>
      <c r="Y22" s="53"/>
      <c r="Z22" s="53"/>
      <c r="AA22" s="53"/>
      <c r="AB22" s="53"/>
      <c r="AC22" s="53"/>
      <c r="AG22" s="193">
        <v>1</v>
      </c>
    </row>
    <row r="23" spans="3:51">
      <c r="C23" s="105" t="s">
        <v>75</v>
      </c>
      <c r="D23" s="105" t="s">
        <v>48</v>
      </c>
      <c r="E23" s="105"/>
      <c r="F23" t="s">
        <v>37</v>
      </c>
      <c r="G23" s="41">
        <v>2021</v>
      </c>
      <c r="H23" s="175">
        <v>0.89</v>
      </c>
      <c r="I23" s="180"/>
      <c r="K23" s="102">
        <f>AVERAGE(K6,K12)</f>
        <v>715.15339288747396</v>
      </c>
      <c r="L23" s="102">
        <f>AVERAGE(L6,L12)</f>
        <v>3.79980952380952</v>
      </c>
      <c r="M23" s="102">
        <f t="shared" si="2"/>
        <v>715.15339288747396</v>
      </c>
      <c r="N23" s="102">
        <f>L23</f>
        <v>3.79980952380952</v>
      </c>
      <c r="O23" s="102">
        <f t="shared" si="3"/>
        <v>715.15339288747396</v>
      </c>
      <c r="P23" s="102">
        <f>N23</f>
        <v>3.79980952380952</v>
      </c>
      <c r="Q23" s="182">
        <f>AVERAGE(Q6,Q12)</f>
        <v>24.5</v>
      </c>
      <c r="R23" s="183">
        <v>31.54</v>
      </c>
      <c r="S23" s="142">
        <f>'[3]TechHeat-RES-SD'!$I$167</f>
        <v>0.83333333333333304</v>
      </c>
      <c r="V23" s="53"/>
      <c r="W23" s="105" t="s">
        <v>75</v>
      </c>
      <c r="X23" s="53"/>
      <c r="Y23" s="53" t="s">
        <v>39</v>
      </c>
      <c r="Z23" s="53" t="s">
        <v>40</v>
      </c>
      <c r="AA23" s="53"/>
      <c r="AB23" s="53"/>
      <c r="AC23" s="53"/>
      <c r="AG23" s="193">
        <v>1.9</v>
      </c>
    </row>
    <row r="24" spans="3:51">
      <c r="D24" s="105" t="s">
        <v>36</v>
      </c>
      <c r="E24" s="105"/>
      <c r="K24" s="102"/>
      <c r="M24" s="102"/>
      <c r="O24" s="102"/>
      <c r="P24" s="3"/>
      <c r="Q24" s="42"/>
      <c r="S24" s="142">
        <f>1-S23</f>
        <v>0.16666666666666699</v>
      </c>
      <c r="V24" s="53"/>
      <c r="W24" t="s">
        <v>18</v>
      </c>
      <c r="X24" s="53"/>
      <c r="Y24" s="53"/>
      <c r="Z24" s="53"/>
      <c r="AA24" s="53"/>
      <c r="AB24" s="53"/>
      <c r="AC24" s="53"/>
      <c r="AG24" s="193">
        <v>0.5</v>
      </c>
    </row>
    <row r="25" spans="3:51">
      <c r="C25" t="s">
        <v>76</v>
      </c>
      <c r="D25" t="s">
        <v>36</v>
      </c>
      <c r="F25" t="s">
        <v>77</v>
      </c>
      <c r="G25" s="41">
        <v>2021</v>
      </c>
      <c r="H25" s="173">
        <v>0.6</v>
      </c>
      <c r="I25" s="173"/>
      <c r="K25" s="62">
        <f t="shared" ref="K25:Q25" si="10">K6</f>
        <v>774.60368577494705</v>
      </c>
      <c r="L25" s="62">
        <f t="shared" si="10"/>
        <v>2.5996190476190502</v>
      </c>
      <c r="M25" s="62">
        <f t="shared" si="10"/>
        <v>774.60368577494705</v>
      </c>
      <c r="N25" s="62">
        <f t="shared" si="10"/>
        <v>2.5996190476190502</v>
      </c>
      <c r="O25" s="62">
        <f t="shared" si="10"/>
        <v>774.60368577494705</v>
      </c>
      <c r="P25" s="62">
        <f t="shared" si="10"/>
        <v>2.5996190476190502</v>
      </c>
      <c r="Q25" s="182">
        <f t="shared" si="10"/>
        <v>26.5</v>
      </c>
      <c r="R25">
        <v>31.54</v>
      </c>
      <c r="S25">
        <v>1</v>
      </c>
      <c r="V25" s="53"/>
      <c r="W25" t="s">
        <v>76</v>
      </c>
      <c r="X25" s="53"/>
      <c r="Y25" s="53" t="s">
        <v>39</v>
      </c>
      <c r="Z25" s="53" t="s">
        <v>40</v>
      </c>
      <c r="AA25" s="53"/>
      <c r="AB25" s="53"/>
      <c r="AC25" s="53"/>
      <c r="AG25" s="193">
        <v>0.5</v>
      </c>
    </row>
    <row r="26" spans="3:51">
      <c r="C26" t="s">
        <v>78</v>
      </c>
      <c r="D26" t="s">
        <v>36</v>
      </c>
      <c r="F26" t="s">
        <v>77</v>
      </c>
      <c r="G26" s="41">
        <v>2021</v>
      </c>
      <c r="H26" s="173">
        <v>0.78</v>
      </c>
      <c r="I26" s="173"/>
      <c r="K26" s="62">
        <f t="shared" ref="K26:K32" si="11">K7</f>
        <v>774.60368577494705</v>
      </c>
      <c r="L26" s="62">
        <f t="shared" ref="L26:L32" si="12">L7</f>
        <v>2.5996190476190502</v>
      </c>
      <c r="M26" s="62">
        <f t="shared" ref="M26:M32" si="13">M7</f>
        <v>774.60368577494705</v>
      </c>
      <c r="N26" s="62">
        <f t="shared" ref="N26:N32" si="14">N7</f>
        <v>2.5996190476190502</v>
      </c>
      <c r="O26" s="62">
        <f t="shared" ref="O26:O32" si="15">O7</f>
        <v>774.60368577494705</v>
      </c>
      <c r="P26" s="62">
        <f t="shared" ref="P26:Q32" si="16">P7</f>
        <v>2.5996190476190502</v>
      </c>
      <c r="Q26" s="182">
        <f t="shared" si="16"/>
        <v>26.5</v>
      </c>
      <c r="R26">
        <v>31.54</v>
      </c>
      <c r="S26">
        <v>1</v>
      </c>
      <c r="V26" s="53"/>
      <c r="W26" t="s">
        <v>78</v>
      </c>
      <c r="X26" s="53"/>
      <c r="Y26" s="53" t="s">
        <v>39</v>
      </c>
      <c r="Z26" s="53" t="s">
        <v>40</v>
      </c>
      <c r="AA26" s="53"/>
      <c r="AB26" s="53"/>
      <c r="AC26" s="53"/>
      <c r="AG26" s="196">
        <v>0.75</v>
      </c>
    </row>
    <row r="27" spans="3:51">
      <c r="C27" t="s">
        <v>79</v>
      </c>
      <c r="D27" t="s">
        <v>36</v>
      </c>
      <c r="F27" t="s">
        <v>77</v>
      </c>
      <c r="G27" s="41">
        <v>2021</v>
      </c>
      <c r="H27" s="173">
        <v>0.85</v>
      </c>
      <c r="I27" s="173"/>
      <c r="K27" s="62">
        <f t="shared" si="11"/>
        <v>774.60368577494705</v>
      </c>
      <c r="L27" s="62">
        <f t="shared" si="12"/>
        <v>2.5996190476190502</v>
      </c>
      <c r="M27" s="62">
        <f t="shared" si="13"/>
        <v>774.60368577494705</v>
      </c>
      <c r="N27" s="62">
        <f t="shared" si="14"/>
        <v>2.5996190476190502</v>
      </c>
      <c r="O27" s="62">
        <f t="shared" si="15"/>
        <v>774.60368577494705</v>
      </c>
      <c r="P27" s="62">
        <f t="shared" si="16"/>
        <v>2.5996190476190502</v>
      </c>
      <c r="Q27" s="182">
        <f t="shared" si="16"/>
        <v>26.5</v>
      </c>
      <c r="R27">
        <v>31.54</v>
      </c>
      <c r="S27">
        <v>1</v>
      </c>
      <c r="V27" s="53"/>
      <c r="W27" t="s">
        <v>79</v>
      </c>
      <c r="X27" s="53"/>
      <c r="Y27" s="53" t="s">
        <v>39</v>
      </c>
      <c r="Z27" s="53" t="s">
        <v>40</v>
      </c>
      <c r="AA27" s="53"/>
      <c r="AB27" s="53"/>
      <c r="AC27" s="53"/>
      <c r="AG27" s="196"/>
    </row>
    <row r="28" spans="3:51">
      <c r="C28" t="s">
        <v>80</v>
      </c>
      <c r="D28" t="s">
        <v>44</v>
      </c>
      <c r="F28" t="s">
        <v>77</v>
      </c>
      <c r="G28" s="41">
        <v>2021</v>
      </c>
      <c r="H28" s="173">
        <v>0.62</v>
      </c>
      <c r="I28" s="173"/>
      <c r="K28" s="62">
        <f t="shared" si="11"/>
        <v>573.73784999999998</v>
      </c>
      <c r="L28" s="62">
        <f t="shared" si="12"/>
        <v>6</v>
      </c>
      <c r="M28" s="62">
        <f t="shared" si="13"/>
        <v>573.73784999999998</v>
      </c>
      <c r="N28" s="62">
        <f t="shared" si="14"/>
        <v>6</v>
      </c>
      <c r="O28" s="62">
        <f t="shared" si="15"/>
        <v>573.73784999999998</v>
      </c>
      <c r="P28" s="62">
        <f t="shared" si="16"/>
        <v>6</v>
      </c>
      <c r="Q28" s="182">
        <f t="shared" si="16"/>
        <v>22</v>
      </c>
      <c r="R28">
        <v>31.54</v>
      </c>
      <c r="S28">
        <v>1</v>
      </c>
      <c r="V28" s="53"/>
      <c r="W28" t="s">
        <v>80</v>
      </c>
      <c r="X28" s="53"/>
      <c r="Y28" s="53" t="s">
        <v>39</v>
      </c>
      <c r="Z28" s="53" t="s">
        <v>40</v>
      </c>
      <c r="AA28" s="53"/>
      <c r="AB28" s="53"/>
      <c r="AC28" s="53"/>
      <c r="AG28" s="196">
        <v>0.67500000000000004</v>
      </c>
    </row>
    <row r="29" spans="3:51">
      <c r="C29" t="s">
        <v>81</v>
      </c>
      <c r="D29" t="s">
        <v>44</v>
      </c>
      <c r="F29" t="s">
        <v>77</v>
      </c>
      <c r="G29" s="41">
        <v>2021</v>
      </c>
      <c r="H29" s="173">
        <v>0.8</v>
      </c>
      <c r="I29" s="173"/>
      <c r="K29" s="62">
        <f t="shared" si="11"/>
        <v>573.73784999999998</v>
      </c>
      <c r="L29" s="62">
        <f t="shared" si="12"/>
        <v>6</v>
      </c>
      <c r="M29" s="62">
        <f t="shared" si="13"/>
        <v>573.73784999999998</v>
      </c>
      <c r="N29" s="62">
        <f t="shared" si="14"/>
        <v>6</v>
      </c>
      <c r="O29" s="62">
        <f t="shared" si="15"/>
        <v>573.73784999999998</v>
      </c>
      <c r="P29" s="62">
        <f t="shared" si="16"/>
        <v>6</v>
      </c>
      <c r="Q29" s="182">
        <f t="shared" si="16"/>
        <v>22</v>
      </c>
      <c r="R29">
        <v>31.54</v>
      </c>
      <c r="S29">
        <v>1</v>
      </c>
      <c r="V29" s="53"/>
      <c r="W29" t="s">
        <v>81</v>
      </c>
      <c r="X29" s="53"/>
      <c r="Y29" s="53" t="s">
        <v>39</v>
      </c>
      <c r="Z29" s="53" t="s">
        <v>40</v>
      </c>
      <c r="AA29" s="53"/>
      <c r="AB29" s="53"/>
      <c r="AC29" s="53"/>
      <c r="AG29" s="196"/>
    </row>
    <row r="30" spans="3:51">
      <c r="C30" t="s">
        <v>82</v>
      </c>
      <c r="D30" t="s">
        <v>44</v>
      </c>
      <c r="F30" t="s">
        <v>77</v>
      </c>
      <c r="G30" s="41">
        <v>2021</v>
      </c>
      <c r="H30" s="173">
        <v>0.9</v>
      </c>
      <c r="I30" s="173"/>
      <c r="K30" s="62">
        <f t="shared" si="11"/>
        <v>573.73784999999998</v>
      </c>
      <c r="L30" s="62">
        <f t="shared" si="12"/>
        <v>6</v>
      </c>
      <c r="M30" s="62">
        <f t="shared" si="13"/>
        <v>573.73784999999998</v>
      </c>
      <c r="N30" s="62">
        <f t="shared" si="14"/>
        <v>6</v>
      </c>
      <c r="O30" s="62">
        <f t="shared" si="15"/>
        <v>573.73784999999998</v>
      </c>
      <c r="P30" s="62">
        <f t="shared" si="16"/>
        <v>6</v>
      </c>
      <c r="Q30" s="182">
        <f t="shared" si="16"/>
        <v>22</v>
      </c>
      <c r="R30">
        <v>31.54</v>
      </c>
      <c r="S30">
        <v>1</v>
      </c>
      <c r="V30" s="53"/>
      <c r="W30" t="s">
        <v>82</v>
      </c>
      <c r="X30" s="53"/>
      <c r="Y30" s="53" t="s">
        <v>39</v>
      </c>
      <c r="Z30" s="53" t="s">
        <v>40</v>
      </c>
      <c r="AA30" s="53"/>
      <c r="AB30" s="53"/>
      <c r="AC30" s="53"/>
      <c r="AG30" s="196">
        <v>0.9</v>
      </c>
    </row>
    <row r="31" spans="3:51">
      <c r="C31" t="s">
        <v>83</v>
      </c>
      <c r="D31" t="s">
        <v>48</v>
      </c>
      <c r="F31" t="s">
        <v>77</v>
      </c>
      <c r="G31" s="41">
        <v>2021</v>
      </c>
      <c r="H31" s="173">
        <v>1</v>
      </c>
      <c r="I31" s="173"/>
      <c r="K31" s="62">
        <f t="shared" si="11"/>
        <v>655.70309999999995</v>
      </c>
      <c r="L31" s="62">
        <f t="shared" si="12"/>
        <v>5</v>
      </c>
      <c r="M31" s="62">
        <f t="shared" si="13"/>
        <v>655.70309999999995</v>
      </c>
      <c r="N31" s="62">
        <f t="shared" si="14"/>
        <v>5</v>
      </c>
      <c r="O31" s="62">
        <f t="shared" si="15"/>
        <v>655.70309999999995</v>
      </c>
      <c r="P31" s="62">
        <f t="shared" si="16"/>
        <v>5</v>
      </c>
      <c r="Q31" s="182">
        <f t="shared" si="16"/>
        <v>22.5</v>
      </c>
      <c r="R31">
        <v>31.54</v>
      </c>
      <c r="S31">
        <v>1</v>
      </c>
      <c r="V31" s="53"/>
      <c r="W31" t="s">
        <v>83</v>
      </c>
      <c r="X31" s="53"/>
      <c r="Y31" s="53" t="s">
        <v>39</v>
      </c>
      <c r="Z31" s="53" t="s">
        <v>40</v>
      </c>
      <c r="AA31" s="53"/>
      <c r="AB31" s="53"/>
      <c r="AC31" s="53"/>
      <c r="AG31" s="196"/>
    </row>
    <row r="32" spans="3:51">
      <c r="C32" t="s">
        <v>84</v>
      </c>
      <c r="D32" s="1" t="s">
        <v>48</v>
      </c>
      <c r="E32" s="1"/>
      <c r="F32" s="130" t="s">
        <v>77</v>
      </c>
      <c r="G32" s="41">
        <v>2021</v>
      </c>
      <c r="H32" s="173">
        <v>1</v>
      </c>
      <c r="I32" s="173"/>
      <c r="K32" s="62">
        <f t="shared" si="11"/>
        <v>1727.7529500000001</v>
      </c>
      <c r="L32" s="62">
        <f t="shared" si="12"/>
        <v>15</v>
      </c>
      <c r="M32" s="62">
        <f t="shared" si="13"/>
        <v>1727.7529500000001</v>
      </c>
      <c r="N32" s="62">
        <f t="shared" si="14"/>
        <v>15</v>
      </c>
      <c r="O32" s="62">
        <f t="shared" si="15"/>
        <v>1727.7529500000001</v>
      </c>
      <c r="P32" s="62">
        <f t="shared" si="16"/>
        <v>15</v>
      </c>
      <c r="Q32" s="182">
        <f t="shared" si="16"/>
        <v>15.3</v>
      </c>
      <c r="R32" s="130">
        <v>31.54</v>
      </c>
      <c r="S32" s="130">
        <v>0.33</v>
      </c>
      <c r="V32" s="53"/>
      <c r="W32" t="s">
        <v>84</v>
      </c>
      <c r="X32" s="53"/>
      <c r="Y32" s="53" t="s">
        <v>39</v>
      </c>
      <c r="Z32" s="53" t="s">
        <v>40</v>
      </c>
      <c r="AA32" s="53"/>
      <c r="AB32" s="53"/>
      <c r="AC32" s="53"/>
      <c r="AG32" s="196">
        <v>0.89</v>
      </c>
    </row>
    <row r="33" spans="3:33">
      <c r="D33" s="174" t="str">
        <f>[2]COMM!$E$19</f>
        <v>RSDAHT</v>
      </c>
      <c r="H33" s="173"/>
      <c r="I33" s="173"/>
      <c r="K33" s="102"/>
      <c r="L33" s="3"/>
      <c r="M33" s="102"/>
      <c r="N33" s="3"/>
      <c r="O33" s="102"/>
      <c r="P33" s="3"/>
      <c r="Q33" s="182"/>
      <c r="R33">
        <v>31.54</v>
      </c>
      <c r="V33" s="53"/>
      <c r="W33" t="s">
        <v>18</v>
      </c>
      <c r="X33" s="53"/>
      <c r="Y33" s="53"/>
      <c r="Z33" s="53"/>
      <c r="AA33" s="53"/>
      <c r="AB33" s="53"/>
      <c r="AC33" s="53"/>
      <c r="AG33" s="197"/>
    </row>
    <row r="34" spans="3:33">
      <c r="C34" t="s">
        <v>85</v>
      </c>
      <c r="D34" t="s">
        <v>53</v>
      </c>
      <c r="F34" t="s">
        <v>77</v>
      </c>
      <c r="G34" s="41">
        <v>2021</v>
      </c>
      <c r="H34" s="173">
        <v>0.5</v>
      </c>
      <c r="I34" s="173"/>
      <c r="K34" s="62">
        <f t="shared" ref="K34:K38" si="17">K15</f>
        <v>1127.6899057324799</v>
      </c>
      <c r="L34" s="62">
        <f t="shared" ref="L34:L38" si="18">L15</f>
        <v>21.154399999999999</v>
      </c>
      <c r="M34" s="62">
        <f t="shared" ref="M34:M38" si="19">M15</f>
        <v>1127.6899057324799</v>
      </c>
      <c r="N34" s="62">
        <f t="shared" ref="N34:N38" si="20">N15</f>
        <v>21.154399999999999</v>
      </c>
      <c r="O34" s="62">
        <f t="shared" ref="O34:O38" si="21">O15</f>
        <v>1127.6899057324799</v>
      </c>
      <c r="P34" s="62">
        <f t="shared" ref="P34:P38" si="22">P15</f>
        <v>21.154399999999999</v>
      </c>
      <c r="Q34" s="182">
        <f t="shared" ref="Q34:Q42" si="23">Q15</f>
        <v>19</v>
      </c>
      <c r="R34">
        <v>31.54</v>
      </c>
      <c r="S34">
        <v>1</v>
      </c>
      <c r="V34" s="53"/>
      <c r="W34" t="s">
        <v>85</v>
      </c>
      <c r="X34" s="53"/>
      <c r="Y34" s="53" t="s">
        <v>39</v>
      </c>
      <c r="Z34" s="53" t="s">
        <v>40</v>
      </c>
      <c r="AA34" s="53"/>
      <c r="AB34" s="53"/>
      <c r="AC34" s="53"/>
    </row>
    <row r="35" spans="3:33">
      <c r="C35" t="s">
        <v>86</v>
      </c>
      <c r="D35" t="s">
        <v>64</v>
      </c>
      <c r="F35" t="s">
        <v>77</v>
      </c>
      <c r="G35" s="41">
        <v>2021</v>
      </c>
      <c r="H35" s="173">
        <v>0.5</v>
      </c>
      <c r="I35" s="173"/>
      <c r="K35" s="62">
        <f t="shared" si="17"/>
        <v>1127.6899057324799</v>
      </c>
      <c r="L35" s="62">
        <f t="shared" si="18"/>
        <v>21.154399999999999</v>
      </c>
      <c r="M35" s="62">
        <f t="shared" si="19"/>
        <v>1127.6899057324799</v>
      </c>
      <c r="N35" s="62">
        <f t="shared" si="20"/>
        <v>21.154399999999999</v>
      </c>
      <c r="O35" s="62">
        <f t="shared" si="21"/>
        <v>1127.6899057324799</v>
      </c>
      <c r="P35" s="62">
        <f t="shared" si="22"/>
        <v>21.154399999999999</v>
      </c>
      <c r="Q35" s="182">
        <f t="shared" si="23"/>
        <v>19</v>
      </c>
      <c r="R35">
        <v>31.54</v>
      </c>
      <c r="S35">
        <v>1</v>
      </c>
      <c r="V35" s="53"/>
      <c r="W35" t="s">
        <v>86</v>
      </c>
      <c r="X35" s="53"/>
      <c r="Y35" s="53" t="s">
        <v>39</v>
      </c>
      <c r="Z35" s="53" t="s">
        <v>40</v>
      </c>
      <c r="AA35" s="53"/>
      <c r="AB35" s="53"/>
      <c r="AC35" s="53"/>
      <c r="AG35" s="193">
        <v>0.6</v>
      </c>
    </row>
    <row r="36" spans="3:33">
      <c r="C36" s="105" t="s">
        <v>87</v>
      </c>
      <c r="D36" s="105" t="s">
        <v>48</v>
      </c>
      <c r="E36" s="105"/>
      <c r="F36" t="s">
        <v>77</v>
      </c>
      <c r="G36" s="41">
        <v>2021</v>
      </c>
      <c r="H36" s="173">
        <v>0.75</v>
      </c>
      <c r="I36" s="173"/>
      <c r="K36" s="62">
        <f t="shared" si="17"/>
        <v>891.69650286624199</v>
      </c>
      <c r="L36" s="62">
        <f t="shared" si="18"/>
        <v>13.077199999999999</v>
      </c>
      <c r="M36" s="62">
        <f t="shared" si="19"/>
        <v>891.69650286624199</v>
      </c>
      <c r="N36" s="62">
        <f t="shared" si="20"/>
        <v>13.077199999999999</v>
      </c>
      <c r="O36" s="62">
        <f t="shared" si="21"/>
        <v>891.69650286624199</v>
      </c>
      <c r="P36" s="62">
        <f t="shared" si="22"/>
        <v>13.077199999999999</v>
      </c>
      <c r="Q36" s="182">
        <f t="shared" si="23"/>
        <v>20.75</v>
      </c>
      <c r="R36">
        <v>31.54</v>
      </c>
      <c r="S36" s="142">
        <f>'[3]TechHeat-RES-SD'!$I$161</f>
        <v>0.60975609756097604</v>
      </c>
      <c r="V36" s="53"/>
      <c r="W36" s="105" t="s">
        <v>87</v>
      </c>
      <c r="X36" s="53"/>
      <c r="Y36" s="53" t="s">
        <v>39</v>
      </c>
      <c r="Z36" s="53" t="s">
        <v>40</v>
      </c>
      <c r="AA36" s="53"/>
      <c r="AB36" s="53"/>
      <c r="AC36" s="53"/>
      <c r="AG36" s="193">
        <v>0.78</v>
      </c>
    </row>
    <row r="37" spans="3:33">
      <c r="D37" s="105" t="s">
        <v>64</v>
      </c>
      <c r="E37" s="105"/>
      <c r="H37" s="173"/>
      <c r="I37" s="173"/>
      <c r="K37" s="102"/>
      <c r="M37" s="102"/>
      <c r="O37" s="102"/>
      <c r="P37" s="3"/>
      <c r="Q37" s="182"/>
      <c r="S37" s="142">
        <f t="shared" ref="S37:S41" si="24">1-S36</f>
        <v>0.39024390243902402</v>
      </c>
      <c r="V37" s="53"/>
      <c r="W37" t="s">
        <v>18</v>
      </c>
      <c r="X37" s="53"/>
      <c r="Y37" s="53"/>
      <c r="Z37" s="53"/>
      <c r="AA37" s="53"/>
      <c r="AB37" s="53"/>
      <c r="AC37" s="53"/>
      <c r="AG37" s="193">
        <v>0.85</v>
      </c>
    </row>
    <row r="38" spans="3:33">
      <c r="C38" s="105" t="s">
        <v>88</v>
      </c>
      <c r="D38" s="105" t="s">
        <v>36</v>
      </c>
      <c r="E38" s="105"/>
      <c r="F38" t="s">
        <v>77</v>
      </c>
      <c r="G38" s="41">
        <v>2021</v>
      </c>
      <c r="H38" s="173">
        <v>0.67500000000000004</v>
      </c>
      <c r="I38" s="173"/>
      <c r="K38" s="62">
        <f t="shared" si="17"/>
        <v>951.14679575371497</v>
      </c>
      <c r="L38" s="62">
        <f t="shared" si="18"/>
        <v>11.8770095238095</v>
      </c>
      <c r="M38" s="62">
        <f t="shared" si="19"/>
        <v>951.14679575371497</v>
      </c>
      <c r="N38" s="62">
        <f t="shared" si="20"/>
        <v>11.8770095238095</v>
      </c>
      <c r="O38" s="62">
        <f t="shared" si="21"/>
        <v>951.14679575371497</v>
      </c>
      <c r="P38" s="62">
        <f t="shared" si="22"/>
        <v>11.8770095238095</v>
      </c>
      <c r="Q38" s="182">
        <f t="shared" si="23"/>
        <v>22.75</v>
      </c>
      <c r="R38">
        <v>31.54</v>
      </c>
      <c r="S38" s="142">
        <f>'[3]TechHeat-RES-SD'!$I$163</f>
        <v>0.238095238095238</v>
      </c>
      <c r="V38" s="53"/>
      <c r="W38" s="105" t="s">
        <v>88</v>
      </c>
      <c r="X38" s="53"/>
      <c r="Y38" s="53" t="s">
        <v>39</v>
      </c>
      <c r="Z38" s="53" t="s">
        <v>40</v>
      </c>
      <c r="AA38" s="53"/>
      <c r="AB38" s="53"/>
      <c r="AC38" s="53"/>
      <c r="AG38" s="193">
        <v>0.62</v>
      </c>
    </row>
    <row r="39" spans="3:33">
      <c r="D39" s="105" t="s">
        <v>64</v>
      </c>
      <c r="E39" s="105"/>
      <c r="H39" s="173"/>
      <c r="I39" s="173"/>
      <c r="K39" s="102"/>
      <c r="L39" s="3"/>
      <c r="M39" s="102"/>
      <c r="N39" s="3"/>
      <c r="O39" s="102"/>
      <c r="P39" s="3"/>
      <c r="Q39" s="182"/>
      <c r="S39" s="142">
        <f t="shared" si="24"/>
        <v>0.76190476190476197</v>
      </c>
      <c r="V39" s="53"/>
      <c r="W39" t="s">
        <v>18</v>
      </c>
      <c r="X39" s="53"/>
      <c r="Y39" s="53"/>
      <c r="Z39" s="53"/>
      <c r="AA39" s="53"/>
      <c r="AB39" s="53"/>
      <c r="AC39" s="53"/>
      <c r="AG39" s="193">
        <v>0.8</v>
      </c>
    </row>
    <row r="40" spans="3:33">
      <c r="C40" s="105" t="s">
        <v>89</v>
      </c>
      <c r="D40" s="105" t="s">
        <v>48</v>
      </c>
      <c r="E40" s="105"/>
      <c r="F40" t="s">
        <v>77</v>
      </c>
      <c r="G40" s="41">
        <v>2021</v>
      </c>
      <c r="H40" s="173">
        <v>0.9</v>
      </c>
      <c r="I40" s="173"/>
      <c r="K40" s="62">
        <f t="shared" ref="K40:P40" si="25">K21</f>
        <v>614.72047499999996</v>
      </c>
      <c r="L40" s="62">
        <f t="shared" si="25"/>
        <v>5.5</v>
      </c>
      <c r="M40" s="62">
        <f t="shared" si="25"/>
        <v>614.72047499999996</v>
      </c>
      <c r="N40" s="62">
        <f t="shared" si="25"/>
        <v>5.5</v>
      </c>
      <c r="O40" s="62">
        <f t="shared" si="25"/>
        <v>614.72047499999996</v>
      </c>
      <c r="P40" s="62">
        <f t="shared" si="25"/>
        <v>5.5</v>
      </c>
      <c r="Q40" s="182">
        <f t="shared" si="23"/>
        <v>22.25</v>
      </c>
      <c r="R40">
        <v>31.54</v>
      </c>
      <c r="S40" s="142">
        <f>'[3]TechHeat-RES-SD'!$I$165</f>
        <v>0.32051282051282098</v>
      </c>
      <c r="V40" s="53"/>
      <c r="W40" s="105" t="s">
        <v>89</v>
      </c>
      <c r="X40" s="53"/>
      <c r="Y40" s="53" t="s">
        <v>39</v>
      </c>
      <c r="Z40" s="53" t="s">
        <v>40</v>
      </c>
      <c r="AA40" s="53"/>
      <c r="AB40" s="53"/>
      <c r="AC40" s="53"/>
      <c r="AG40" s="193">
        <v>0.9</v>
      </c>
    </row>
    <row r="41" spans="3:33">
      <c r="D41" s="105" t="s">
        <v>44</v>
      </c>
      <c r="E41" s="105"/>
      <c r="H41" s="173"/>
      <c r="I41" s="173"/>
      <c r="K41" s="102"/>
      <c r="L41" s="3"/>
      <c r="M41" s="102"/>
      <c r="N41" s="3"/>
      <c r="O41" s="102"/>
      <c r="P41" s="3"/>
      <c r="Q41" s="182"/>
      <c r="S41" s="142">
        <f t="shared" si="24"/>
        <v>0.67948717948717896</v>
      </c>
      <c r="V41" s="53"/>
      <c r="W41" t="s">
        <v>18</v>
      </c>
      <c r="X41" s="53"/>
      <c r="Y41" s="53"/>
      <c r="Z41" s="53"/>
      <c r="AA41" s="53"/>
      <c r="AB41" s="53"/>
      <c r="AC41" s="53"/>
      <c r="AG41" s="193">
        <v>1</v>
      </c>
    </row>
    <row r="42" spans="3:33">
      <c r="C42" s="105" t="s">
        <v>90</v>
      </c>
      <c r="D42" s="105" t="s">
        <v>48</v>
      </c>
      <c r="E42" s="105"/>
      <c r="F42" t="s">
        <v>77</v>
      </c>
      <c r="G42" s="41">
        <v>2021</v>
      </c>
      <c r="H42" s="173">
        <v>0.89</v>
      </c>
      <c r="I42" s="173"/>
      <c r="K42" s="62">
        <f t="shared" ref="K42:P42" si="26">K23</f>
        <v>715.15339288747396</v>
      </c>
      <c r="L42" s="62">
        <f t="shared" si="26"/>
        <v>3.79980952380952</v>
      </c>
      <c r="M42" s="62">
        <f t="shared" si="26"/>
        <v>715.15339288747396</v>
      </c>
      <c r="N42" s="62">
        <f t="shared" si="26"/>
        <v>3.79980952380952</v>
      </c>
      <c r="O42" s="62">
        <f t="shared" si="26"/>
        <v>715.15339288747396</v>
      </c>
      <c r="P42" s="62">
        <f t="shared" si="26"/>
        <v>3.79980952380952</v>
      </c>
      <c r="Q42" s="182">
        <f t="shared" si="23"/>
        <v>24.5</v>
      </c>
      <c r="R42">
        <v>31.54</v>
      </c>
      <c r="S42" s="142">
        <f>'[3]TechHeat-RES-SD'!$I$167</f>
        <v>0.83333333333333304</v>
      </c>
      <c r="V42" s="53"/>
      <c r="W42" s="105" t="s">
        <v>90</v>
      </c>
      <c r="X42" s="53"/>
      <c r="Y42" s="53" t="s">
        <v>39</v>
      </c>
      <c r="Z42" s="53" t="s">
        <v>40</v>
      </c>
      <c r="AA42" s="53"/>
      <c r="AB42" s="53"/>
      <c r="AC42" s="53"/>
      <c r="AG42" s="193">
        <v>1.9</v>
      </c>
    </row>
    <row r="43" spans="3:33">
      <c r="D43" s="105" t="s">
        <v>36</v>
      </c>
      <c r="E43" s="105"/>
      <c r="K43" s="102"/>
      <c r="M43" s="102"/>
      <c r="O43" s="102"/>
      <c r="P43" s="3"/>
      <c r="Q43" s="42"/>
      <c r="S43" s="142">
        <f>1-S42</f>
        <v>0.16666666666666699</v>
      </c>
      <c r="V43" s="53"/>
      <c r="W43" t="s">
        <v>18</v>
      </c>
      <c r="X43" s="53"/>
      <c r="Y43" s="53"/>
      <c r="Z43" s="53"/>
      <c r="AA43" s="53"/>
      <c r="AB43" s="53"/>
      <c r="AC43" s="53"/>
      <c r="AG43" s="193">
        <v>0.5</v>
      </c>
    </row>
    <row r="44" spans="3:33">
      <c r="C44" t="s">
        <v>91</v>
      </c>
      <c r="D44" t="s">
        <v>36</v>
      </c>
      <c r="F44" t="s">
        <v>92</v>
      </c>
      <c r="G44" s="41">
        <v>2021</v>
      </c>
      <c r="H44" s="42">
        <v>0.6</v>
      </c>
      <c r="K44" s="62">
        <f t="shared" ref="K44:Q44" si="27">K25</f>
        <v>774.60368577494705</v>
      </c>
      <c r="L44" s="62">
        <f t="shared" si="27"/>
        <v>2.5996190476190502</v>
      </c>
      <c r="M44" s="62">
        <f t="shared" si="27"/>
        <v>774.60368577494705</v>
      </c>
      <c r="N44" s="62">
        <f t="shared" si="27"/>
        <v>2.5996190476190502</v>
      </c>
      <c r="O44" s="62">
        <f t="shared" si="27"/>
        <v>774.60368577494705</v>
      </c>
      <c r="P44" s="62">
        <f t="shared" si="27"/>
        <v>2.5996190476190502</v>
      </c>
      <c r="Q44" s="182">
        <f t="shared" si="27"/>
        <v>26.5</v>
      </c>
      <c r="R44">
        <v>31.54</v>
      </c>
      <c r="S44">
        <v>1</v>
      </c>
      <c r="V44" s="53"/>
      <c r="W44" t="s">
        <v>91</v>
      </c>
      <c r="X44" s="53"/>
      <c r="Y44" s="53" t="s">
        <v>39</v>
      </c>
      <c r="Z44" s="53" t="s">
        <v>40</v>
      </c>
      <c r="AA44" s="53"/>
      <c r="AB44" s="53"/>
      <c r="AC44" s="53"/>
      <c r="AG44" s="193">
        <v>0.5</v>
      </c>
    </row>
    <row r="45" spans="3:33">
      <c r="C45" t="s">
        <v>93</v>
      </c>
      <c r="D45" t="s">
        <v>36</v>
      </c>
      <c r="F45" t="s">
        <v>92</v>
      </c>
      <c r="G45" s="41">
        <v>2021</v>
      </c>
      <c r="H45" s="42">
        <v>0.78</v>
      </c>
      <c r="K45" s="62">
        <f t="shared" ref="K45:Q45" si="28">K26</f>
        <v>774.60368577494705</v>
      </c>
      <c r="L45" s="62">
        <f t="shared" si="28"/>
        <v>2.5996190476190502</v>
      </c>
      <c r="M45" s="62">
        <f t="shared" si="28"/>
        <v>774.60368577494705</v>
      </c>
      <c r="N45" s="62">
        <f t="shared" si="28"/>
        <v>2.5996190476190502</v>
      </c>
      <c r="O45" s="62">
        <f t="shared" si="28"/>
        <v>774.60368577494705</v>
      </c>
      <c r="P45" s="62">
        <f t="shared" si="28"/>
        <v>2.5996190476190502</v>
      </c>
      <c r="Q45" s="182">
        <f t="shared" si="28"/>
        <v>26.5</v>
      </c>
      <c r="R45">
        <v>31.54</v>
      </c>
      <c r="S45">
        <v>1</v>
      </c>
      <c r="V45" s="53"/>
      <c r="W45" t="s">
        <v>93</v>
      </c>
      <c r="X45" s="53"/>
      <c r="Y45" s="53" t="s">
        <v>39</v>
      </c>
      <c r="Z45" s="53" t="s">
        <v>40</v>
      </c>
      <c r="AA45" s="53"/>
      <c r="AB45" s="53"/>
      <c r="AC45" s="53"/>
      <c r="AG45" s="193">
        <v>0.75</v>
      </c>
    </row>
    <row r="46" spans="3:33">
      <c r="C46" t="s">
        <v>94</v>
      </c>
      <c r="D46" t="s">
        <v>36</v>
      </c>
      <c r="F46" t="s">
        <v>92</v>
      </c>
      <c r="G46" s="41">
        <v>2021</v>
      </c>
      <c r="H46" s="42">
        <v>0.85</v>
      </c>
      <c r="K46" s="62">
        <f t="shared" ref="K46:Q46" si="29">K27</f>
        <v>774.60368577494705</v>
      </c>
      <c r="L46" s="62">
        <f t="shared" si="29"/>
        <v>2.5996190476190502</v>
      </c>
      <c r="M46" s="62">
        <f t="shared" si="29"/>
        <v>774.60368577494705</v>
      </c>
      <c r="N46" s="62">
        <f t="shared" si="29"/>
        <v>2.5996190476190502</v>
      </c>
      <c r="O46" s="62">
        <f t="shared" si="29"/>
        <v>774.60368577494705</v>
      </c>
      <c r="P46" s="62">
        <f t="shared" si="29"/>
        <v>2.5996190476190502</v>
      </c>
      <c r="Q46" s="182">
        <f t="shared" si="29"/>
        <v>26.5</v>
      </c>
      <c r="R46">
        <v>31.54</v>
      </c>
      <c r="S46">
        <v>1</v>
      </c>
      <c r="V46" s="53"/>
      <c r="W46" t="s">
        <v>94</v>
      </c>
      <c r="X46" s="53"/>
      <c r="Y46" s="53" t="s">
        <v>39</v>
      </c>
      <c r="Z46" s="53" t="s">
        <v>40</v>
      </c>
      <c r="AA46" s="53"/>
      <c r="AB46" s="53"/>
      <c r="AC46" s="53"/>
      <c r="AG46" s="193"/>
    </row>
    <row r="47" spans="3:33">
      <c r="C47" t="s">
        <v>95</v>
      </c>
      <c r="D47" t="s">
        <v>44</v>
      </c>
      <c r="F47" t="s">
        <v>92</v>
      </c>
      <c r="G47" s="41">
        <v>2021</v>
      </c>
      <c r="H47" s="42">
        <v>0.62</v>
      </c>
      <c r="K47" s="62">
        <f t="shared" ref="K47:Q47" si="30">K28</f>
        <v>573.73784999999998</v>
      </c>
      <c r="L47" s="62">
        <f t="shared" si="30"/>
        <v>6</v>
      </c>
      <c r="M47" s="62">
        <f t="shared" si="30"/>
        <v>573.73784999999998</v>
      </c>
      <c r="N47" s="62">
        <f t="shared" si="30"/>
        <v>6</v>
      </c>
      <c r="O47" s="62">
        <f t="shared" si="30"/>
        <v>573.73784999999998</v>
      </c>
      <c r="P47" s="62">
        <f t="shared" si="30"/>
        <v>6</v>
      </c>
      <c r="Q47" s="182">
        <f t="shared" si="30"/>
        <v>22</v>
      </c>
      <c r="R47">
        <v>31.54</v>
      </c>
      <c r="S47">
        <v>1</v>
      </c>
      <c r="V47" s="53"/>
      <c r="W47" t="s">
        <v>95</v>
      </c>
      <c r="X47" s="53"/>
      <c r="Y47" s="53" t="s">
        <v>39</v>
      </c>
      <c r="Z47" s="53" t="s">
        <v>40</v>
      </c>
      <c r="AA47" s="53"/>
      <c r="AB47" s="53"/>
      <c r="AC47" s="53"/>
      <c r="AG47" s="193">
        <v>0.67500000000000004</v>
      </c>
    </row>
    <row r="48" spans="3:33">
      <c r="C48" t="s">
        <v>96</v>
      </c>
      <c r="D48" t="s">
        <v>44</v>
      </c>
      <c r="F48" t="s">
        <v>92</v>
      </c>
      <c r="G48" s="41">
        <v>2021</v>
      </c>
      <c r="H48" s="42">
        <v>0.8</v>
      </c>
      <c r="K48" s="62">
        <f t="shared" ref="K48:Q48" si="31">K29</f>
        <v>573.73784999999998</v>
      </c>
      <c r="L48" s="62">
        <f t="shared" si="31"/>
        <v>6</v>
      </c>
      <c r="M48" s="62">
        <f t="shared" si="31"/>
        <v>573.73784999999998</v>
      </c>
      <c r="N48" s="62">
        <f t="shared" si="31"/>
        <v>6</v>
      </c>
      <c r="O48" s="62">
        <f t="shared" si="31"/>
        <v>573.73784999999998</v>
      </c>
      <c r="P48" s="62">
        <f t="shared" si="31"/>
        <v>6</v>
      </c>
      <c r="Q48" s="182">
        <f t="shared" si="31"/>
        <v>22</v>
      </c>
      <c r="R48">
        <v>31.54</v>
      </c>
      <c r="S48">
        <v>1</v>
      </c>
      <c r="V48" s="53"/>
      <c r="W48" t="s">
        <v>96</v>
      </c>
      <c r="X48" s="53"/>
      <c r="Y48" s="53" t="s">
        <v>39</v>
      </c>
      <c r="Z48" s="53" t="s">
        <v>40</v>
      </c>
      <c r="AA48" s="53"/>
      <c r="AB48" s="53"/>
      <c r="AC48" s="53"/>
      <c r="AG48" s="193"/>
    </row>
    <row r="49" spans="3:33">
      <c r="C49" t="s">
        <v>97</v>
      </c>
      <c r="D49" t="s">
        <v>44</v>
      </c>
      <c r="F49" t="s">
        <v>92</v>
      </c>
      <c r="G49" s="41">
        <v>2021</v>
      </c>
      <c r="H49" s="42">
        <v>0.9</v>
      </c>
      <c r="K49" s="62">
        <f t="shared" ref="K49:Q49" si="32">K30</f>
        <v>573.73784999999998</v>
      </c>
      <c r="L49" s="62">
        <f t="shared" si="32"/>
        <v>6</v>
      </c>
      <c r="M49" s="62">
        <f t="shared" si="32"/>
        <v>573.73784999999998</v>
      </c>
      <c r="N49" s="62">
        <f t="shared" si="32"/>
        <v>6</v>
      </c>
      <c r="O49" s="62">
        <f t="shared" si="32"/>
        <v>573.73784999999998</v>
      </c>
      <c r="P49" s="62">
        <f t="shared" si="32"/>
        <v>6</v>
      </c>
      <c r="Q49" s="182">
        <f t="shared" si="32"/>
        <v>22</v>
      </c>
      <c r="R49">
        <v>31.54</v>
      </c>
      <c r="S49">
        <v>1</v>
      </c>
      <c r="V49" s="53"/>
      <c r="W49" t="s">
        <v>97</v>
      </c>
      <c r="X49" s="53"/>
      <c r="Y49" s="53" t="s">
        <v>39</v>
      </c>
      <c r="Z49" s="53" t="s">
        <v>40</v>
      </c>
      <c r="AA49" s="53"/>
      <c r="AB49" s="53"/>
      <c r="AC49" s="53"/>
      <c r="AG49" s="193">
        <v>0.9</v>
      </c>
    </row>
    <row r="50" spans="3:33">
      <c r="C50" t="s">
        <v>98</v>
      </c>
      <c r="D50" t="s">
        <v>48</v>
      </c>
      <c r="F50" t="s">
        <v>92</v>
      </c>
      <c r="G50" s="41">
        <v>2021</v>
      </c>
      <c r="H50" s="42">
        <v>1</v>
      </c>
      <c r="K50" s="62">
        <f t="shared" ref="K50:Q50" si="33">K31</f>
        <v>655.70309999999995</v>
      </c>
      <c r="L50" s="62">
        <f t="shared" si="33"/>
        <v>5</v>
      </c>
      <c r="M50" s="62">
        <f t="shared" si="33"/>
        <v>655.70309999999995</v>
      </c>
      <c r="N50" s="62">
        <f t="shared" si="33"/>
        <v>5</v>
      </c>
      <c r="O50" s="62">
        <f t="shared" si="33"/>
        <v>655.70309999999995</v>
      </c>
      <c r="P50" s="62">
        <f t="shared" si="33"/>
        <v>5</v>
      </c>
      <c r="Q50" s="182">
        <f t="shared" si="33"/>
        <v>22.5</v>
      </c>
      <c r="R50">
        <v>31.54</v>
      </c>
      <c r="S50">
        <v>1</v>
      </c>
      <c r="V50" s="53"/>
      <c r="W50" t="s">
        <v>98</v>
      </c>
      <c r="X50" s="53"/>
      <c r="Y50" s="53" t="s">
        <v>39</v>
      </c>
      <c r="Z50" s="53" t="s">
        <v>40</v>
      </c>
      <c r="AA50" s="53"/>
      <c r="AB50" s="53"/>
      <c r="AC50" s="53"/>
      <c r="AG50" s="193"/>
    </row>
    <row r="51" spans="3:33">
      <c r="C51" t="s">
        <v>99</v>
      </c>
      <c r="D51" s="176" t="s">
        <v>48</v>
      </c>
      <c r="E51" s="176"/>
      <c r="F51" s="130" t="s">
        <v>92</v>
      </c>
      <c r="G51" s="41">
        <v>2021</v>
      </c>
      <c r="H51" s="42">
        <v>1</v>
      </c>
      <c r="K51" s="62">
        <f t="shared" ref="K51:Q51" si="34">K32</f>
        <v>1727.7529500000001</v>
      </c>
      <c r="L51" s="62">
        <f t="shared" si="34"/>
        <v>15</v>
      </c>
      <c r="M51" s="62">
        <f t="shared" si="34"/>
        <v>1727.7529500000001</v>
      </c>
      <c r="N51" s="62">
        <f t="shared" si="34"/>
        <v>15</v>
      </c>
      <c r="O51" s="62">
        <f t="shared" si="34"/>
        <v>1727.7529500000001</v>
      </c>
      <c r="P51" s="62">
        <f t="shared" si="34"/>
        <v>15</v>
      </c>
      <c r="Q51" s="182">
        <f t="shared" si="34"/>
        <v>15.3</v>
      </c>
      <c r="R51" s="130">
        <v>31.54</v>
      </c>
      <c r="S51" s="188">
        <v>0.33</v>
      </c>
      <c r="V51" s="53"/>
      <c r="W51" t="s">
        <v>99</v>
      </c>
      <c r="X51" s="53"/>
      <c r="Y51" s="53" t="s">
        <v>39</v>
      </c>
      <c r="Z51" s="53" t="s">
        <v>40</v>
      </c>
      <c r="AA51" s="53"/>
      <c r="AB51" s="53"/>
      <c r="AC51" s="53"/>
      <c r="AG51" s="193">
        <v>0.89</v>
      </c>
    </row>
    <row r="52" spans="3:33">
      <c r="D52" s="174" t="str">
        <f>[2]COMM!$E$19</f>
        <v>RSDAHT</v>
      </c>
      <c r="K52" s="102"/>
      <c r="L52" s="3"/>
      <c r="M52" s="102"/>
      <c r="N52" s="3"/>
      <c r="O52" s="102"/>
      <c r="P52" s="3"/>
      <c r="Q52" s="182"/>
      <c r="R52">
        <v>31.54</v>
      </c>
      <c r="S52" s="85">
        <f>1-S51</f>
        <v>0.67</v>
      </c>
      <c r="V52" s="53"/>
      <c r="W52" t="s">
        <v>18</v>
      </c>
      <c r="X52" s="53"/>
      <c r="Y52" s="53"/>
      <c r="Z52" s="53"/>
      <c r="AA52" s="53"/>
      <c r="AB52" s="53"/>
      <c r="AC52" s="53"/>
      <c r="AG52" s="193"/>
    </row>
    <row r="53" spans="3:33">
      <c r="C53" t="s">
        <v>100</v>
      </c>
      <c r="D53" t="s">
        <v>53</v>
      </c>
      <c r="F53" t="s">
        <v>92</v>
      </c>
      <c r="G53" s="41">
        <v>2021</v>
      </c>
      <c r="H53" s="42">
        <v>0.5</v>
      </c>
      <c r="K53" s="62">
        <f t="shared" ref="K53:Q61" si="35">K34</f>
        <v>1127.6899057324799</v>
      </c>
      <c r="L53" s="62">
        <f t="shared" si="35"/>
        <v>21.154399999999999</v>
      </c>
      <c r="M53" s="62">
        <f t="shared" si="35"/>
        <v>1127.6899057324799</v>
      </c>
      <c r="N53" s="62">
        <f t="shared" si="35"/>
        <v>21.154399999999999</v>
      </c>
      <c r="O53" s="62">
        <f t="shared" si="35"/>
        <v>1127.6899057324799</v>
      </c>
      <c r="P53" s="62">
        <f t="shared" si="35"/>
        <v>21.154399999999999</v>
      </c>
      <c r="Q53" s="182">
        <f t="shared" si="35"/>
        <v>19</v>
      </c>
      <c r="R53">
        <v>31.54</v>
      </c>
      <c r="S53">
        <v>1</v>
      </c>
      <c r="V53" s="53"/>
      <c r="W53" t="s">
        <v>100</v>
      </c>
      <c r="X53" s="53"/>
      <c r="Y53" s="53" t="s">
        <v>39</v>
      </c>
      <c r="Z53" s="53" t="s">
        <v>40</v>
      </c>
      <c r="AA53" s="53"/>
      <c r="AB53" s="53"/>
      <c r="AC53" s="53"/>
    </row>
    <row r="54" spans="3:33">
      <c r="C54" t="s">
        <v>101</v>
      </c>
      <c r="D54" t="s">
        <v>64</v>
      </c>
      <c r="F54" t="s">
        <v>92</v>
      </c>
      <c r="G54" s="41">
        <v>2021</v>
      </c>
      <c r="H54" s="42">
        <v>0.5</v>
      </c>
      <c r="K54" s="62">
        <f t="shared" ref="K54:P54" si="36">K35</f>
        <v>1127.6899057324799</v>
      </c>
      <c r="L54" s="62">
        <f t="shared" si="36"/>
        <v>21.154399999999999</v>
      </c>
      <c r="M54" s="62">
        <f t="shared" si="36"/>
        <v>1127.6899057324799</v>
      </c>
      <c r="N54" s="62">
        <f t="shared" si="36"/>
        <v>21.154399999999999</v>
      </c>
      <c r="O54" s="62">
        <f t="shared" si="36"/>
        <v>1127.6899057324799</v>
      </c>
      <c r="P54" s="62">
        <f t="shared" si="36"/>
        <v>21.154399999999999</v>
      </c>
      <c r="Q54" s="182">
        <f t="shared" si="35"/>
        <v>19</v>
      </c>
      <c r="R54">
        <v>31.54</v>
      </c>
      <c r="S54">
        <v>1</v>
      </c>
      <c r="V54" s="53"/>
      <c r="W54" t="s">
        <v>101</v>
      </c>
      <c r="X54" s="53"/>
      <c r="Y54" s="53" t="s">
        <v>39</v>
      </c>
      <c r="Z54" s="53" t="s">
        <v>40</v>
      </c>
      <c r="AA54" s="53"/>
      <c r="AB54" s="53"/>
      <c r="AC54" s="53"/>
      <c r="AG54">
        <v>0.6</v>
      </c>
    </row>
    <row r="55" spans="3:33">
      <c r="C55" s="105" t="s">
        <v>102</v>
      </c>
      <c r="D55" s="105" t="s">
        <v>48</v>
      </c>
      <c r="E55" s="105"/>
      <c r="F55" t="s">
        <v>92</v>
      </c>
      <c r="G55" s="41">
        <v>2021</v>
      </c>
      <c r="H55" s="42">
        <v>0.75</v>
      </c>
      <c r="K55" s="62">
        <f t="shared" ref="K55:P55" si="37">K36</f>
        <v>891.69650286624199</v>
      </c>
      <c r="L55" s="62">
        <f t="shared" si="37"/>
        <v>13.077199999999999</v>
      </c>
      <c r="M55" s="62">
        <f t="shared" si="37"/>
        <v>891.69650286624199</v>
      </c>
      <c r="N55" s="62">
        <f t="shared" si="37"/>
        <v>13.077199999999999</v>
      </c>
      <c r="O55" s="62">
        <f t="shared" si="37"/>
        <v>891.69650286624199</v>
      </c>
      <c r="P55" s="62">
        <f t="shared" si="37"/>
        <v>13.077199999999999</v>
      </c>
      <c r="Q55" s="182">
        <f t="shared" si="35"/>
        <v>20.75</v>
      </c>
      <c r="R55">
        <v>31.54</v>
      </c>
      <c r="S55" s="142">
        <f>'[3]TechHeat-RES-SD'!$I$161</f>
        <v>0.60975609756097604</v>
      </c>
      <c r="V55" s="53"/>
      <c r="W55" s="105" t="s">
        <v>102</v>
      </c>
      <c r="X55" s="53"/>
      <c r="Y55" s="53" t="s">
        <v>39</v>
      </c>
      <c r="Z55" s="53" t="s">
        <v>40</v>
      </c>
      <c r="AA55" s="53"/>
      <c r="AB55" s="53"/>
      <c r="AC55" s="53"/>
      <c r="AG55">
        <v>0.78</v>
      </c>
    </row>
    <row r="56" spans="3:33">
      <c r="D56" s="105" t="s">
        <v>64</v>
      </c>
      <c r="E56" s="105"/>
      <c r="K56" s="102"/>
      <c r="M56" s="102"/>
      <c r="O56" s="102"/>
      <c r="P56" s="3"/>
      <c r="Q56" s="182"/>
      <c r="S56" s="142">
        <f t="shared" ref="S56:S60" si="38">1-S55</f>
        <v>0.39024390243902402</v>
      </c>
      <c r="V56" s="53"/>
      <c r="W56" t="s">
        <v>18</v>
      </c>
      <c r="X56" s="53"/>
      <c r="Y56" s="53"/>
      <c r="Z56" s="53"/>
      <c r="AA56" s="53"/>
      <c r="AB56" s="53"/>
      <c r="AC56" s="53"/>
      <c r="AG56">
        <v>0.85</v>
      </c>
    </row>
    <row r="57" spans="3:33">
      <c r="C57" s="105" t="s">
        <v>103</v>
      </c>
      <c r="D57" s="105" t="s">
        <v>36</v>
      </c>
      <c r="E57" s="105"/>
      <c r="F57" t="s">
        <v>92</v>
      </c>
      <c r="G57" s="41">
        <v>2021</v>
      </c>
      <c r="H57" s="42">
        <v>0.67500000000000004</v>
      </c>
      <c r="K57" s="62">
        <f t="shared" ref="K57:P57" si="39">K38</f>
        <v>951.14679575371497</v>
      </c>
      <c r="L57" s="62">
        <f t="shared" si="39"/>
        <v>11.8770095238095</v>
      </c>
      <c r="M57" s="62">
        <f t="shared" si="39"/>
        <v>951.14679575371497</v>
      </c>
      <c r="N57" s="62">
        <f t="shared" si="39"/>
        <v>11.8770095238095</v>
      </c>
      <c r="O57" s="62">
        <f t="shared" si="39"/>
        <v>951.14679575371497</v>
      </c>
      <c r="P57" s="62">
        <f t="shared" si="39"/>
        <v>11.8770095238095</v>
      </c>
      <c r="Q57" s="182">
        <f t="shared" si="35"/>
        <v>22.75</v>
      </c>
      <c r="R57">
        <v>31.54</v>
      </c>
      <c r="S57" s="142">
        <f>'[3]TechHeat-RES-SD'!$I$163</f>
        <v>0.238095238095238</v>
      </c>
      <c r="V57" s="53"/>
      <c r="W57" s="105" t="s">
        <v>103</v>
      </c>
      <c r="X57" s="53"/>
      <c r="Y57" s="53" t="s">
        <v>39</v>
      </c>
      <c r="Z57" s="53" t="s">
        <v>40</v>
      </c>
      <c r="AA57" s="53"/>
      <c r="AB57" s="53"/>
      <c r="AC57" s="53"/>
      <c r="AG57">
        <v>0.62</v>
      </c>
    </row>
    <row r="58" spans="3:33">
      <c r="D58" s="105" t="s">
        <v>64</v>
      </c>
      <c r="E58" s="105"/>
      <c r="K58" s="102"/>
      <c r="L58" s="3"/>
      <c r="M58" s="102"/>
      <c r="N58" s="3"/>
      <c r="O58" s="102"/>
      <c r="P58" s="3"/>
      <c r="Q58" s="182"/>
      <c r="S58" s="142">
        <f t="shared" si="38"/>
        <v>0.76190476190476197</v>
      </c>
      <c r="V58" s="53"/>
      <c r="W58" t="s">
        <v>18</v>
      </c>
      <c r="X58" s="53"/>
      <c r="Y58" s="53"/>
      <c r="Z58" s="53"/>
      <c r="AA58" s="53"/>
      <c r="AB58" s="53"/>
      <c r="AC58" s="53"/>
      <c r="AG58">
        <v>0.8</v>
      </c>
    </row>
    <row r="59" spans="3:33">
      <c r="C59" s="105" t="s">
        <v>104</v>
      </c>
      <c r="D59" s="105" t="s">
        <v>48</v>
      </c>
      <c r="E59" s="105"/>
      <c r="F59" t="s">
        <v>92</v>
      </c>
      <c r="G59" s="41">
        <v>2021</v>
      </c>
      <c r="H59" s="42">
        <v>0.9</v>
      </c>
      <c r="K59" s="62">
        <f t="shared" ref="K59:P59" si="40">K40</f>
        <v>614.72047499999996</v>
      </c>
      <c r="L59" s="62">
        <f t="shared" si="40"/>
        <v>5.5</v>
      </c>
      <c r="M59" s="62">
        <f t="shared" si="40"/>
        <v>614.72047499999996</v>
      </c>
      <c r="N59" s="62">
        <f t="shared" si="40"/>
        <v>5.5</v>
      </c>
      <c r="O59" s="62">
        <f t="shared" si="40"/>
        <v>614.72047499999996</v>
      </c>
      <c r="P59" s="62">
        <f t="shared" si="40"/>
        <v>5.5</v>
      </c>
      <c r="Q59" s="182">
        <f t="shared" si="35"/>
        <v>22.25</v>
      </c>
      <c r="R59">
        <v>31.54</v>
      </c>
      <c r="S59" s="142">
        <f>'[3]TechHeat-RES-SD'!$I$165</f>
        <v>0.32051282051282098</v>
      </c>
      <c r="V59" s="53"/>
      <c r="W59" s="105" t="s">
        <v>104</v>
      </c>
      <c r="X59" s="53"/>
      <c r="Y59" s="53" t="s">
        <v>39</v>
      </c>
      <c r="Z59" s="53" t="s">
        <v>40</v>
      </c>
      <c r="AA59" s="53"/>
      <c r="AB59" s="53"/>
      <c r="AC59" s="53"/>
      <c r="AG59">
        <v>0.9</v>
      </c>
    </row>
    <row r="60" spans="3:33">
      <c r="D60" s="105" t="s">
        <v>44</v>
      </c>
      <c r="E60" s="105"/>
      <c r="K60" s="102"/>
      <c r="L60" s="3"/>
      <c r="M60" s="102"/>
      <c r="N60" s="3"/>
      <c r="O60" s="102"/>
      <c r="P60" s="3"/>
      <c r="Q60" s="182"/>
      <c r="S60" s="142">
        <f t="shared" si="38"/>
        <v>0.67948717948717896</v>
      </c>
      <c r="V60" s="53"/>
      <c r="W60" t="s">
        <v>18</v>
      </c>
      <c r="X60" s="53"/>
      <c r="Y60" s="53"/>
      <c r="Z60" s="53"/>
      <c r="AA60" s="53"/>
      <c r="AB60" s="53"/>
      <c r="AC60" s="53"/>
      <c r="AG60">
        <v>1</v>
      </c>
    </row>
    <row r="61" spans="3:33">
      <c r="C61" s="105" t="s">
        <v>105</v>
      </c>
      <c r="D61" s="105" t="s">
        <v>48</v>
      </c>
      <c r="E61" s="105"/>
      <c r="F61" t="s">
        <v>92</v>
      </c>
      <c r="G61" s="41">
        <v>2021</v>
      </c>
      <c r="H61" s="42">
        <v>0.89</v>
      </c>
      <c r="K61" s="62">
        <f t="shared" ref="K61:P61" si="41">K42</f>
        <v>715.15339288747396</v>
      </c>
      <c r="L61" s="62">
        <f t="shared" si="41"/>
        <v>3.79980952380952</v>
      </c>
      <c r="M61" s="62">
        <f t="shared" si="41"/>
        <v>715.15339288747396</v>
      </c>
      <c r="N61" s="62">
        <f t="shared" si="41"/>
        <v>3.79980952380952</v>
      </c>
      <c r="O61" s="62">
        <f t="shared" si="41"/>
        <v>715.15339288747396</v>
      </c>
      <c r="P61" s="62">
        <f t="shared" si="41"/>
        <v>3.79980952380952</v>
      </c>
      <c r="Q61" s="182">
        <f t="shared" si="35"/>
        <v>24.5</v>
      </c>
      <c r="R61">
        <v>31.54</v>
      </c>
      <c r="S61" s="142">
        <f>'[3]TechHeat-RES-SD'!$I$167</f>
        <v>0.83333333333333304</v>
      </c>
      <c r="V61" s="53"/>
      <c r="W61" s="105" t="s">
        <v>105</v>
      </c>
      <c r="X61" s="53"/>
      <c r="Y61" s="53" t="s">
        <v>39</v>
      </c>
      <c r="Z61" s="53" t="s">
        <v>40</v>
      </c>
      <c r="AA61" s="53"/>
      <c r="AB61" s="53"/>
      <c r="AC61" s="53"/>
      <c r="AG61">
        <v>1.9</v>
      </c>
    </row>
    <row r="62" spans="3:33">
      <c r="D62" s="105" t="s">
        <v>36</v>
      </c>
      <c r="E62" s="105"/>
      <c r="K62" s="102"/>
      <c r="L62" s="3"/>
      <c r="M62" s="102"/>
      <c r="N62" s="3"/>
      <c r="O62" s="102"/>
      <c r="P62" s="3"/>
      <c r="S62" s="142">
        <f>1-S61</f>
        <v>0.16666666666666699</v>
      </c>
      <c r="V62" s="53"/>
      <c r="W62" t="s">
        <v>18</v>
      </c>
      <c r="X62" s="53"/>
      <c r="Y62" s="53"/>
      <c r="Z62" s="53"/>
      <c r="AA62" s="53"/>
      <c r="AB62" s="53"/>
      <c r="AC62" s="53"/>
      <c r="AG62">
        <v>0.5</v>
      </c>
    </row>
    <row r="63" spans="3:33">
      <c r="C63" t="s">
        <v>106</v>
      </c>
      <c r="D63" t="s">
        <v>36</v>
      </c>
      <c r="F63" t="s">
        <v>107</v>
      </c>
      <c r="G63" s="41">
        <v>2021</v>
      </c>
      <c r="H63" s="42">
        <v>0.6</v>
      </c>
      <c r="K63" s="62">
        <f t="shared" ref="K63:Q63" si="42">K44</f>
        <v>774.60368577494705</v>
      </c>
      <c r="L63" s="62">
        <f t="shared" si="42"/>
        <v>2.5996190476190502</v>
      </c>
      <c r="M63" s="62">
        <f t="shared" si="42"/>
        <v>774.60368577494705</v>
      </c>
      <c r="N63" s="62">
        <f t="shared" si="42"/>
        <v>2.5996190476190502</v>
      </c>
      <c r="O63" s="62">
        <f t="shared" si="42"/>
        <v>774.60368577494705</v>
      </c>
      <c r="P63" s="62">
        <f t="shared" si="42"/>
        <v>2.5996190476190502</v>
      </c>
      <c r="Q63" s="182">
        <f t="shared" si="42"/>
        <v>26.5</v>
      </c>
      <c r="R63">
        <v>31.54</v>
      </c>
      <c r="S63">
        <v>1</v>
      </c>
      <c r="V63" s="53"/>
      <c r="W63" t="s">
        <v>106</v>
      </c>
      <c r="X63" s="53"/>
      <c r="Y63" s="53" t="s">
        <v>39</v>
      </c>
      <c r="Z63" s="53" t="s">
        <v>40</v>
      </c>
      <c r="AA63" s="53"/>
      <c r="AB63" s="53"/>
      <c r="AC63" s="53"/>
      <c r="AG63">
        <v>0.5</v>
      </c>
    </row>
    <row r="64" spans="3:33">
      <c r="C64" t="s">
        <v>108</v>
      </c>
      <c r="D64" t="s">
        <v>36</v>
      </c>
      <c r="F64" t="s">
        <v>107</v>
      </c>
      <c r="G64" s="41">
        <v>2021</v>
      </c>
      <c r="H64" s="42">
        <v>0.78</v>
      </c>
      <c r="K64" s="62">
        <f t="shared" ref="K64:Q64" si="43">K45</f>
        <v>774.60368577494705</v>
      </c>
      <c r="L64" s="62">
        <f t="shared" si="43"/>
        <v>2.5996190476190502</v>
      </c>
      <c r="M64" s="62">
        <f t="shared" si="43"/>
        <v>774.60368577494705</v>
      </c>
      <c r="N64" s="62">
        <f t="shared" si="43"/>
        <v>2.5996190476190502</v>
      </c>
      <c r="O64" s="62">
        <f t="shared" si="43"/>
        <v>774.60368577494705</v>
      </c>
      <c r="P64" s="62">
        <f t="shared" si="43"/>
        <v>2.5996190476190502</v>
      </c>
      <c r="Q64" s="182">
        <f t="shared" si="43"/>
        <v>26.5</v>
      </c>
      <c r="R64">
        <v>31.54</v>
      </c>
      <c r="S64">
        <v>1</v>
      </c>
      <c r="V64" s="53"/>
      <c r="W64" t="s">
        <v>108</v>
      </c>
      <c r="X64" s="53"/>
      <c r="Y64" s="53" t="s">
        <v>39</v>
      </c>
      <c r="Z64" s="53" t="s">
        <v>40</v>
      </c>
      <c r="AA64" s="53"/>
      <c r="AB64" s="53"/>
      <c r="AC64" s="53"/>
      <c r="AG64">
        <v>0.75</v>
      </c>
    </row>
    <row r="65" spans="3:33">
      <c r="C65" t="s">
        <v>109</v>
      </c>
      <c r="D65" t="s">
        <v>36</v>
      </c>
      <c r="F65" t="s">
        <v>107</v>
      </c>
      <c r="G65" s="41">
        <v>2021</v>
      </c>
      <c r="H65" s="42">
        <v>0.85</v>
      </c>
      <c r="K65" s="62">
        <f t="shared" ref="K65:Q65" si="44">K46</f>
        <v>774.60368577494705</v>
      </c>
      <c r="L65" s="62">
        <f t="shared" si="44"/>
        <v>2.5996190476190502</v>
      </c>
      <c r="M65" s="62">
        <f t="shared" si="44"/>
        <v>774.60368577494705</v>
      </c>
      <c r="N65" s="62">
        <f t="shared" si="44"/>
        <v>2.5996190476190502</v>
      </c>
      <c r="O65" s="62">
        <f t="shared" si="44"/>
        <v>774.60368577494705</v>
      </c>
      <c r="P65" s="62">
        <f t="shared" si="44"/>
        <v>2.5996190476190502</v>
      </c>
      <c r="Q65" s="182">
        <f t="shared" si="44"/>
        <v>26.5</v>
      </c>
      <c r="R65">
        <v>31.54</v>
      </c>
      <c r="S65">
        <v>1</v>
      </c>
      <c r="V65" s="53"/>
      <c r="W65" t="s">
        <v>109</v>
      </c>
      <c r="X65" s="53"/>
      <c r="Y65" s="53" t="s">
        <v>39</v>
      </c>
      <c r="Z65" s="53" t="s">
        <v>40</v>
      </c>
      <c r="AA65" s="53"/>
      <c r="AB65" s="53"/>
      <c r="AC65" s="53"/>
    </row>
    <row r="66" spans="3:33">
      <c r="C66" t="s">
        <v>110</v>
      </c>
      <c r="D66" t="s">
        <v>44</v>
      </c>
      <c r="F66" t="s">
        <v>107</v>
      </c>
      <c r="G66" s="41">
        <v>2021</v>
      </c>
      <c r="H66" s="42">
        <v>0.62</v>
      </c>
      <c r="K66" s="62">
        <f t="shared" ref="K66:Q66" si="45">K47</f>
        <v>573.73784999999998</v>
      </c>
      <c r="L66" s="62">
        <f t="shared" si="45"/>
        <v>6</v>
      </c>
      <c r="M66" s="62">
        <f t="shared" si="45"/>
        <v>573.73784999999998</v>
      </c>
      <c r="N66" s="62">
        <f t="shared" si="45"/>
        <v>6</v>
      </c>
      <c r="O66" s="62">
        <f t="shared" si="45"/>
        <v>573.73784999999998</v>
      </c>
      <c r="P66" s="62">
        <f t="shared" si="45"/>
        <v>6</v>
      </c>
      <c r="Q66" s="182">
        <f t="shared" si="45"/>
        <v>22</v>
      </c>
      <c r="R66">
        <v>31.54</v>
      </c>
      <c r="S66">
        <v>1</v>
      </c>
      <c r="V66" s="53"/>
      <c r="W66" t="s">
        <v>110</v>
      </c>
      <c r="X66" s="53"/>
      <c r="Y66" s="53" t="s">
        <v>39</v>
      </c>
      <c r="Z66" s="53" t="s">
        <v>40</v>
      </c>
      <c r="AA66" s="53"/>
      <c r="AB66" s="53"/>
      <c r="AC66" s="53"/>
      <c r="AG66">
        <v>0.67500000000000004</v>
      </c>
    </row>
    <row r="67" spans="3:33">
      <c r="C67" t="s">
        <v>111</v>
      </c>
      <c r="D67" t="s">
        <v>44</v>
      </c>
      <c r="F67" t="s">
        <v>107</v>
      </c>
      <c r="G67" s="41">
        <v>2021</v>
      </c>
      <c r="H67" s="42">
        <v>0.8</v>
      </c>
      <c r="K67" s="62">
        <f t="shared" ref="K67:Q67" si="46">K48</f>
        <v>573.73784999999998</v>
      </c>
      <c r="L67" s="62">
        <f t="shared" si="46"/>
        <v>6</v>
      </c>
      <c r="M67" s="62">
        <f t="shared" si="46"/>
        <v>573.73784999999998</v>
      </c>
      <c r="N67" s="62">
        <f t="shared" si="46"/>
        <v>6</v>
      </c>
      <c r="O67" s="62">
        <f t="shared" si="46"/>
        <v>573.73784999999998</v>
      </c>
      <c r="P67" s="62">
        <f t="shared" si="46"/>
        <v>6</v>
      </c>
      <c r="Q67" s="182">
        <f t="shared" si="46"/>
        <v>22</v>
      </c>
      <c r="R67">
        <v>31.54</v>
      </c>
      <c r="S67">
        <v>1</v>
      </c>
      <c r="V67" s="53"/>
      <c r="W67" t="s">
        <v>111</v>
      </c>
      <c r="X67" s="53"/>
      <c r="Y67" s="53" t="s">
        <v>39</v>
      </c>
      <c r="Z67" s="53" t="s">
        <v>40</v>
      </c>
      <c r="AA67" s="53"/>
      <c r="AB67" s="53"/>
      <c r="AC67" s="53"/>
    </row>
    <row r="68" spans="3:33">
      <c r="C68" t="s">
        <v>112</v>
      </c>
      <c r="D68" t="s">
        <v>44</v>
      </c>
      <c r="F68" t="s">
        <v>107</v>
      </c>
      <c r="G68" s="41">
        <v>2021</v>
      </c>
      <c r="H68" s="42">
        <v>0.9</v>
      </c>
      <c r="K68" s="62">
        <f t="shared" ref="K68:Q68" si="47">K49</f>
        <v>573.73784999999998</v>
      </c>
      <c r="L68" s="62">
        <f t="shared" si="47"/>
        <v>6</v>
      </c>
      <c r="M68" s="62">
        <f t="shared" si="47"/>
        <v>573.73784999999998</v>
      </c>
      <c r="N68" s="62">
        <f t="shared" si="47"/>
        <v>6</v>
      </c>
      <c r="O68" s="62">
        <f t="shared" si="47"/>
        <v>573.73784999999998</v>
      </c>
      <c r="P68" s="62">
        <f t="shared" si="47"/>
        <v>6</v>
      </c>
      <c r="Q68" s="182">
        <f t="shared" si="47"/>
        <v>22</v>
      </c>
      <c r="R68">
        <v>31.54</v>
      </c>
      <c r="S68">
        <v>1</v>
      </c>
      <c r="V68" s="53"/>
      <c r="W68" t="s">
        <v>112</v>
      </c>
      <c r="X68" s="53"/>
      <c r="Y68" s="53" t="s">
        <v>39</v>
      </c>
      <c r="Z68" s="53" t="s">
        <v>40</v>
      </c>
      <c r="AA68" s="53"/>
      <c r="AB68" s="53"/>
      <c r="AC68" s="53"/>
      <c r="AG68">
        <v>0.9</v>
      </c>
    </row>
    <row r="69" spans="3:33">
      <c r="C69" t="s">
        <v>113</v>
      </c>
      <c r="D69" t="s">
        <v>48</v>
      </c>
      <c r="F69" t="s">
        <v>107</v>
      </c>
      <c r="G69" s="41">
        <v>2021</v>
      </c>
      <c r="H69" s="42">
        <v>1</v>
      </c>
      <c r="K69" s="62">
        <f t="shared" ref="K69:Q69" si="48">K50</f>
        <v>655.70309999999995</v>
      </c>
      <c r="L69" s="62">
        <f t="shared" si="48"/>
        <v>5</v>
      </c>
      <c r="M69" s="62">
        <f t="shared" si="48"/>
        <v>655.70309999999995</v>
      </c>
      <c r="N69" s="62">
        <f t="shared" si="48"/>
        <v>5</v>
      </c>
      <c r="O69" s="62">
        <f t="shared" si="48"/>
        <v>655.70309999999995</v>
      </c>
      <c r="P69" s="62">
        <f t="shared" si="48"/>
        <v>5</v>
      </c>
      <c r="Q69" s="182">
        <f t="shared" si="48"/>
        <v>22.5</v>
      </c>
      <c r="R69">
        <v>31.54</v>
      </c>
      <c r="S69">
        <v>1</v>
      </c>
      <c r="V69" s="53"/>
      <c r="W69" t="s">
        <v>113</v>
      </c>
      <c r="X69" s="53"/>
      <c r="Y69" s="53" t="s">
        <v>39</v>
      </c>
      <c r="Z69" s="53" t="s">
        <v>40</v>
      </c>
      <c r="AA69" s="53"/>
      <c r="AB69" s="53"/>
      <c r="AC69" s="53"/>
    </row>
    <row r="70" spans="3:33" s="130" customFormat="1">
      <c r="C70" s="130" t="s">
        <v>114</v>
      </c>
      <c r="D70" s="176" t="s">
        <v>48</v>
      </c>
      <c r="E70" s="176"/>
      <c r="F70" s="130" t="s">
        <v>107</v>
      </c>
      <c r="G70" s="41">
        <v>2021</v>
      </c>
      <c r="H70" s="42">
        <f>H69</f>
        <v>1</v>
      </c>
      <c r="I70" s="42"/>
      <c r="J70" s="42"/>
      <c r="K70" s="62">
        <f t="shared" ref="K70:Q70" si="49">K51</f>
        <v>1727.7529500000001</v>
      </c>
      <c r="L70" s="62">
        <f t="shared" si="49"/>
        <v>15</v>
      </c>
      <c r="M70" s="62">
        <f t="shared" si="49"/>
        <v>1727.7529500000001</v>
      </c>
      <c r="N70" s="62">
        <f t="shared" si="49"/>
        <v>15</v>
      </c>
      <c r="O70" s="62">
        <f t="shared" si="49"/>
        <v>1727.7529500000001</v>
      </c>
      <c r="P70" s="62">
        <f t="shared" si="49"/>
        <v>15</v>
      </c>
      <c r="Q70" s="182">
        <f t="shared" si="49"/>
        <v>15.3</v>
      </c>
      <c r="R70" s="130">
        <v>31.54</v>
      </c>
      <c r="S70" s="188">
        <v>0.33</v>
      </c>
      <c r="V70" s="206"/>
      <c r="W70" s="130" t="s">
        <v>114</v>
      </c>
      <c r="X70" s="206"/>
      <c r="Y70" s="206" t="s">
        <v>39</v>
      </c>
      <c r="Z70" s="206" t="s">
        <v>40</v>
      </c>
      <c r="AA70" s="53"/>
      <c r="AB70" s="206"/>
      <c r="AC70" s="206"/>
      <c r="AG70" s="130">
        <v>0.89</v>
      </c>
    </row>
    <row r="71" spans="3:33">
      <c r="D71" s="174" t="str">
        <f>[2]COMM!$E$19</f>
        <v>RSDAHT</v>
      </c>
      <c r="K71" s="102"/>
      <c r="L71" s="3"/>
      <c r="M71" s="102"/>
      <c r="N71" s="3"/>
      <c r="O71" s="102"/>
      <c r="P71" s="3"/>
      <c r="Q71" s="182"/>
      <c r="R71">
        <v>31.54</v>
      </c>
      <c r="S71" s="85">
        <f>1-S70</f>
        <v>0.67</v>
      </c>
      <c r="V71" s="53"/>
      <c r="W71" t="s">
        <v>18</v>
      </c>
      <c r="X71" s="53"/>
      <c r="Y71" s="53"/>
      <c r="Z71" s="53"/>
      <c r="AA71" s="53"/>
      <c r="AB71" s="53"/>
      <c r="AC71" s="53"/>
    </row>
    <row r="72" spans="3:33">
      <c r="C72" t="s">
        <v>115</v>
      </c>
      <c r="D72" t="s">
        <v>53</v>
      </c>
      <c r="F72" t="s">
        <v>107</v>
      </c>
      <c r="G72" s="41">
        <v>2021</v>
      </c>
      <c r="H72" s="42">
        <v>0.5</v>
      </c>
      <c r="K72" s="62">
        <f t="shared" ref="K72:Q80" si="50">K53</f>
        <v>1127.6899057324799</v>
      </c>
      <c r="L72" s="62">
        <f t="shared" si="50"/>
        <v>21.154399999999999</v>
      </c>
      <c r="M72" s="62">
        <f t="shared" si="50"/>
        <v>1127.6899057324799</v>
      </c>
      <c r="N72" s="62">
        <f t="shared" si="50"/>
        <v>21.154399999999999</v>
      </c>
      <c r="O72" s="62">
        <f t="shared" si="50"/>
        <v>1127.6899057324799</v>
      </c>
      <c r="P72" s="62">
        <f t="shared" si="50"/>
        <v>21.154399999999999</v>
      </c>
      <c r="Q72" s="182">
        <f t="shared" si="50"/>
        <v>19</v>
      </c>
      <c r="R72">
        <v>31.54</v>
      </c>
      <c r="S72">
        <v>1</v>
      </c>
      <c r="V72" s="53"/>
      <c r="W72" t="s">
        <v>115</v>
      </c>
      <c r="X72" s="53"/>
      <c r="Y72" s="53" t="s">
        <v>39</v>
      </c>
      <c r="Z72" s="53" t="s">
        <v>40</v>
      </c>
      <c r="AA72" s="53"/>
      <c r="AB72" s="53"/>
      <c r="AC72" s="53"/>
    </row>
    <row r="73" spans="3:33">
      <c r="C73" t="s">
        <v>116</v>
      </c>
      <c r="D73" t="s">
        <v>64</v>
      </c>
      <c r="F73" t="s">
        <v>107</v>
      </c>
      <c r="G73" s="41">
        <v>2021</v>
      </c>
      <c r="H73" s="42">
        <v>0.5</v>
      </c>
      <c r="K73" s="62">
        <f t="shared" ref="K73:P73" si="51">K54</f>
        <v>1127.6899057324799</v>
      </c>
      <c r="L73" s="62">
        <f t="shared" si="51"/>
        <v>21.154399999999999</v>
      </c>
      <c r="M73" s="62">
        <f t="shared" si="51"/>
        <v>1127.6899057324799</v>
      </c>
      <c r="N73" s="62">
        <f t="shared" si="51"/>
        <v>21.154399999999999</v>
      </c>
      <c r="O73" s="62">
        <f t="shared" si="51"/>
        <v>1127.6899057324799</v>
      </c>
      <c r="P73" s="62">
        <f t="shared" si="51"/>
        <v>21.154399999999999</v>
      </c>
      <c r="Q73" s="182">
        <f t="shared" si="50"/>
        <v>19</v>
      </c>
      <c r="R73">
        <v>31.54</v>
      </c>
      <c r="S73">
        <v>1</v>
      </c>
      <c r="V73" s="53"/>
      <c r="W73" t="s">
        <v>116</v>
      </c>
      <c r="X73" s="53"/>
      <c r="Y73" s="53" t="s">
        <v>39</v>
      </c>
      <c r="Z73" s="53" t="s">
        <v>40</v>
      </c>
      <c r="AA73" s="53"/>
      <c r="AB73" s="53"/>
      <c r="AC73" s="53"/>
      <c r="AG73">
        <v>0.6</v>
      </c>
    </row>
    <row r="74" spans="3:33">
      <c r="C74" s="105" t="s">
        <v>117</v>
      </c>
      <c r="D74" s="105" t="s">
        <v>48</v>
      </c>
      <c r="E74" s="105"/>
      <c r="F74" t="s">
        <v>107</v>
      </c>
      <c r="G74" s="41">
        <v>2021</v>
      </c>
      <c r="H74" s="42">
        <v>0.75</v>
      </c>
      <c r="K74" s="62">
        <f t="shared" ref="K74:P74" si="52">K55</f>
        <v>891.69650286624199</v>
      </c>
      <c r="L74" s="62">
        <f t="shared" si="52"/>
        <v>13.077199999999999</v>
      </c>
      <c r="M74" s="62">
        <f t="shared" si="52"/>
        <v>891.69650286624199</v>
      </c>
      <c r="N74" s="62">
        <f t="shared" si="52"/>
        <v>13.077199999999999</v>
      </c>
      <c r="O74" s="62">
        <f t="shared" si="52"/>
        <v>891.69650286624199</v>
      </c>
      <c r="P74" s="62">
        <f t="shared" si="52"/>
        <v>13.077199999999999</v>
      </c>
      <c r="Q74" s="182">
        <f t="shared" si="50"/>
        <v>20.75</v>
      </c>
      <c r="R74">
        <v>31.54</v>
      </c>
      <c r="S74" s="142">
        <f>'[3]TechHeat-RES-SD'!$I$161</f>
        <v>0.60975609756097604</v>
      </c>
      <c r="V74" s="53"/>
      <c r="W74" s="105" t="s">
        <v>117</v>
      </c>
      <c r="X74" s="53"/>
      <c r="Y74" s="53" t="s">
        <v>39</v>
      </c>
      <c r="Z74" s="53" t="s">
        <v>40</v>
      </c>
      <c r="AA74" s="53"/>
      <c r="AB74" s="53"/>
      <c r="AC74" s="53"/>
      <c r="AG74">
        <v>0.78</v>
      </c>
    </row>
    <row r="75" spans="3:33">
      <c r="D75" s="105" t="s">
        <v>64</v>
      </c>
      <c r="E75" s="105"/>
      <c r="K75" s="102"/>
      <c r="M75" s="102"/>
      <c r="O75" s="102"/>
      <c r="P75" s="3"/>
      <c r="Q75" s="182"/>
      <c r="S75" s="142">
        <f t="shared" ref="S75:S79" si="53">1-S74</f>
        <v>0.39024390243902402</v>
      </c>
      <c r="V75" s="53"/>
      <c r="W75" t="s">
        <v>18</v>
      </c>
      <c r="X75" s="53"/>
      <c r="Y75" s="53"/>
      <c r="Z75" s="53"/>
      <c r="AA75" s="53"/>
      <c r="AB75" s="53"/>
      <c r="AC75" s="53"/>
      <c r="AG75">
        <v>0.85</v>
      </c>
    </row>
    <row r="76" spans="3:33">
      <c r="C76" s="105" t="s">
        <v>118</v>
      </c>
      <c r="D76" s="105" t="s">
        <v>36</v>
      </c>
      <c r="E76" s="105"/>
      <c r="F76" t="s">
        <v>107</v>
      </c>
      <c r="G76" s="41">
        <v>2021</v>
      </c>
      <c r="H76" s="42">
        <v>0.67500000000000004</v>
      </c>
      <c r="K76" s="62">
        <f t="shared" ref="K76:P76" si="54">K57</f>
        <v>951.14679575371497</v>
      </c>
      <c r="L76" s="62">
        <f t="shared" si="54"/>
        <v>11.8770095238095</v>
      </c>
      <c r="M76" s="62">
        <f t="shared" si="54"/>
        <v>951.14679575371497</v>
      </c>
      <c r="N76" s="62">
        <f t="shared" si="54"/>
        <v>11.8770095238095</v>
      </c>
      <c r="O76" s="62">
        <f t="shared" si="54"/>
        <v>951.14679575371497</v>
      </c>
      <c r="P76" s="62">
        <f t="shared" si="54"/>
        <v>11.8770095238095</v>
      </c>
      <c r="Q76" s="182">
        <f t="shared" si="50"/>
        <v>22.75</v>
      </c>
      <c r="R76">
        <v>31.54</v>
      </c>
      <c r="S76" s="142">
        <f>'[3]TechHeat-RES-SD'!$I$163</f>
        <v>0.238095238095238</v>
      </c>
      <c r="V76" s="53"/>
      <c r="W76" s="105" t="s">
        <v>118</v>
      </c>
      <c r="X76" s="53"/>
      <c r="Y76" s="53" t="s">
        <v>39</v>
      </c>
      <c r="Z76" s="53" t="s">
        <v>40</v>
      </c>
      <c r="AA76" s="53"/>
      <c r="AB76" s="53"/>
      <c r="AC76" s="53"/>
      <c r="AG76">
        <v>0.62</v>
      </c>
    </row>
    <row r="77" spans="3:33">
      <c r="D77" s="105" t="s">
        <v>64</v>
      </c>
      <c r="E77" s="105"/>
      <c r="K77" s="102"/>
      <c r="L77" s="3"/>
      <c r="M77" s="102"/>
      <c r="N77" s="3"/>
      <c r="O77" s="102"/>
      <c r="P77" s="3"/>
      <c r="Q77" s="182"/>
      <c r="S77" s="142">
        <f t="shared" si="53"/>
        <v>0.76190476190476197</v>
      </c>
      <c r="V77" s="53"/>
      <c r="W77" t="s">
        <v>18</v>
      </c>
      <c r="X77" s="53"/>
      <c r="Y77" s="53"/>
      <c r="Z77" s="53"/>
      <c r="AA77" s="53"/>
      <c r="AB77" s="53"/>
      <c r="AC77" s="53"/>
      <c r="AG77">
        <v>0.8</v>
      </c>
    </row>
    <row r="78" spans="3:33">
      <c r="C78" s="105" t="s">
        <v>119</v>
      </c>
      <c r="D78" s="105" t="s">
        <v>48</v>
      </c>
      <c r="E78" s="105"/>
      <c r="F78" t="s">
        <v>107</v>
      </c>
      <c r="G78" s="41">
        <v>2021</v>
      </c>
      <c r="H78" s="42">
        <v>0.9</v>
      </c>
      <c r="K78" s="62">
        <f t="shared" ref="K78:P78" si="55">K59</f>
        <v>614.72047499999996</v>
      </c>
      <c r="L78" s="62">
        <f t="shared" si="55"/>
        <v>5.5</v>
      </c>
      <c r="M78" s="62">
        <f t="shared" si="55"/>
        <v>614.72047499999996</v>
      </c>
      <c r="N78" s="62">
        <f t="shared" si="55"/>
        <v>5.5</v>
      </c>
      <c r="O78" s="62">
        <f t="shared" si="55"/>
        <v>614.72047499999996</v>
      </c>
      <c r="P78" s="62">
        <f t="shared" si="55"/>
        <v>5.5</v>
      </c>
      <c r="Q78" s="182">
        <f t="shared" si="50"/>
        <v>22.25</v>
      </c>
      <c r="R78">
        <v>31.54</v>
      </c>
      <c r="S78" s="142">
        <f>'[3]TechHeat-RES-SD'!$I$165</f>
        <v>0.32051282051282098</v>
      </c>
      <c r="V78" s="53"/>
      <c r="W78" s="105" t="s">
        <v>119</v>
      </c>
      <c r="X78" s="53"/>
      <c r="Y78" s="53" t="s">
        <v>39</v>
      </c>
      <c r="Z78" s="53" t="s">
        <v>40</v>
      </c>
      <c r="AA78" s="53"/>
      <c r="AB78" s="53"/>
      <c r="AC78" s="53"/>
      <c r="AG78">
        <v>0.9</v>
      </c>
    </row>
    <row r="79" spans="3:33">
      <c r="D79" s="105" t="s">
        <v>44</v>
      </c>
      <c r="E79" s="105"/>
      <c r="K79" s="102"/>
      <c r="L79" s="3"/>
      <c r="M79" s="102"/>
      <c r="N79" s="3"/>
      <c r="O79" s="102"/>
      <c r="P79" s="3"/>
      <c r="Q79" s="182"/>
      <c r="S79" s="142">
        <f t="shared" si="53"/>
        <v>0.67948717948717896</v>
      </c>
      <c r="V79" s="53"/>
      <c r="W79" t="s">
        <v>18</v>
      </c>
      <c r="X79" s="53"/>
      <c r="Y79" s="53"/>
      <c r="Z79" s="53"/>
      <c r="AA79" s="53"/>
      <c r="AB79" s="53"/>
      <c r="AC79" s="53"/>
      <c r="AG79">
        <v>1</v>
      </c>
    </row>
    <row r="80" spans="3:33">
      <c r="C80" s="105" t="s">
        <v>120</v>
      </c>
      <c r="D80" s="105" t="s">
        <v>48</v>
      </c>
      <c r="E80" s="105"/>
      <c r="F80" t="s">
        <v>107</v>
      </c>
      <c r="G80" s="41">
        <v>2021</v>
      </c>
      <c r="H80" s="42">
        <v>0.89</v>
      </c>
      <c r="K80" s="62">
        <f t="shared" ref="K80:P80" si="56">K61</f>
        <v>715.15339288747396</v>
      </c>
      <c r="L80" s="62">
        <f t="shared" si="56"/>
        <v>3.79980952380952</v>
      </c>
      <c r="M80" s="62">
        <f t="shared" si="56"/>
        <v>715.15339288747396</v>
      </c>
      <c r="N80" s="62">
        <f t="shared" si="56"/>
        <v>3.79980952380952</v>
      </c>
      <c r="O80" s="62">
        <f t="shared" si="56"/>
        <v>715.15339288747396</v>
      </c>
      <c r="P80" s="62">
        <f t="shared" si="56"/>
        <v>3.79980952380952</v>
      </c>
      <c r="Q80" s="182">
        <f t="shared" si="50"/>
        <v>24.5</v>
      </c>
      <c r="R80">
        <v>31.54</v>
      </c>
      <c r="S80" s="142">
        <f>'[3]TechHeat-RES-SD'!$I$167</f>
        <v>0.83333333333333304</v>
      </c>
      <c r="V80" s="53"/>
      <c r="W80" s="105" t="s">
        <v>120</v>
      </c>
      <c r="X80" s="53"/>
      <c r="Y80" s="53" t="s">
        <v>39</v>
      </c>
      <c r="Z80" s="53" t="s">
        <v>40</v>
      </c>
      <c r="AA80" s="53"/>
      <c r="AB80" s="53"/>
      <c r="AC80" s="53"/>
      <c r="AG80">
        <v>1.9</v>
      </c>
    </row>
    <row r="81" spans="3:33">
      <c r="D81" s="105" t="s">
        <v>36</v>
      </c>
      <c r="E81" s="105"/>
      <c r="K81" s="102"/>
      <c r="M81" s="102"/>
      <c r="O81" s="102"/>
      <c r="P81" s="3"/>
      <c r="S81" s="142">
        <f>1-S80</f>
        <v>0.16666666666666699</v>
      </c>
      <c r="V81" s="53"/>
      <c r="W81" t="s">
        <v>18</v>
      </c>
      <c r="X81" s="53"/>
      <c r="Y81" s="53"/>
      <c r="Z81" s="53"/>
      <c r="AA81" s="53"/>
      <c r="AB81" s="53"/>
      <c r="AC81" s="53"/>
      <c r="AG81">
        <v>0.5</v>
      </c>
    </row>
    <row r="82" spans="3:33">
      <c r="C82" s="105" t="str">
        <f>W82</f>
        <v>R_ES_SC-SD_ELC_ROOM_CENTRAL1</v>
      </c>
      <c r="D82" s="105" t="s">
        <v>48</v>
      </c>
      <c r="E82" s="105"/>
      <c r="F82" s="105" t="s">
        <v>121</v>
      </c>
      <c r="G82" s="41">
        <v>2021</v>
      </c>
      <c r="H82" s="200">
        <f>11.5/3.412</f>
        <v>3.3704572098476002</v>
      </c>
      <c r="I82" s="173"/>
      <c r="K82" s="102">
        <f>AY17</f>
        <v>655.70309999999995</v>
      </c>
      <c r="L82" s="102">
        <f>AVERAGE(20,150)/10</f>
        <v>8.5</v>
      </c>
      <c r="M82" s="102">
        <f>K82</f>
        <v>655.70309999999995</v>
      </c>
      <c r="N82" s="102">
        <f>L82</f>
        <v>8.5</v>
      </c>
      <c r="O82" s="102">
        <f t="shared" ref="O82:P82" si="57">K82</f>
        <v>655.70309999999995</v>
      </c>
      <c r="P82" s="102">
        <f t="shared" si="57"/>
        <v>8.5</v>
      </c>
      <c r="Q82" s="207">
        <f>(11+25)/2</f>
        <v>18</v>
      </c>
      <c r="R82">
        <v>31.54</v>
      </c>
      <c r="S82">
        <v>1</v>
      </c>
      <c r="V82" s="53"/>
      <c r="W82" s="105" t="s">
        <v>122</v>
      </c>
      <c r="X82" s="53"/>
      <c r="Y82" s="53" t="s">
        <v>39</v>
      </c>
      <c r="Z82" s="53" t="s">
        <v>40</v>
      </c>
      <c r="AA82" s="53"/>
      <c r="AB82" s="53"/>
      <c r="AC82" s="53"/>
      <c r="AG82">
        <v>0.5</v>
      </c>
    </row>
    <row r="83" spans="3:33">
      <c r="C83" s="105" t="str">
        <f t="shared" ref="C83:C89" si="58">W83</f>
        <v>*</v>
      </c>
      <c r="D83" s="105"/>
      <c r="E83" s="105"/>
      <c r="F83" s="105"/>
      <c r="H83" s="200"/>
      <c r="I83" s="173"/>
      <c r="K83" s="102"/>
      <c r="L83" s="102"/>
      <c r="M83" s="102"/>
      <c r="N83" s="102"/>
      <c r="O83" s="102"/>
      <c r="P83" s="102"/>
      <c r="Q83" s="205"/>
      <c r="V83" s="53"/>
      <c r="W83" s="105" t="s">
        <v>18</v>
      </c>
      <c r="X83" s="53"/>
      <c r="Y83" s="53"/>
      <c r="Z83" s="53"/>
      <c r="AA83" s="53"/>
      <c r="AB83" s="53"/>
      <c r="AC83" s="53"/>
      <c r="AG83">
        <v>0.75</v>
      </c>
    </row>
    <row r="84" spans="3:33">
      <c r="C84" s="105" t="str">
        <f t="shared" si="58"/>
        <v>R_ES_SC-SA_ELC_ROOM_CENTRAL1</v>
      </c>
      <c r="D84" s="105" t="s">
        <v>48</v>
      </c>
      <c r="E84" s="105"/>
      <c r="F84" s="105" t="s">
        <v>123</v>
      </c>
      <c r="G84" s="41">
        <v>2021</v>
      </c>
      <c r="H84" s="200">
        <f>H82</f>
        <v>3.3704572098476002</v>
      </c>
      <c r="I84" s="173"/>
      <c r="K84" s="102">
        <f t="shared" ref="K84:O84" si="59">K82</f>
        <v>655.70309999999995</v>
      </c>
      <c r="L84" s="102">
        <f t="shared" si="59"/>
        <v>8.5</v>
      </c>
      <c r="M84" s="102">
        <f t="shared" ref="M84:M88" si="60">K84</f>
        <v>655.70309999999995</v>
      </c>
      <c r="N84" s="102">
        <f t="shared" si="59"/>
        <v>8.5</v>
      </c>
      <c r="O84" s="102">
        <f t="shared" si="59"/>
        <v>655.70309999999995</v>
      </c>
      <c r="P84" s="102">
        <f>L84</f>
        <v>8.5</v>
      </c>
      <c r="Q84" s="207">
        <f>(11+25)/2</f>
        <v>18</v>
      </c>
      <c r="R84">
        <v>31.54</v>
      </c>
      <c r="S84">
        <v>1</v>
      </c>
      <c r="V84" s="53"/>
      <c r="W84" s="105" t="s">
        <v>124</v>
      </c>
      <c r="X84" s="53"/>
      <c r="Y84" s="53" t="s">
        <v>39</v>
      </c>
      <c r="Z84" s="53" t="s">
        <v>40</v>
      </c>
      <c r="AA84" s="53"/>
      <c r="AB84" s="53"/>
      <c r="AC84" s="53"/>
    </row>
    <row r="85" spans="3:33">
      <c r="C85" s="105" t="str">
        <f t="shared" si="58"/>
        <v>*</v>
      </c>
      <c r="D85" s="105"/>
      <c r="E85" s="105"/>
      <c r="F85" s="105"/>
      <c r="H85" s="200"/>
      <c r="I85" s="173"/>
      <c r="K85" s="102"/>
      <c r="L85" s="102"/>
      <c r="M85" s="102"/>
      <c r="N85" s="102"/>
      <c r="O85" s="102"/>
      <c r="P85" s="102"/>
      <c r="Q85" s="205"/>
      <c r="V85" s="53"/>
      <c r="W85" s="105" t="s">
        <v>18</v>
      </c>
      <c r="X85" s="53"/>
      <c r="Y85" s="53"/>
      <c r="Z85" s="53"/>
      <c r="AA85" s="53"/>
      <c r="AB85" s="53"/>
      <c r="AC85" s="53"/>
      <c r="AG85">
        <v>0.67500000000000004</v>
      </c>
    </row>
    <row r="86" spans="3:33">
      <c r="C86" s="105" t="str">
        <f t="shared" si="58"/>
        <v>R_ES_SC-AP_ELC_ROOM_CENTRAL1</v>
      </c>
      <c r="D86" s="105" t="s">
        <v>48</v>
      </c>
      <c r="E86" s="105"/>
      <c r="F86" s="105" t="s">
        <v>125</v>
      </c>
      <c r="G86" s="41">
        <v>2021</v>
      </c>
      <c r="H86" s="200">
        <f>13.7/3.412</f>
        <v>4.0152403282532196</v>
      </c>
      <c r="I86" s="173"/>
      <c r="K86" s="102">
        <f t="shared" ref="K86:O86" si="61">K84</f>
        <v>655.70309999999995</v>
      </c>
      <c r="L86" s="102">
        <f t="shared" si="61"/>
        <v>8.5</v>
      </c>
      <c r="M86" s="102">
        <f t="shared" si="60"/>
        <v>655.70309999999995</v>
      </c>
      <c r="N86" s="102">
        <f t="shared" si="61"/>
        <v>8.5</v>
      </c>
      <c r="O86" s="102">
        <f t="shared" si="61"/>
        <v>655.70309999999995</v>
      </c>
      <c r="P86" s="102">
        <f>L86</f>
        <v>8.5</v>
      </c>
      <c r="Q86" s="207">
        <f>(11+25)/2</f>
        <v>18</v>
      </c>
      <c r="R86">
        <v>31.54</v>
      </c>
      <c r="S86">
        <v>1</v>
      </c>
      <c r="V86" s="53"/>
      <c r="W86" s="105" t="s">
        <v>126</v>
      </c>
      <c r="X86" s="53"/>
      <c r="Y86" s="53" t="s">
        <v>39</v>
      </c>
      <c r="Z86" s="53" t="s">
        <v>40</v>
      </c>
      <c r="AA86" s="53"/>
      <c r="AB86" s="53"/>
      <c r="AC86" s="53"/>
    </row>
    <row r="87" spans="3:33">
      <c r="C87" s="105" t="str">
        <f t="shared" si="58"/>
        <v>*</v>
      </c>
      <c r="D87" s="105"/>
      <c r="E87" s="105"/>
      <c r="F87" s="105"/>
      <c r="H87" s="200"/>
      <c r="I87" s="173"/>
      <c r="K87" s="102"/>
      <c r="L87" s="102"/>
      <c r="M87" s="102"/>
      <c r="N87" s="102"/>
      <c r="O87" s="102"/>
      <c r="P87" s="102"/>
      <c r="Q87" s="205"/>
      <c r="V87" s="53"/>
      <c r="W87" s="105" t="s">
        <v>18</v>
      </c>
      <c r="X87" s="53"/>
      <c r="Y87" s="53"/>
      <c r="Z87" s="53"/>
      <c r="AA87" s="53"/>
      <c r="AB87" s="53"/>
      <c r="AC87" s="53"/>
      <c r="AG87">
        <v>0.9</v>
      </c>
    </row>
    <row r="88" spans="3:33">
      <c r="C88" s="105" t="str">
        <f t="shared" si="58"/>
        <v>R_ES_SC-MOB_ELC_ROOM_CENTRAL1</v>
      </c>
      <c r="D88" s="105" t="s">
        <v>48</v>
      </c>
      <c r="E88" s="105"/>
      <c r="F88" s="105" t="s">
        <v>127</v>
      </c>
      <c r="G88" s="41">
        <v>2021</v>
      </c>
      <c r="H88" s="200">
        <f>H86</f>
        <v>4.0152403282532196</v>
      </c>
      <c r="I88" s="173"/>
      <c r="K88" s="102">
        <f>K86</f>
        <v>655.70309999999995</v>
      </c>
      <c r="L88" s="102">
        <f>L86</f>
        <v>8.5</v>
      </c>
      <c r="M88" s="102">
        <f t="shared" si="60"/>
        <v>655.70309999999995</v>
      </c>
      <c r="N88" s="102">
        <f>N86</f>
        <v>8.5</v>
      </c>
      <c r="O88" s="102">
        <f t="shared" ref="O88:P88" si="62">K88</f>
        <v>655.70309999999995</v>
      </c>
      <c r="P88" s="102">
        <f t="shared" si="62"/>
        <v>8.5</v>
      </c>
      <c r="Q88" s="207">
        <f>(11+25)/2</f>
        <v>18</v>
      </c>
      <c r="R88">
        <v>31.54</v>
      </c>
      <c r="S88">
        <v>1</v>
      </c>
      <c r="V88" s="53"/>
      <c r="W88" s="105" t="s">
        <v>128</v>
      </c>
      <c r="X88" s="53"/>
      <c r="Y88" s="53" t="s">
        <v>39</v>
      </c>
      <c r="Z88" s="53" t="s">
        <v>40</v>
      </c>
      <c r="AA88" s="53"/>
      <c r="AB88" s="53"/>
      <c r="AC88" s="53"/>
    </row>
    <row r="89" spans="3:33">
      <c r="C89" s="105" t="str">
        <f t="shared" si="58"/>
        <v>*</v>
      </c>
      <c r="D89" s="105"/>
      <c r="E89" s="105"/>
      <c r="F89" s="105"/>
      <c r="H89" s="173"/>
      <c r="I89" s="173"/>
      <c r="K89" s="3"/>
      <c r="L89" s="102"/>
      <c r="M89" s="102"/>
      <c r="N89" s="102"/>
      <c r="O89" s="102"/>
      <c r="P89" s="102"/>
      <c r="V89" s="53"/>
      <c r="W89" s="105" t="s">
        <v>18</v>
      </c>
      <c r="X89" s="53"/>
      <c r="Y89" s="53"/>
      <c r="Z89" s="53"/>
      <c r="AA89" s="53"/>
      <c r="AB89" s="53"/>
      <c r="AC89" s="53"/>
      <c r="AG89">
        <v>0.89</v>
      </c>
    </row>
    <row r="90" spans="3:33">
      <c r="C90" s="47" t="s">
        <v>129</v>
      </c>
      <c r="D90" s="47" t="s">
        <v>48</v>
      </c>
      <c r="E90" s="47"/>
      <c r="F90" s="47" t="s">
        <v>130</v>
      </c>
      <c r="G90" s="95">
        <v>2021</v>
      </c>
      <c r="H90" s="92">
        <f>'[4]TechWatHea-SingleDetached-RES'!$N$23</f>
        <v>0.96332670696629996</v>
      </c>
      <c r="I90" s="92"/>
      <c r="J90" s="92">
        <v>0.17176777668968199</v>
      </c>
      <c r="K90" s="178">
        <f>(710+1290)/2*1/11</f>
        <v>90.909090909090907</v>
      </c>
      <c r="L90" s="178">
        <f>20/11</f>
        <v>1.8181818181818199</v>
      </c>
      <c r="M90" s="178">
        <f t="shared" ref="M90:P93" si="63">K90</f>
        <v>90.909090909090907</v>
      </c>
      <c r="N90" s="178">
        <f t="shared" si="63"/>
        <v>1.8181818181818199</v>
      </c>
      <c r="O90" s="178">
        <f t="shared" si="63"/>
        <v>90.909090909090907</v>
      </c>
      <c r="P90" s="178">
        <f t="shared" si="63"/>
        <v>1.8181818181818199</v>
      </c>
      <c r="Q90" s="187">
        <v>13</v>
      </c>
      <c r="R90" s="58">
        <v>31.54</v>
      </c>
      <c r="S90" s="58">
        <v>1</v>
      </c>
      <c r="V90" s="53"/>
      <c r="W90" s="105" t="s">
        <v>129</v>
      </c>
      <c r="X90" s="53"/>
      <c r="Y90" s="53" t="s">
        <v>39</v>
      </c>
      <c r="Z90" s="53" t="s">
        <v>40</v>
      </c>
      <c r="AA90" s="53"/>
      <c r="AB90" s="53"/>
      <c r="AC90" s="53"/>
    </row>
    <row r="91" spans="3:33">
      <c r="C91" s="47" t="s">
        <v>131</v>
      </c>
      <c r="D91" s="47" t="s">
        <v>44</v>
      </c>
      <c r="E91" s="47"/>
      <c r="F91" s="47" t="s">
        <v>130</v>
      </c>
      <c r="G91" s="95">
        <v>2021</v>
      </c>
      <c r="H91" s="92">
        <f>'[4]TechWatHea-SingleDetached-RES'!$N$24</f>
        <v>0.96332670696629996</v>
      </c>
      <c r="I91" s="92"/>
      <c r="J91" s="92">
        <v>0.436692238879344</v>
      </c>
      <c r="K91" s="178">
        <f>(2880+1650)/2*1/12</f>
        <v>188.75</v>
      </c>
      <c r="L91" s="178">
        <f>20/12</f>
        <v>1.6666666666666701</v>
      </c>
      <c r="M91" s="178">
        <f t="shared" si="63"/>
        <v>188.75</v>
      </c>
      <c r="N91" s="178">
        <f t="shared" si="63"/>
        <v>1.6666666666666701</v>
      </c>
      <c r="O91" s="178">
        <f t="shared" si="63"/>
        <v>188.75</v>
      </c>
      <c r="P91" s="178">
        <f t="shared" si="63"/>
        <v>1.6666666666666701</v>
      </c>
      <c r="Q91" s="187">
        <v>19</v>
      </c>
      <c r="R91" s="58">
        <v>31.54</v>
      </c>
      <c r="S91" s="58">
        <v>1</v>
      </c>
      <c r="V91" s="53"/>
      <c r="W91" s="105" t="s">
        <v>131</v>
      </c>
      <c r="X91" s="53"/>
      <c r="Y91" s="53" t="s">
        <v>39</v>
      </c>
      <c r="Z91" s="53" t="s">
        <v>40</v>
      </c>
      <c r="AA91" s="53"/>
      <c r="AB91" s="53"/>
      <c r="AC91" s="53"/>
      <c r="AG91" s="193">
        <v>0.124</v>
      </c>
    </row>
    <row r="92" spans="3:33">
      <c r="C92" s="47" t="s">
        <v>132</v>
      </c>
      <c r="D92" s="47" t="s">
        <v>36</v>
      </c>
      <c r="E92" s="47"/>
      <c r="F92" s="47" t="s">
        <v>130</v>
      </c>
      <c r="G92" s="95">
        <v>2021</v>
      </c>
      <c r="H92" s="92">
        <f>'[4]TechWatHea-SingleDetached-RES'!$N$25</f>
        <v>0.96332670696629996</v>
      </c>
      <c r="I92" s="92"/>
      <c r="J92" s="92">
        <v>0.14656454653801501</v>
      </c>
      <c r="K92" s="178">
        <f>(2650+3350)/2*1/10</f>
        <v>300</v>
      </c>
      <c r="L92" s="178">
        <f>210/10*1</f>
        <v>21</v>
      </c>
      <c r="M92" s="178">
        <f t="shared" si="63"/>
        <v>300</v>
      </c>
      <c r="N92" s="178">
        <f t="shared" si="63"/>
        <v>21</v>
      </c>
      <c r="O92" s="178">
        <f t="shared" si="63"/>
        <v>300</v>
      </c>
      <c r="P92" s="178">
        <f t="shared" si="63"/>
        <v>21</v>
      </c>
      <c r="Q92" s="187">
        <v>13</v>
      </c>
      <c r="R92" s="58">
        <v>31.54</v>
      </c>
      <c r="S92" s="58">
        <v>1</v>
      </c>
      <c r="V92" s="53"/>
      <c r="W92" s="105" t="s">
        <v>132</v>
      </c>
      <c r="X92" s="53"/>
      <c r="Y92" s="53" t="s">
        <v>39</v>
      </c>
      <c r="Z92" s="53" t="s">
        <v>40</v>
      </c>
      <c r="AA92" s="53"/>
      <c r="AB92" s="53"/>
      <c r="AC92" s="53"/>
      <c r="AG92" s="193"/>
    </row>
    <row r="93" spans="3:33">
      <c r="C93" s="47" t="s">
        <v>133</v>
      </c>
      <c r="D93" s="47" t="s">
        <v>134</v>
      </c>
      <c r="E93" s="47"/>
      <c r="F93" s="47" t="s">
        <v>130</v>
      </c>
      <c r="G93" s="95">
        <v>2021</v>
      </c>
      <c r="H93" s="92">
        <f>'[4]TechWatHea-SingleDetached-RES'!$N$26</f>
        <v>0.96332670696629996</v>
      </c>
      <c r="I93" s="92"/>
      <c r="J93" s="92">
        <v>0.31528792347867302</v>
      </c>
      <c r="K93" s="178">
        <f>5940/(100/3.412)*1</f>
        <v>202.6728</v>
      </c>
      <c r="L93" s="178">
        <f>160/(100/3.412)*1</f>
        <v>5.4592000000000001</v>
      </c>
      <c r="M93" s="178">
        <f t="shared" si="63"/>
        <v>202.6728</v>
      </c>
      <c r="N93" s="178">
        <f t="shared" si="63"/>
        <v>5.4592000000000001</v>
      </c>
      <c r="O93" s="178">
        <f t="shared" si="63"/>
        <v>202.6728</v>
      </c>
      <c r="P93" s="178">
        <f t="shared" si="63"/>
        <v>5.4592000000000001</v>
      </c>
      <c r="Q93" s="187">
        <v>25</v>
      </c>
      <c r="R93" s="58">
        <v>31.54</v>
      </c>
      <c r="S93" s="58">
        <v>1</v>
      </c>
      <c r="V93" s="53"/>
      <c r="W93" s="105" t="s">
        <v>133</v>
      </c>
      <c r="X93" s="53"/>
      <c r="Y93" s="53" t="s">
        <v>39</v>
      </c>
      <c r="Z93" s="53" t="s">
        <v>40</v>
      </c>
      <c r="AA93" s="53"/>
      <c r="AB93" s="53"/>
      <c r="AC93" s="53"/>
      <c r="AG93" s="193">
        <v>0.124</v>
      </c>
    </row>
    <row r="94" spans="3:33">
      <c r="C94" s="47" t="s">
        <v>135</v>
      </c>
      <c r="D94" s="47" t="s">
        <v>53</v>
      </c>
      <c r="E94" s="47"/>
      <c r="F94" s="47" t="s">
        <v>130</v>
      </c>
      <c r="G94" s="95">
        <v>2021</v>
      </c>
      <c r="H94" s="92">
        <f>'[4]TechWatHea-SingleDetached-RES'!$N$27</f>
        <v>0.96332670696629996</v>
      </c>
      <c r="I94" s="92"/>
      <c r="J94" s="92">
        <v>0.82141505528632597</v>
      </c>
      <c r="K94" s="178">
        <f>K95</f>
        <v>308.44479999999999</v>
      </c>
      <c r="L94" s="178">
        <f t="shared" ref="L94:Q94" si="64">L95</f>
        <v>21.154399999999999</v>
      </c>
      <c r="M94" s="178">
        <f t="shared" si="64"/>
        <v>308.44479999999999</v>
      </c>
      <c r="N94" s="178">
        <f t="shared" si="64"/>
        <v>21.154399999999999</v>
      </c>
      <c r="O94" s="178">
        <f t="shared" si="64"/>
        <v>308.44479999999999</v>
      </c>
      <c r="P94" s="178">
        <f t="shared" si="64"/>
        <v>21.154399999999999</v>
      </c>
      <c r="Q94" s="71">
        <f t="shared" si="64"/>
        <v>19</v>
      </c>
      <c r="R94" s="58">
        <v>31.54</v>
      </c>
      <c r="S94" s="58">
        <v>1</v>
      </c>
      <c r="V94" s="53"/>
      <c r="W94" s="105" t="s">
        <v>135</v>
      </c>
      <c r="X94" s="53"/>
      <c r="Y94" s="53" t="s">
        <v>39</v>
      </c>
      <c r="Z94" s="53" t="s">
        <v>40</v>
      </c>
      <c r="AA94" s="53"/>
      <c r="AB94" s="53"/>
      <c r="AC94" s="53"/>
      <c r="AG94" s="193"/>
    </row>
    <row r="95" spans="3:33">
      <c r="C95" s="47" t="s">
        <v>136</v>
      </c>
      <c r="D95" s="47" t="s">
        <v>64</v>
      </c>
      <c r="E95" s="47"/>
      <c r="F95" s="47" t="s">
        <v>130</v>
      </c>
      <c r="G95" s="95">
        <v>2021</v>
      </c>
      <c r="H95" s="92">
        <f>'[4]TechWatHea-SingleDetached-RES'!$N$28</f>
        <v>0.96332670696629996</v>
      </c>
      <c r="I95" s="92"/>
      <c r="J95" s="92">
        <f>'[4]TechWatHea-SingleDetached-RES'!$N$59</f>
        <v>0.22441379914876899</v>
      </c>
      <c r="K95" s="178">
        <f>4520/(50/3.412)*1</f>
        <v>308.44479999999999</v>
      </c>
      <c r="L95" s="178">
        <f>310/(50/3.412)*1</f>
        <v>21.154399999999999</v>
      </c>
      <c r="M95" s="178">
        <f>K95</f>
        <v>308.44479999999999</v>
      </c>
      <c r="N95" s="178">
        <f>L95</f>
        <v>21.154399999999999</v>
      </c>
      <c r="O95" s="178">
        <f>M95</f>
        <v>308.44479999999999</v>
      </c>
      <c r="P95" s="178">
        <f>N95</f>
        <v>21.154399999999999</v>
      </c>
      <c r="Q95" s="187">
        <v>19</v>
      </c>
      <c r="R95" s="58">
        <v>31.54</v>
      </c>
      <c r="S95" s="58">
        <v>1</v>
      </c>
      <c r="V95" s="53"/>
      <c r="W95" s="105" t="s">
        <v>136</v>
      </c>
      <c r="X95" s="53"/>
      <c r="Y95" s="53" t="s">
        <v>39</v>
      </c>
      <c r="Z95" s="53" t="s">
        <v>40</v>
      </c>
      <c r="AA95" s="53"/>
      <c r="AB95" s="53"/>
      <c r="AC95" s="53"/>
      <c r="AG95" s="193">
        <v>0.124</v>
      </c>
    </row>
    <row r="96" spans="3:33">
      <c r="C96" s="105" t="s">
        <v>137</v>
      </c>
      <c r="D96" s="105" t="s">
        <v>48</v>
      </c>
      <c r="E96" s="105"/>
      <c r="F96" s="105" t="s">
        <v>138</v>
      </c>
      <c r="G96" s="95">
        <v>2021</v>
      </c>
      <c r="H96" s="92">
        <f>'[4]TechWatHea-SingleAttached'!$N$23</f>
        <v>0.96332670696629996</v>
      </c>
      <c r="I96" s="92"/>
      <c r="J96" s="92">
        <v>0.13811725064671401</v>
      </c>
      <c r="K96" s="62">
        <f t="shared" ref="K96:Q96" si="65">K90</f>
        <v>90.909090909090907</v>
      </c>
      <c r="L96" s="62">
        <f t="shared" si="65"/>
        <v>1.8181818181818199</v>
      </c>
      <c r="M96" s="62">
        <f t="shared" si="65"/>
        <v>90.909090909090907</v>
      </c>
      <c r="N96" s="62">
        <f t="shared" si="65"/>
        <v>1.8181818181818199</v>
      </c>
      <c r="O96" s="62">
        <f t="shared" si="65"/>
        <v>90.909090909090907</v>
      </c>
      <c r="P96" s="62">
        <f t="shared" si="65"/>
        <v>1.8181818181818199</v>
      </c>
      <c r="Q96" s="187">
        <f t="shared" si="65"/>
        <v>13</v>
      </c>
      <c r="R96" s="58">
        <v>31.54</v>
      </c>
      <c r="S96" s="58">
        <v>1</v>
      </c>
      <c r="V96" s="53"/>
      <c r="W96" s="105" t="s">
        <v>137</v>
      </c>
      <c r="X96" s="53"/>
      <c r="Y96" s="53" t="s">
        <v>39</v>
      </c>
      <c r="Z96" s="53" t="s">
        <v>40</v>
      </c>
      <c r="AA96" s="53"/>
      <c r="AB96" s="53"/>
      <c r="AC96" s="53"/>
      <c r="AG96" s="193"/>
    </row>
    <row r="97" spans="3:33">
      <c r="C97" s="105" t="s">
        <v>139</v>
      </c>
      <c r="D97" s="105" t="s">
        <v>44</v>
      </c>
      <c r="E97" s="105"/>
      <c r="F97" s="105" t="s">
        <v>138</v>
      </c>
      <c r="G97" s="95">
        <v>2021</v>
      </c>
      <c r="H97" s="92">
        <f>'[4]TechWatHea-SingleAttached'!$N$24</f>
        <v>0.96332670696629996</v>
      </c>
      <c r="I97" s="92"/>
      <c r="J97" s="92">
        <v>0.354678591350925</v>
      </c>
      <c r="K97" s="62">
        <f t="shared" ref="K97:K113" si="66">K91</f>
        <v>188.75</v>
      </c>
      <c r="L97" s="62">
        <f t="shared" ref="L97:L113" si="67">L91</f>
        <v>1.6666666666666701</v>
      </c>
      <c r="M97" s="62">
        <f t="shared" ref="M97:M113" si="68">M91</f>
        <v>188.75</v>
      </c>
      <c r="N97" s="62">
        <f t="shared" ref="N97:N113" si="69">N91</f>
        <v>1.6666666666666701</v>
      </c>
      <c r="O97" s="62">
        <f t="shared" ref="O97:O113" si="70">O91</f>
        <v>188.75</v>
      </c>
      <c r="P97" s="62">
        <f t="shared" ref="P97:Q113" si="71">P91</f>
        <v>1.6666666666666701</v>
      </c>
      <c r="Q97" s="187">
        <f t="shared" si="71"/>
        <v>19</v>
      </c>
      <c r="R97" s="58">
        <v>31.54</v>
      </c>
      <c r="S97" s="58">
        <v>1</v>
      </c>
      <c r="V97" s="53"/>
      <c r="W97" s="105" t="s">
        <v>139</v>
      </c>
      <c r="X97" s="53"/>
      <c r="Y97" s="53" t="s">
        <v>39</v>
      </c>
      <c r="Z97" s="53" t="s">
        <v>40</v>
      </c>
      <c r="AA97" s="53"/>
      <c r="AB97" s="53"/>
      <c r="AC97" s="53"/>
      <c r="AG97" s="193">
        <v>0.124</v>
      </c>
    </row>
    <row r="98" spans="3:33">
      <c r="C98" s="105" t="s">
        <v>140</v>
      </c>
      <c r="D98" s="105" t="s">
        <v>36</v>
      </c>
      <c r="E98" s="105"/>
      <c r="F98" s="105" t="s">
        <v>138</v>
      </c>
      <c r="G98" s="95">
        <v>2021</v>
      </c>
      <c r="H98" s="92">
        <f>'[4]TechWatHea-SingleAttached'!$N$25</f>
        <v>0.96332670696629996</v>
      </c>
      <c r="I98" s="92"/>
      <c r="J98" s="92">
        <v>0.132783850326185</v>
      </c>
      <c r="K98" s="62">
        <f t="shared" si="66"/>
        <v>300</v>
      </c>
      <c r="L98" s="62">
        <f t="shared" si="67"/>
        <v>21</v>
      </c>
      <c r="M98" s="62">
        <f t="shared" si="68"/>
        <v>300</v>
      </c>
      <c r="N98" s="62">
        <f t="shared" si="69"/>
        <v>21</v>
      </c>
      <c r="O98" s="62">
        <f t="shared" si="70"/>
        <v>300</v>
      </c>
      <c r="P98" s="62">
        <f t="shared" si="71"/>
        <v>21</v>
      </c>
      <c r="Q98" s="187">
        <f t="shared" si="71"/>
        <v>13</v>
      </c>
      <c r="R98" s="58">
        <v>31.54</v>
      </c>
      <c r="S98" s="58">
        <v>1</v>
      </c>
      <c r="V98" s="53"/>
      <c r="W98" s="105" t="s">
        <v>140</v>
      </c>
      <c r="X98" s="53"/>
      <c r="Y98" s="53" t="s">
        <v>39</v>
      </c>
      <c r="Z98" s="53" t="s">
        <v>40</v>
      </c>
      <c r="AA98" s="53"/>
      <c r="AB98" s="53"/>
      <c r="AC98" s="53"/>
      <c r="AG98" s="193"/>
    </row>
    <row r="99" spans="3:33">
      <c r="C99" s="105" t="s">
        <v>141</v>
      </c>
      <c r="D99" s="105" t="s">
        <v>134</v>
      </c>
      <c r="E99" s="105"/>
      <c r="F99" s="105" t="s">
        <v>138</v>
      </c>
      <c r="G99" s="95">
        <v>2021</v>
      </c>
      <c r="H99" s="92">
        <f>'[4]TechWatHea-SingleAttached'!$N$26</f>
        <v>0.96332670696629996</v>
      </c>
      <c r="I99" s="92"/>
      <c r="J99" s="92">
        <v>0.20953247345103601</v>
      </c>
      <c r="K99" s="62">
        <f t="shared" si="66"/>
        <v>202.6728</v>
      </c>
      <c r="L99" s="62">
        <f t="shared" si="67"/>
        <v>5.4592000000000001</v>
      </c>
      <c r="M99" s="62">
        <f t="shared" si="68"/>
        <v>202.6728</v>
      </c>
      <c r="N99" s="62">
        <f t="shared" si="69"/>
        <v>5.4592000000000001</v>
      </c>
      <c r="O99" s="62">
        <f t="shared" si="70"/>
        <v>202.6728</v>
      </c>
      <c r="P99" s="62">
        <f t="shared" si="71"/>
        <v>5.4592000000000001</v>
      </c>
      <c r="Q99" s="187">
        <f t="shared" si="71"/>
        <v>25</v>
      </c>
      <c r="R99" s="58">
        <v>31.54</v>
      </c>
      <c r="S99" s="58">
        <v>1</v>
      </c>
      <c r="V99" s="53"/>
      <c r="W99" s="105" t="s">
        <v>141</v>
      </c>
      <c r="X99" s="53"/>
      <c r="Y99" s="53" t="s">
        <v>39</v>
      </c>
      <c r="Z99" s="53" t="s">
        <v>40</v>
      </c>
      <c r="AA99" s="53"/>
      <c r="AB99" s="53"/>
      <c r="AC99" s="53"/>
      <c r="AG99">
        <v>0.65</v>
      </c>
    </row>
    <row r="100" spans="3:33">
      <c r="C100" s="105" t="s">
        <v>142</v>
      </c>
      <c r="D100" s="105" t="s">
        <v>53</v>
      </c>
      <c r="E100" s="105"/>
      <c r="F100" s="105" t="s">
        <v>138</v>
      </c>
      <c r="G100" s="95">
        <v>2021</v>
      </c>
      <c r="H100" s="92">
        <f>'[4]TechWatHea-SingleAttached'!$N$27</f>
        <v>0.96332670696629996</v>
      </c>
      <c r="I100" s="92"/>
      <c r="J100" s="92">
        <v>0.40482707149082198</v>
      </c>
      <c r="K100" s="62">
        <f t="shared" si="66"/>
        <v>308.44479999999999</v>
      </c>
      <c r="L100" s="62">
        <f t="shared" si="67"/>
        <v>21.154399999999999</v>
      </c>
      <c r="M100" s="62">
        <f t="shared" si="68"/>
        <v>308.44479999999999</v>
      </c>
      <c r="N100" s="62">
        <f t="shared" si="69"/>
        <v>21.154399999999999</v>
      </c>
      <c r="O100" s="62">
        <f t="shared" si="70"/>
        <v>308.44479999999999</v>
      </c>
      <c r="P100" s="62">
        <f t="shared" si="71"/>
        <v>21.154399999999999</v>
      </c>
      <c r="Q100" s="187">
        <f t="shared" si="71"/>
        <v>19</v>
      </c>
      <c r="R100" s="58">
        <v>31.54</v>
      </c>
      <c r="S100" s="58">
        <v>1</v>
      </c>
      <c r="V100" s="53"/>
      <c r="W100" s="105" t="s">
        <v>142</v>
      </c>
      <c r="X100" s="53"/>
      <c r="Y100" s="53" t="s">
        <v>39</v>
      </c>
      <c r="Z100" s="53" t="s">
        <v>40</v>
      </c>
      <c r="AA100" s="53"/>
      <c r="AB100" s="53"/>
      <c r="AC100" s="53"/>
      <c r="AG100">
        <v>0.65</v>
      </c>
    </row>
    <row r="101" spans="3:33">
      <c r="C101" s="105" t="s">
        <v>143</v>
      </c>
      <c r="D101" s="105" t="s">
        <v>64</v>
      </c>
      <c r="E101" s="105"/>
      <c r="F101" s="105" t="s">
        <v>138</v>
      </c>
      <c r="G101" s="95">
        <v>2021</v>
      </c>
      <c r="H101" s="92">
        <f>'[4]TechWatHea-SingleAttached'!$N$28</f>
        <v>0.96332670696629996</v>
      </c>
      <c r="I101" s="92"/>
      <c r="J101" s="92">
        <f>'[4]TechWatHea-SingleAttached'!$N$59</f>
        <v>1.1264758734460101</v>
      </c>
      <c r="K101" s="62">
        <f t="shared" si="66"/>
        <v>308.44479999999999</v>
      </c>
      <c r="L101" s="62">
        <f t="shared" si="67"/>
        <v>21.154399999999999</v>
      </c>
      <c r="M101" s="62">
        <f t="shared" si="68"/>
        <v>308.44479999999999</v>
      </c>
      <c r="N101" s="62">
        <f t="shared" si="69"/>
        <v>21.154399999999999</v>
      </c>
      <c r="O101" s="62">
        <f t="shared" si="70"/>
        <v>308.44479999999999</v>
      </c>
      <c r="P101" s="62">
        <f t="shared" si="71"/>
        <v>21.154399999999999</v>
      </c>
      <c r="Q101" s="187">
        <f t="shared" si="71"/>
        <v>19</v>
      </c>
      <c r="R101" s="58">
        <v>31.54</v>
      </c>
      <c r="S101" s="58">
        <v>1</v>
      </c>
      <c r="V101" s="53"/>
      <c r="W101" s="105" t="s">
        <v>143</v>
      </c>
      <c r="X101" s="53"/>
      <c r="Y101" s="53" t="s">
        <v>39</v>
      </c>
      <c r="Z101" s="53" t="s">
        <v>40</v>
      </c>
      <c r="AA101" s="53"/>
      <c r="AB101" s="53"/>
      <c r="AC101" s="53"/>
      <c r="AG101">
        <v>0.65</v>
      </c>
    </row>
    <row r="102" spans="3:33">
      <c r="C102" s="105" t="s">
        <v>144</v>
      </c>
      <c r="D102" s="105" t="s">
        <v>48</v>
      </c>
      <c r="E102" s="105"/>
      <c r="F102" s="105" t="s">
        <v>145</v>
      </c>
      <c r="G102" s="95">
        <v>2021</v>
      </c>
      <c r="H102" s="201">
        <f>'[4]TechWatHea-Appartment'!$N$23</f>
        <v>0.96332670696629996</v>
      </c>
      <c r="I102" s="201"/>
      <c r="J102" s="92">
        <v>0.101179774061464</v>
      </c>
      <c r="K102" s="62">
        <f t="shared" si="66"/>
        <v>90.909090909090907</v>
      </c>
      <c r="L102" s="62">
        <f t="shared" si="67"/>
        <v>1.8181818181818199</v>
      </c>
      <c r="M102" s="62">
        <f t="shared" si="68"/>
        <v>90.909090909090907</v>
      </c>
      <c r="N102" s="62">
        <f t="shared" si="69"/>
        <v>1.8181818181818199</v>
      </c>
      <c r="O102" s="62">
        <f t="shared" si="70"/>
        <v>90.909090909090907</v>
      </c>
      <c r="P102" s="62">
        <f t="shared" si="71"/>
        <v>1.8181818181818199</v>
      </c>
      <c r="Q102" s="187">
        <f t="shared" si="71"/>
        <v>13</v>
      </c>
      <c r="R102" s="58">
        <v>31.54</v>
      </c>
      <c r="S102" s="58">
        <v>1</v>
      </c>
      <c r="V102" s="53"/>
      <c r="W102" s="105" t="s">
        <v>144</v>
      </c>
      <c r="X102" s="53"/>
      <c r="Y102" s="53" t="s">
        <v>39</v>
      </c>
      <c r="Z102" s="53" t="s">
        <v>40</v>
      </c>
      <c r="AA102" s="53"/>
      <c r="AB102" s="53"/>
      <c r="AC102" s="53"/>
      <c r="AG102">
        <v>0.65</v>
      </c>
    </row>
    <row r="103" spans="3:33">
      <c r="C103" s="105" t="s">
        <v>146</v>
      </c>
      <c r="D103" s="105" t="s">
        <v>44</v>
      </c>
      <c r="E103" s="105"/>
      <c r="F103" s="105" t="s">
        <v>145</v>
      </c>
      <c r="G103" s="95">
        <v>2021</v>
      </c>
      <c r="H103" s="201">
        <f>'[4]TechWatHea-Appartment'!$N$24</f>
        <v>0.96332670696629996</v>
      </c>
      <c r="I103" s="201"/>
      <c r="J103" s="92">
        <v>0.24860663198916999</v>
      </c>
      <c r="K103" s="62">
        <f t="shared" si="66"/>
        <v>188.75</v>
      </c>
      <c r="L103" s="62">
        <f t="shared" si="67"/>
        <v>1.6666666666666701</v>
      </c>
      <c r="M103" s="62">
        <f t="shared" si="68"/>
        <v>188.75</v>
      </c>
      <c r="N103" s="62">
        <f t="shared" si="69"/>
        <v>1.6666666666666701</v>
      </c>
      <c r="O103" s="62">
        <f t="shared" si="70"/>
        <v>188.75</v>
      </c>
      <c r="P103" s="62">
        <f t="shared" si="71"/>
        <v>1.6666666666666701</v>
      </c>
      <c r="Q103" s="187">
        <f t="shared" ref="Q103" si="72">Q97</f>
        <v>19</v>
      </c>
      <c r="R103" s="58">
        <v>31.54</v>
      </c>
      <c r="S103" s="58">
        <v>1</v>
      </c>
      <c r="V103" s="53"/>
      <c r="W103" s="105" t="s">
        <v>146</v>
      </c>
      <c r="X103" s="53"/>
      <c r="Y103" s="53" t="s">
        <v>39</v>
      </c>
      <c r="Z103" s="53" t="s">
        <v>40</v>
      </c>
      <c r="AA103" s="53"/>
      <c r="AB103" s="53"/>
      <c r="AC103" s="53"/>
      <c r="AG103">
        <v>0.65</v>
      </c>
    </row>
    <row r="104" spans="3:33">
      <c r="C104" s="105" t="s">
        <v>147</v>
      </c>
      <c r="D104" s="105" t="s">
        <v>36</v>
      </c>
      <c r="E104" s="105"/>
      <c r="F104" s="105" t="s">
        <v>145</v>
      </c>
      <c r="G104" s="95">
        <v>2021</v>
      </c>
      <c r="H104" s="201">
        <f>'[4]TechWatHea-Appartment'!$N$25</f>
        <v>0.96332670696629996</v>
      </c>
      <c r="I104" s="201"/>
      <c r="J104" s="92">
        <v>8.8560651785726099E-2</v>
      </c>
      <c r="K104" s="62">
        <f t="shared" si="66"/>
        <v>300</v>
      </c>
      <c r="L104" s="62">
        <f t="shared" si="67"/>
        <v>21</v>
      </c>
      <c r="M104" s="62">
        <f t="shared" si="68"/>
        <v>300</v>
      </c>
      <c r="N104" s="62">
        <f t="shared" si="69"/>
        <v>21</v>
      </c>
      <c r="O104" s="62">
        <f t="shared" si="70"/>
        <v>300</v>
      </c>
      <c r="P104" s="62">
        <f t="shared" si="71"/>
        <v>21</v>
      </c>
      <c r="Q104" s="187">
        <f t="shared" ref="Q104" si="73">Q98</f>
        <v>13</v>
      </c>
      <c r="R104" s="58">
        <v>31.54</v>
      </c>
      <c r="S104" s="58">
        <v>1</v>
      </c>
      <c r="V104" s="53"/>
      <c r="W104" s="105" t="s">
        <v>147</v>
      </c>
      <c r="X104" s="53"/>
      <c r="Y104" s="53" t="s">
        <v>39</v>
      </c>
      <c r="Z104" s="53" t="s">
        <v>40</v>
      </c>
      <c r="AA104" s="53"/>
      <c r="AB104" s="53"/>
      <c r="AC104" s="53"/>
      <c r="AG104">
        <v>0.65</v>
      </c>
    </row>
    <row r="105" spans="3:33">
      <c r="C105" s="105" t="s">
        <v>148</v>
      </c>
      <c r="D105" s="105" t="s">
        <v>134</v>
      </c>
      <c r="E105" s="105"/>
      <c r="F105" s="105" t="s">
        <v>145</v>
      </c>
      <c r="G105" s="95">
        <v>2021</v>
      </c>
      <c r="H105" s="201">
        <f>'[4]TechWatHea-Appartment'!$N$26</f>
        <v>0.96332670696629996</v>
      </c>
      <c r="I105" s="201"/>
      <c r="J105" s="92">
        <v>0.143923107198767</v>
      </c>
      <c r="K105" s="62">
        <f t="shared" si="66"/>
        <v>202.6728</v>
      </c>
      <c r="L105" s="62">
        <f t="shared" si="67"/>
        <v>5.4592000000000001</v>
      </c>
      <c r="M105" s="62">
        <f t="shared" si="68"/>
        <v>202.6728</v>
      </c>
      <c r="N105" s="62">
        <f t="shared" si="69"/>
        <v>5.4592000000000001</v>
      </c>
      <c r="O105" s="62">
        <f t="shared" si="70"/>
        <v>202.6728</v>
      </c>
      <c r="P105" s="62">
        <f t="shared" si="71"/>
        <v>5.4592000000000001</v>
      </c>
      <c r="Q105" s="187">
        <f t="shared" ref="Q105" si="74">Q99</f>
        <v>25</v>
      </c>
      <c r="R105" s="58">
        <v>31.54</v>
      </c>
      <c r="S105" s="58">
        <v>1</v>
      </c>
      <c r="V105" s="208"/>
      <c r="W105" s="105" t="s">
        <v>148</v>
      </c>
      <c r="X105" s="209"/>
      <c r="Y105" s="208" t="s">
        <v>39</v>
      </c>
      <c r="Z105" s="208" t="s">
        <v>40</v>
      </c>
      <c r="AA105" s="53"/>
      <c r="AB105" s="208"/>
      <c r="AC105" s="208"/>
      <c r="AG105">
        <v>0.65</v>
      </c>
    </row>
    <row r="106" spans="3:33">
      <c r="C106" s="105" t="s">
        <v>149</v>
      </c>
      <c r="D106" s="105" t="s">
        <v>53</v>
      </c>
      <c r="E106" s="105"/>
      <c r="F106" s="105" t="s">
        <v>145</v>
      </c>
      <c r="G106" s="95">
        <v>2021</v>
      </c>
      <c r="H106" s="201">
        <f>'[4]TechWatHea-Appartment'!$N$27</f>
        <v>0.96332670696629996</v>
      </c>
      <c r="I106" s="201"/>
      <c r="J106" s="92">
        <v>0.28126847815747502</v>
      </c>
      <c r="K106" s="62">
        <f t="shared" si="66"/>
        <v>308.44479999999999</v>
      </c>
      <c r="L106" s="62">
        <f t="shared" si="67"/>
        <v>21.154399999999999</v>
      </c>
      <c r="M106" s="62">
        <f t="shared" si="68"/>
        <v>308.44479999999999</v>
      </c>
      <c r="N106" s="62">
        <f t="shared" si="69"/>
        <v>21.154399999999999</v>
      </c>
      <c r="O106" s="62">
        <f t="shared" si="70"/>
        <v>308.44479999999999</v>
      </c>
      <c r="P106" s="62">
        <f t="shared" si="71"/>
        <v>21.154399999999999</v>
      </c>
      <c r="Q106" s="187">
        <f t="shared" ref="Q106" si="75">Q100</f>
        <v>19</v>
      </c>
      <c r="R106" s="58">
        <v>31.54</v>
      </c>
      <c r="S106" s="58">
        <v>1</v>
      </c>
      <c r="W106" s="105" t="s">
        <v>149</v>
      </c>
      <c r="Y106" s="208" t="s">
        <v>39</v>
      </c>
      <c r="Z106" s="208" t="s">
        <v>40</v>
      </c>
      <c r="AA106" s="53"/>
      <c r="AB106" s="208"/>
      <c r="AC106" s="208"/>
      <c r="AG106">
        <v>0.65</v>
      </c>
    </row>
    <row r="107" spans="3:33">
      <c r="C107" s="105" t="s">
        <v>150</v>
      </c>
      <c r="D107" s="105" t="s">
        <v>64</v>
      </c>
      <c r="E107" s="105"/>
      <c r="F107" s="105" t="s">
        <v>145</v>
      </c>
      <c r="G107" s="95">
        <v>2021</v>
      </c>
      <c r="H107" s="201">
        <f>'[4]TechWatHea-Appartment'!$N$28</f>
        <v>0.96332670696629996</v>
      </c>
      <c r="I107" s="201"/>
      <c r="J107" s="92">
        <f>'[4]TechWatHea-Appartment'!$N$59</f>
        <v>0.35298455491446901</v>
      </c>
      <c r="K107" s="62">
        <f t="shared" si="66"/>
        <v>308.44479999999999</v>
      </c>
      <c r="L107" s="62">
        <f t="shared" si="67"/>
        <v>21.154399999999999</v>
      </c>
      <c r="M107" s="62">
        <f t="shared" si="68"/>
        <v>308.44479999999999</v>
      </c>
      <c r="N107" s="62">
        <f t="shared" si="69"/>
        <v>21.154399999999999</v>
      </c>
      <c r="O107" s="62">
        <f t="shared" si="70"/>
        <v>308.44479999999999</v>
      </c>
      <c r="P107" s="62">
        <f t="shared" si="71"/>
        <v>21.154399999999999</v>
      </c>
      <c r="Q107" s="187">
        <f t="shared" ref="Q107:Q108" si="76">Q101</f>
        <v>19</v>
      </c>
      <c r="R107" s="58">
        <v>31.54</v>
      </c>
      <c r="S107" s="58">
        <v>1</v>
      </c>
      <c r="W107" s="105" t="s">
        <v>150</v>
      </c>
      <c r="Y107" s="208" t="s">
        <v>39</v>
      </c>
      <c r="Z107" s="208" t="s">
        <v>40</v>
      </c>
      <c r="AA107" s="53"/>
      <c r="AB107" s="208"/>
      <c r="AC107" s="208"/>
      <c r="AG107">
        <v>0.65</v>
      </c>
    </row>
    <row r="108" spans="3:33">
      <c r="C108" s="105" t="s">
        <v>151</v>
      </c>
      <c r="D108" s="105" t="s">
        <v>48</v>
      </c>
      <c r="E108" s="105"/>
      <c r="F108" s="105" t="s">
        <v>152</v>
      </c>
      <c r="G108" s="41">
        <v>2021</v>
      </c>
      <c r="H108" s="123">
        <f>'[4]TechWatHea-MobileHome'!$N$23</f>
        <v>0.96332670696629996</v>
      </c>
      <c r="I108" s="123"/>
      <c r="J108" s="42">
        <v>9.6459342035770099E-2</v>
      </c>
      <c r="K108" s="62">
        <f t="shared" si="66"/>
        <v>90.909090909090907</v>
      </c>
      <c r="L108" s="62">
        <f t="shared" si="67"/>
        <v>1.8181818181818199</v>
      </c>
      <c r="M108" s="62">
        <f t="shared" si="68"/>
        <v>90.909090909090907</v>
      </c>
      <c r="N108" s="62">
        <f t="shared" si="69"/>
        <v>1.8181818181818199</v>
      </c>
      <c r="O108" s="62">
        <f t="shared" si="70"/>
        <v>90.909090909090907</v>
      </c>
      <c r="P108" s="62">
        <f t="shared" si="71"/>
        <v>1.8181818181818199</v>
      </c>
      <c r="Q108" s="187">
        <f t="shared" si="76"/>
        <v>13</v>
      </c>
      <c r="R108">
        <v>31.54</v>
      </c>
      <c r="S108">
        <v>1</v>
      </c>
      <c r="W108" s="105" t="s">
        <v>151</v>
      </c>
      <c r="Y108" s="208" t="s">
        <v>39</v>
      </c>
      <c r="Z108" s="208" t="s">
        <v>40</v>
      </c>
      <c r="AA108" s="53"/>
      <c r="AB108" s="208"/>
      <c r="AC108" s="208"/>
      <c r="AG108">
        <v>0.65</v>
      </c>
    </row>
    <row r="109" spans="3:33">
      <c r="C109" s="105" t="s">
        <v>153</v>
      </c>
      <c r="D109" s="105" t="s">
        <v>44</v>
      </c>
      <c r="E109" s="105"/>
      <c r="F109" s="105" t="s">
        <v>152</v>
      </c>
      <c r="G109" s="41">
        <v>2021</v>
      </c>
      <c r="H109" s="123">
        <f>'[4]TechWatHea-MobileHome'!$N$24</f>
        <v>0.96332670696629996</v>
      </c>
      <c r="I109" s="123"/>
      <c r="J109" s="42">
        <v>0.23828463596827601</v>
      </c>
      <c r="K109" s="62">
        <f t="shared" si="66"/>
        <v>188.75</v>
      </c>
      <c r="L109" s="62">
        <f t="shared" si="67"/>
        <v>1.6666666666666701</v>
      </c>
      <c r="M109" s="62">
        <f t="shared" si="68"/>
        <v>188.75</v>
      </c>
      <c r="N109" s="62">
        <f t="shared" si="69"/>
        <v>1.6666666666666701</v>
      </c>
      <c r="O109" s="62">
        <f t="shared" si="70"/>
        <v>188.75</v>
      </c>
      <c r="P109" s="62">
        <f t="shared" si="71"/>
        <v>1.6666666666666701</v>
      </c>
      <c r="Q109" s="187">
        <f t="shared" ref="Q109" si="77">Q103</f>
        <v>19</v>
      </c>
      <c r="R109">
        <v>31.54</v>
      </c>
      <c r="S109">
        <v>1</v>
      </c>
      <c r="W109" s="105" t="s">
        <v>153</v>
      </c>
      <c r="Y109" s="208" t="s">
        <v>39</v>
      </c>
      <c r="Z109" s="208" t="s">
        <v>40</v>
      </c>
      <c r="AA109" s="53"/>
      <c r="AB109" s="208"/>
      <c r="AC109" s="208"/>
      <c r="AG109">
        <v>0.65</v>
      </c>
    </row>
    <row r="110" spans="3:33">
      <c r="C110" s="105" t="s">
        <v>154</v>
      </c>
      <c r="D110" s="105" t="s">
        <v>36</v>
      </c>
      <c r="E110" s="105"/>
      <c r="F110" s="105" t="s">
        <v>152</v>
      </c>
      <c r="G110" s="41">
        <v>2021</v>
      </c>
      <c r="H110" s="123">
        <f>'[4]TechWatHea-MobileHome'!$N$25</f>
        <v>0.96332670696629996</v>
      </c>
      <c r="I110" s="123"/>
      <c r="J110" s="42">
        <v>9.7086151849994404E-2</v>
      </c>
      <c r="K110" s="62">
        <f t="shared" si="66"/>
        <v>300</v>
      </c>
      <c r="L110" s="62">
        <f t="shared" si="67"/>
        <v>21</v>
      </c>
      <c r="M110" s="62">
        <f t="shared" si="68"/>
        <v>300</v>
      </c>
      <c r="N110" s="62">
        <f t="shared" si="69"/>
        <v>21</v>
      </c>
      <c r="O110" s="62">
        <f t="shared" si="70"/>
        <v>300</v>
      </c>
      <c r="P110" s="62">
        <f t="shared" si="71"/>
        <v>21</v>
      </c>
      <c r="Q110" s="187">
        <f t="shared" ref="Q110" si="78">Q104</f>
        <v>13</v>
      </c>
      <c r="R110">
        <v>31.54</v>
      </c>
      <c r="S110">
        <v>1</v>
      </c>
      <c r="W110" s="105" t="s">
        <v>154</v>
      </c>
      <c r="Y110" s="208" t="s">
        <v>39</v>
      </c>
      <c r="Z110" s="208" t="s">
        <v>40</v>
      </c>
      <c r="AA110" s="53"/>
      <c r="AB110" s="208"/>
      <c r="AC110" s="208"/>
      <c r="AG110">
        <v>0.65</v>
      </c>
    </row>
    <row r="111" spans="3:33">
      <c r="C111" s="105" t="s">
        <v>155</v>
      </c>
      <c r="D111" s="105" t="s">
        <v>134</v>
      </c>
      <c r="E111" s="105"/>
      <c r="F111" s="105" t="s">
        <v>152</v>
      </c>
      <c r="G111" s="41">
        <v>2021</v>
      </c>
      <c r="H111" s="123">
        <f>'[4]TechWatHea-MobileHome'!$N$26</f>
        <v>0.96332670696629996</v>
      </c>
      <c r="I111" s="123"/>
      <c r="J111" s="42">
        <v>0.15635293704824901</v>
      </c>
      <c r="K111" s="62">
        <f t="shared" si="66"/>
        <v>202.6728</v>
      </c>
      <c r="L111" s="62">
        <f t="shared" si="67"/>
        <v>5.4592000000000001</v>
      </c>
      <c r="M111" s="62">
        <f t="shared" si="68"/>
        <v>202.6728</v>
      </c>
      <c r="N111" s="62">
        <f t="shared" si="69"/>
        <v>5.4592000000000001</v>
      </c>
      <c r="O111" s="62">
        <f t="shared" si="70"/>
        <v>202.6728</v>
      </c>
      <c r="P111" s="62">
        <f t="shared" si="71"/>
        <v>5.4592000000000001</v>
      </c>
      <c r="Q111" s="187">
        <f t="shared" ref="Q111" si="79">Q105</f>
        <v>25</v>
      </c>
      <c r="R111">
        <v>31.54</v>
      </c>
      <c r="S111">
        <v>1</v>
      </c>
      <c r="W111" s="105" t="s">
        <v>155</v>
      </c>
      <c r="Y111" s="208" t="s">
        <v>39</v>
      </c>
      <c r="Z111" s="208" t="s">
        <v>40</v>
      </c>
      <c r="AA111" s="53"/>
      <c r="AB111" s="208"/>
      <c r="AC111" s="208"/>
      <c r="AG111">
        <v>0.65</v>
      </c>
    </row>
    <row r="112" spans="3:33">
      <c r="C112" s="105" t="s">
        <v>156</v>
      </c>
      <c r="D112" s="105" t="s">
        <v>53</v>
      </c>
      <c r="E112" s="105"/>
      <c r="F112" s="105" t="s">
        <v>152</v>
      </c>
      <c r="G112" s="41">
        <v>2021</v>
      </c>
      <c r="H112" s="123">
        <f>'[4]TechWatHea-MobileHome'!$N$27</f>
        <v>0.96332670696629996</v>
      </c>
      <c r="I112" s="123"/>
      <c r="J112" s="42">
        <v>0.308140357277919</v>
      </c>
      <c r="K112" s="62">
        <f t="shared" si="66"/>
        <v>308.44479999999999</v>
      </c>
      <c r="L112" s="62">
        <f t="shared" si="67"/>
        <v>21.154399999999999</v>
      </c>
      <c r="M112" s="62">
        <f t="shared" si="68"/>
        <v>308.44479999999999</v>
      </c>
      <c r="N112" s="62">
        <f t="shared" si="69"/>
        <v>21.154399999999999</v>
      </c>
      <c r="O112" s="62">
        <f t="shared" si="70"/>
        <v>308.44479999999999</v>
      </c>
      <c r="P112" s="62">
        <f t="shared" si="71"/>
        <v>21.154399999999999</v>
      </c>
      <c r="Q112" s="187">
        <f t="shared" ref="Q112" si="80">Q106</f>
        <v>19</v>
      </c>
      <c r="R112">
        <v>31.54</v>
      </c>
      <c r="S112">
        <v>1</v>
      </c>
      <c r="W112" s="105" t="s">
        <v>156</v>
      </c>
      <c r="Y112" s="208" t="s">
        <v>39</v>
      </c>
      <c r="Z112" s="208" t="s">
        <v>40</v>
      </c>
      <c r="AA112" s="53"/>
      <c r="AB112" s="208"/>
      <c r="AC112" s="208"/>
      <c r="AG112">
        <v>0.65</v>
      </c>
    </row>
    <row r="113" spans="3:33">
      <c r="C113" s="105" t="s">
        <v>157</v>
      </c>
      <c r="D113" s="105" t="s">
        <v>64</v>
      </c>
      <c r="E113" s="105"/>
      <c r="F113" s="105" t="s">
        <v>152</v>
      </c>
      <c r="G113" s="41">
        <v>2021</v>
      </c>
      <c r="H113" s="123">
        <f>'[4]TechWatHea-MobileHome'!$N$28</f>
        <v>0.96332670696629996</v>
      </c>
      <c r="I113" s="123"/>
      <c r="J113" s="42">
        <f>'[4]TechWatHea-MobileHome'!$N$59</f>
        <v>2.7269434932209702</v>
      </c>
      <c r="K113" s="62">
        <f t="shared" si="66"/>
        <v>308.44479999999999</v>
      </c>
      <c r="L113" s="62">
        <f t="shared" si="67"/>
        <v>21.154399999999999</v>
      </c>
      <c r="M113" s="62">
        <f t="shared" si="68"/>
        <v>308.44479999999999</v>
      </c>
      <c r="N113" s="62">
        <f t="shared" si="69"/>
        <v>21.154399999999999</v>
      </c>
      <c r="O113" s="62">
        <f t="shared" si="70"/>
        <v>308.44479999999999</v>
      </c>
      <c r="P113" s="62">
        <f t="shared" si="71"/>
        <v>21.154399999999999</v>
      </c>
      <c r="Q113" s="187">
        <f t="shared" ref="Q113" si="81">Q107</f>
        <v>19</v>
      </c>
      <c r="R113">
        <v>31.54</v>
      </c>
      <c r="S113">
        <v>1</v>
      </c>
      <c r="W113" s="105" t="s">
        <v>157</v>
      </c>
      <c r="Y113" s="208" t="s">
        <v>39</v>
      </c>
      <c r="Z113" s="208" t="s">
        <v>40</v>
      </c>
      <c r="AA113" s="53"/>
      <c r="AB113" s="208"/>
      <c r="AC113" s="208"/>
      <c r="AG113">
        <v>0.65</v>
      </c>
    </row>
    <row r="114" spans="3:33">
      <c r="C114" s="105" t="s">
        <v>158</v>
      </c>
      <c r="D114" s="105" t="s">
        <v>48</v>
      </c>
      <c r="E114" s="105"/>
      <c r="F114" s="105" t="s">
        <v>159</v>
      </c>
      <c r="G114" s="41">
        <v>2021</v>
      </c>
      <c r="H114" s="202">
        <v>0.55730080380949898</v>
      </c>
      <c r="I114" s="121"/>
      <c r="J114" s="42">
        <v>4.5458517684292502E-2</v>
      </c>
      <c r="K114" s="205">
        <f>1130/0.079*J114*1</f>
        <v>650.22943016772797</v>
      </c>
      <c r="L114" s="205">
        <f>20/0.079*J114</f>
        <v>11.5084854896943</v>
      </c>
      <c r="M114" s="205">
        <f>K114</f>
        <v>650.22943016772797</v>
      </c>
      <c r="N114" s="205">
        <f>L114</f>
        <v>11.5084854896943</v>
      </c>
      <c r="O114" s="205">
        <f t="shared" ref="O114:O121" si="82">K114</f>
        <v>650.22943016772797</v>
      </c>
      <c r="P114" s="205">
        <f t="shared" ref="P114:P121" si="83">L114</f>
        <v>11.5084854896943</v>
      </c>
      <c r="Q114" s="205">
        <v>15</v>
      </c>
      <c r="R114">
        <v>31.54</v>
      </c>
      <c r="S114">
        <v>1</v>
      </c>
      <c r="W114" s="105" t="s">
        <v>158</v>
      </c>
      <c r="Y114" s="208" t="s">
        <v>39</v>
      </c>
      <c r="Z114" s="208" t="s">
        <v>40</v>
      </c>
      <c r="AA114" s="53"/>
      <c r="AB114" s="208"/>
      <c r="AC114" s="208"/>
      <c r="AG114">
        <v>0.65</v>
      </c>
    </row>
    <row r="115" spans="3:33">
      <c r="C115" s="105" t="s">
        <v>160</v>
      </c>
      <c r="D115" s="105" t="s">
        <v>48</v>
      </c>
      <c r="E115" s="105"/>
      <c r="F115" s="105" t="s">
        <v>161</v>
      </c>
      <c r="G115" s="41">
        <v>2021</v>
      </c>
      <c r="H115" s="202">
        <v>0.56468068968068996</v>
      </c>
      <c r="I115" s="121"/>
      <c r="J115" s="42">
        <v>4.5458517684292502E-2</v>
      </c>
      <c r="K115" s="205">
        <f>880/0.05*J115</f>
        <v>800.06991124354795</v>
      </c>
      <c r="L115" s="205">
        <f>10/0.05*J115</f>
        <v>9.0917035368584997</v>
      </c>
      <c r="M115" s="205">
        <f>K115</f>
        <v>800.06991124354795</v>
      </c>
      <c r="N115" s="205">
        <f t="shared" ref="N115:P115" si="84">L115</f>
        <v>9.0917035368584997</v>
      </c>
      <c r="O115" s="205">
        <f t="shared" si="84"/>
        <v>800.06991124354795</v>
      </c>
      <c r="P115" s="205">
        <f t="shared" si="84"/>
        <v>9.0917035368584997</v>
      </c>
      <c r="Q115" s="205">
        <v>21</v>
      </c>
      <c r="R115">
        <v>31.54</v>
      </c>
      <c r="S115">
        <v>1</v>
      </c>
      <c r="W115" s="105" t="s">
        <v>160</v>
      </c>
      <c r="Y115" s="208" t="s">
        <v>39</v>
      </c>
      <c r="Z115" s="208" t="s">
        <v>40</v>
      </c>
      <c r="AA115" s="53"/>
      <c r="AB115" s="208"/>
      <c r="AC115" s="208"/>
      <c r="AG115">
        <v>0.65</v>
      </c>
    </row>
    <row r="116" spans="3:33">
      <c r="C116" s="105" t="s">
        <v>162</v>
      </c>
      <c r="D116" s="105" t="s">
        <v>48</v>
      </c>
      <c r="E116" s="105"/>
      <c r="F116" s="105" t="s">
        <v>163</v>
      </c>
      <c r="G116" s="41">
        <v>2021</v>
      </c>
      <c r="H116" s="202">
        <v>0.95918367346938804</v>
      </c>
      <c r="I116" s="121"/>
      <c r="J116" s="42">
        <v>4.5458517684292502E-2</v>
      </c>
      <c r="K116" s="205">
        <f>570/0.03*J116</f>
        <v>863.71183600155803</v>
      </c>
      <c r="L116" s="205">
        <f t="shared" ref="L116:N116" si="85">L115</f>
        <v>9.0917035368584997</v>
      </c>
      <c r="M116" s="205">
        <f t="shared" si="85"/>
        <v>800.06991124354795</v>
      </c>
      <c r="N116" s="205">
        <f t="shared" si="85"/>
        <v>9.0917035368584997</v>
      </c>
      <c r="O116" s="205">
        <f t="shared" si="82"/>
        <v>863.71183600155803</v>
      </c>
      <c r="P116" s="205">
        <f t="shared" si="83"/>
        <v>9.0917035368584997</v>
      </c>
      <c r="Q116" s="205">
        <v>15</v>
      </c>
      <c r="R116">
        <v>31.54</v>
      </c>
      <c r="S116">
        <v>1</v>
      </c>
      <c r="W116" s="105" t="s">
        <v>162</v>
      </c>
      <c r="Y116" s="208" t="s">
        <v>39</v>
      </c>
      <c r="Z116" s="208" t="s">
        <v>40</v>
      </c>
      <c r="AA116" s="53"/>
      <c r="AB116" s="208"/>
      <c r="AC116" s="208"/>
      <c r="AG116">
        <v>0.65</v>
      </c>
    </row>
    <row r="117" spans="3:33">
      <c r="C117" s="105" t="s">
        <v>164</v>
      </c>
      <c r="D117" s="105" t="s">
        <v>48</v>
      </c>
      <c r="E117" s="105"/>
      <c r="F117" s="105" t="s">
        <v>165</v>
      </c>
      <c r="G117" s="41">
        <v>2021</v>
      </c>
      <c r="H117" s="202">
        <v>0.93571428571428605</v>
      </c>
      <c r="I117" s="121"/>
      <c r="J117" s="42">
        <v>4.5458517684292502E-2</v>
      </c>
      <c r="K117" s="121">
        <f>1175/0.4</f>
        <v>2937.5</v>
      </c>
      <c r="L117" s="121">
        <f>15/0.4</f>
        <v>37.5</v>
      </c>
      <c r="M117" s="121">
        <f>K117</f>
        <v>2937.5</v>
      </c>
      <c r="N117" s="121">
        <f>L117</f>
        <v>37.5</v>
      </c>
      <c r="O117" s="121">
        <f t="shared" si="82"/>
        <v>2937.5</v>
      </c>
      <c r="P117" s="121">
        <f t="shared" si="83"/>
        <v>37.5</v>
      </c>
      <c r="Q117" s="205">
        <v>12</v>
      </c>
      <c r="R117">
        <v>31.54</v>
      </c>
      <c r="S117">
        <v>1</v>
      </c>
      <c r="W117" s="105" t="s">
        <v>164</v>
      </c>
      <c r="Y117" s="208" t="s">
        <v>39</v>
      </c>
      <c r="Z117" s="208" t="s">
        <v>40</v>
      </c>
      <c r="AA117" s="53"/>
      <c r="AB117" s="208"/>
      <c r="AC117" s="208"/>
      <c r="AG117">
        <v>0.65</v>
      </c>
    </row>
    <row r="118" spans="3:33">
      <c r="C118" s="105" t="s">
        <v>166</v>
      </c>
      <c r="D118" s="105" t="s">
        <v>48</v>
      </c>
      <c r="E118" s="105"/>
      <c r="F118" s="105" t="s">
        <v>167</v>
      </c>
      <c r="G118" s="41">
        <v>2021</v>
      </c>
      <c r="H118" s="202">
        <v>0.86804850236468001</v>
      </c>
      <c r="I118" s="121"/>
      <c r="J118" s="42">
        <v>4.5458517684292502E-2</v>
      </c>
      <c r="K118" s="121">
        <f>710/3.2</f>
        <v>221.875</v>
      </c>
      <c r="L118" s="121">
        <f>L117</f>
        <v>37.5</v>
      </c>
      <c r="M118" s="121">
        <f>K118</f>
        <v>221.875</v>
      </c>
      <c r="N118" s="121">
        <f>L118</f>
        <v>37.5</v>
      </c>
      <c r="O118" s="121">
        <f>M118</f>
        <v>221.875</v>
      </c>
      <c r="P118" s="121">
        <f t="shared" si="83"/>
        <v>37.5</v>
      </c>
      <c r="Q118" s="205">
        <v>13</v>
      </c>
      <c r="R118">
        <v>31.54</v>
      </c>
      <c r="S118">
        <v>1</v>
      </c>
      <c r="W118" s="105" t="s">
        <v>166</v>
      </c>
      <c r="Y118" s="208" t="s">
        <v>39</v>
      </c>
      <c r="Z118" s="208" t="s">
        <v>40</v>
      </c>
      <c r="AA118" s="53"/>
      <c r="AB118" s="208"/>
      <c r="AC118" s="208"/>
      <c r="AG118">
        <v>0.65</v>
      </c>
    </row>
    <row r="119" spans="3:33">
      <c r="C119" s="105" t="s">
        <v>168</v>
      </c>
      <c r="D119" s="105" t="s">
        <v>48</v>
      </c>
      <c r="E119" s="105"/>
      <c r="F119" s="105" t="s">
        <v>169</v>
      </c>
      <c r="G119" s="41">
        <v>2021</v>
      </c>
      <c r="H119" s="202">
        <v>0.63915047474406494</v>
      </c>
      <c r="I119" s="121"/>
      <c r="J119" s="42">
        <v>4.5458517684292502E-2</v>
      </c>
      <c r="K119" s="42">
        <f>770/(2.5+2.7)</f>
        <v>148.07692307692301</v>
      </c>
      <c r="L119" s="42">
        <f>L118</f>
        <v>37.5</v>
      </c>
      <c r="M119" s="42">
        <f>K119</f>
        <v>148.07692307692301</v>
      </c>
      <c r="N119" s="42">
        <f t="shared" ref="N119" si="86">N118</f>
        <v>37.5</v>
      </c>
      <c r="O119" s="42">
        <f t="shared" si="82"/>
        <v>148.07692307692301</v>
      </c>
      <c r="P119" s="42">
        <f t="shared" si="83"/>
        <v>37.5</v>
      </c>
      <c r="Q119" s="205">
        <v>17</v>
      </c>
      <c r="R119">
        <v>31.54</v>
      </c>
      <c r="S119">
        <v>1</v>
      </c>
      <c r="W119" s="105" t="s">
        <v>168</v>
      </c>
      <c r="Y119" s="208" t="s">
        <v>39</v>
      </c>
      <c r="Z119" s="208" t="s">
        <v>40</v>
      </c>
      <c r="AA119" s="53"/>
      <c r="AB119" s="208"/>
      <c r="AC119" s="208"/>
      <c r="AG119">
        <v>0.65</v>
      </c>
    </row>
    <row r="120" spans="3:33">
      <c r="C120" s="105" t="s">
        <v>170</v>
      </c>
      <c r="D120" s="105" t="s">
        <v>48</v>
      </c>
      <c r="E120" s="105"/>
      <c r="F120" s="105" t="s">
        <v>171</v>
      </c>
      <c r="G120" s="41">
        <v>2021</v>
      </c>
      <c r="H120" s="202">
        <v>0.55668768191795304</v>
      </c>
      <c r="I120" s="121"/>
      <c r="J120" s="42">
        <v>4.5458517684292502E-2</v>
      </c>
      <c r="K120" s="42">
        <f t="shared" ref="K120:Q120" si="87">AVERAGE(K114:K119)</f>
        <v>936.91051674829305</v>
      </c>
      <c r="L120" s="42">
        <f t="shared" si="87"/>
        <v>23.698648760568499</v>
      </c>
      <c r="M120" s="42">
        <f t="shared" si="87"/>
        <v>926.30352928862396</v>
      </c>
      <c r="N120" s="42">
        <f t="shared" si="87"/>
        <v>23.698648760568499</v>
      </c>
      <c r="O120" s="42">
        <f t="shared" si="87"/>
        <v>936.91051674829305</v>
      </c>
      <c r="P120" s="42">
        <f t="shared" si="87"/>
        <v>23.698648760568499</v>
      </c>
      <c r="Q120" s="205">
        <f t="shared" si="87"/>
        <v>15.5</v>
      </c>
      <c r="R120">
        <v>31.54</v>
      </c>
      <c r="S120">
        <v>1</v>
      </c>
      <c r="W120" s="105" t="s">
        <v>170</v>
      </c>
      <c r="Y120" s="208" t="s">
        <v>39</v>
      </c>
      <c r="Z120" s="208" t="s">
        <v>40</v>
      </c>
      <c r="AA120" s="53"/>
      <c r="AB120" s="208"/>
      <c r="AC120" s="208"/>
      <c r="AG120">
        <v>0.65</v>
      </c>
    </row>
    <row r="121" spans="3:33">
      <c r="C121" s="105" t="s">
        <v>172</v>
      </c>
      <c r="D121" s="105" t="s">
        <v>48</v>
      </c>
      <c r="E121" s="105"/>
      <c r="F121" s="105" t="s">
        <v>173</v>
      </c>
      <c r="G121" s="41">
        <v>2021</v>
      </c>
      <c r="H121" s="203">
        <f>[4]TechLighting!$N$23</f>
        <v>0.69568463418715298</v>
      </c>
      <c r="I121" s="121"/>
      <c r="J121" s="203">
        <f>[4]TechLighting!$N$54</f>
        <v>5.8565106387802497E-2</v>
      </c>
      <c r="K121" s="42">
        <f>K120</f>
        <v>936.91051674829305</v>
      </c>
      <c r="L121" s="42">
        <f t="shared" ref="L121:N121" si="88">L120</f>
        <v>23.698648760568499</v>
      </c>
      <c r="M121" s="42">
        <f t="shared" si="88"/>
        <v>926.30352928862396</v>
      </c>
      <c r="N121" s="42">
        <f t="shared" si="88"/>
        <v>23.698648760568499</v>
      </c>
      <c r="O121" s="42">
        <f t="shared" si="82"/>
        <v>936.91051674829305</v>
      </c>
      <c r="P121" s="42">
        <f t="shared" si="83"/>
        <v>23.698648760568499</v>
      </c>
      <c r="Q121" s="205">
        <f>Q120</f>
        <v>15.5</v>
      </c>
      <c r="R121">
        <v>31.54</v>
      </c>
      <c r="S121">
        <v>1</v>
      </c>
      <c r="W121" s="105" t="s">
        <v>172</v>
      </c>
      <c r="Y121" s="208" t="s">
        <v>39</v>
      </c>
      <c r="Z121" s="208" t="s">
        <v>40</v>
      </c>
      <c r="AA121" s="53"/>
      <c r="AB121" s="208"/>
      <c r="AC121" s="208"/>
      <c r="AG121">
        <v>0.65</v>
      </c>
    </row>
    <row r="122" spans="3:33" s="41" customFormat="1">
      <c r="C122" s="42" t="str">
        <f t="shared" ref="C122:C126" si="89">W122</f>
        <v>R_ES_HET-SC-SD_HET1</v>
      </c>
      <c r="D122" s="204" t="s">
        <v>48</v>
      </c>
      <c r="E122" s="204"/>
      <c r="F122" s="204" t="s">
        <v>121</v>
      </c>
      <c r="G122" s="41">
        <v>2021</v>
      </c>
      <c r="H122" s="173">
        <v>1</v>
      </c>
      <c r="I122" s="173"/>
      <c r="J122" s="81"/>
      <c r="K122" s="42">
        <f>AY19</f>
        <v>1727.7529500000001</v>
      </c>
      <c r="L122" s="42">
        <f t="shared" ref="L122:P122" si="90">150/10*1</f>
        <v>15</v>
      </c>
      <c r="M122" s="42">
        <f t="shared" ref="M122:M126" si="91">K122</f>
        <v>1727.7529500000001</v>
      </c>
      <c r="N122" s="42">
        <f t="shared" si="90"/>
        <v>15</v>
      </c>
      <c r="O122" s="42">
        <f t="shared" ref="O122:O126" si="92">M122</f>
        <v>1727.7529500000001</v>
      </c>
      <c r="P122" s="42">
        <f t="shared" si="90"/>
        <v>15</v>
      </c>
      <c r="Q122" s="182">
        <f>15</f>
        <v>15</v>
      </c>
      <c r="R122" s="210">
        <v>31.54</v>
      </c>
      <c r="S122" s="211">
        <v>0.33</v>
      </c>
      <c r="W122" s="42" t="s">
        <v>174</v>
      </c>
      <c r="Y122" s="212" t="s">
        <v>39</v>
      </c>
      <c r="Z122" s="212" t="s">
        <v>40</v>
      </c>
      <c r="AA122" s="53"/>
      <c r="AB122" s="212"/>
      <c r="AC122" s="212"/>
      <c r="AG122" s="41">
        <v>0.65</v>
      </c>
    </row>
    <row r="123" spans="3:33" s="41" customFormat="1">
      <c r="D123" s="90" t="str">
        <f>[2]COMM!$E$19</f>
        <v>RSDAHT</v>
      </c>
      <c r="H123" s="173"/>
      <c r="I123" s="173"/>
      <c r="J123" s="42"/>
      <c r="K123" s="42"/>
      <c r="L123" s="81"/>
      <c r="M123" s="42"/>
      <c r="N123" s="81"/>
      <c r="O123" s="42"/>
      <c r="P123" s="81"/>
      <c r="Q123" s="182"/>
      <c r="R123" s="210">
        <v>31.54</v>
      </c>
      <c r="S123" s="41">
        <f>1-S122</f>
        <v>0.67</v>
      </c>
      <c r="W123" s="41" t="s">
        <v>18</v>
      </c>
      <c r="AA123" s="53"/>
      <c r="AG123" s="41">
        <v>0.8</v>
      </c>
    </row>
    <row r="124" spans="3:33" s="41" customFormat="1">
      <c r="C124" s="42" t="str">
        <f t="shared" si="89"/>
        <v>R_ES_HET-SC-SA_HET1</v>
      </c>
      <c r="D124" s="204" t="str">
        <f>D122</f>
        <v>RSDELC</v>
      </c>
      <c r="E124" s="204"/>
      <c r="F124" s="204" t="s">
        <v>123</v>
      </c>
      <c r="G124" s="41">
        <v>2021</v>
      </c>
      <c r="H124" s="173">
        <v>1</v>
      </c>
      <c r="I124" s="173"/>
      <c r="J124" s="81"/>
      <c r="K124" s="42">
        <f>K122</f>
        <v>1727.7529500000001</v>
      </c>
      <c r="L124" s="42">
        <f t="shared" ref="L124:P124" si="93">150/10*1</f>
        <v>15</v>
      </c>
      <c r="M124" s="42">
        <f t="shared" si="91"/>
        <v>1727.7529500000001</v>
      </c>
      <c r="N124" s="42">
        <f t="shared" si="93"/>
        <v>15</v>
      </c>
      <c r="O124" s="42">
        <f t="shared" si="92"/>
        <v>1727.7529500000001</v>
      </c>
      <c r="P124" s="42">
        <f t="shared" si="93"/>
        <v>15</v>
      </c>
      <c r="Q124" s="182">
        <v>15</v>
      </c>
      <c r="R124" s="210">
        <v>31.54</v>
      </c>
      <c r="S124" s="211">
        <f>S122</f>
        <v>0.33</v>
      </c>
      <c r="W124" s="42" t="s">
        <v>175</v>
      </c>
      <c r="Y124" s="212" t="s">
        <v>39</v>
      </c>
      <c r="Z124" s="212" t="s">
        <v>40</v>
      </c>
      <c r="AA124" s="53"/>
      <c r="AB124" s="212"/>
      <c r="AC124" s="212"/>
      <c r="AG124" s="41">
        <v>0.8</v>
      </c>
    </row>
    <row r="125" spans="3:33" s="41" customFormat="1">
      <c r="D125" s="204" t="str">
        <f t="shared" ref="D125:D137" si="94">D123</f>
        <v>RSDAHT</v>
      </c>
      <c r="E125" s="90"/>
      <c r="H125" s="173"/>
      <c r="I125" s="173"/>
      <c r="J125" s="42"/>
      <c r="K125" s="42"/>
      <c r="L125" s="81"/>
      <c r="M125" s="42"/>
      <c r="N125" s="81"/>
      <c r="O125" s="42"/>
      <c r="P125" s="81"/>
      <c r="Q125" s="182"/>
      <c r="R125" s="210">
        <v>31.54</v>
      </c>
      <c r="S125" s="211">
        <f t="shared" ref="S125:S137" si="95">S123</f>
        <v>0.67</v>
      </c>
      <c r="W125" s="41" t="s">
        <v>18</v>
      </c>
      <c r="AA125" s="53"/>
      <c r="AG125" s="41">
        <v>0.8</v>
      </c>
    </row>
    <row r="126" spans="3:33" s="41" customFormat="1">
      <c r="C126" s="42" t="str">
        <f t="shared" si="89"/>
        <v>R_ES_HET-SC-AP_HET1</v>
      </c>
      <c r="D126" s="204" t="str">
        <f t="shared" si="94"/>
        <v>RSDELC</v>
      </c>
      <c r="E126" s="204"/>
      <c r="F126" s="204" t="s">
        <v>125</v>
      </c>
      <c r="G126" s="41">
        <v>2021</v>
      </c>
      <c r="H126" s="173">
        <v>1</v>
      </c>
      <c r="I126" s="173"/>
      <c r="J126" s="81"/>
      <c r="K126" s="42">
        <f t="shared" ref="K126:K128" si="96">K124</f>
        <v>1727.7529500000001</v>
      </c>
      <c r="L126" s="42">
        <f t="shared" ref="L126:P126" si="97">150/10*1</f>
        <v>15</v>
      </c>
      <c r="M126" s="42">
        <f t="shared" si="91"/>
        <v>1727.7529500000001</v>
      </c>
      <c r="N126" s="42">
        <f t="shared" si="97"/>
        <v>15</v>
      </c>
      <c r="O126" s="42">
        <f t="shared" si="92"/>
        <v>1727.7529500000001</v>
      </c>
      <c r="P126" s="42">
        <f t="shared" si="97"/>
        <v>15</v>
      </c>
      <c r="Q126" s="182">
        <v>15</v>
      </c>
      <c r="R126" s="210">
        <v>31.54</v>
      </c>
      <c r="S126" s="211">
        <f t="shared" si="95"/>
        <v>0.33</v>
      </c>
      <c r="W126" s="42" t="s">
        <v>176</v>
      </c>
      <c r="Y126" s="212" t="s">
        <v>39</v>
      </c>
      <c r="Z126" s="212" t="s">
        <v>40</v>
      </c>
      <c r="AA126" s="53"/>
      <c r="AB126" s="212"/>
      <c r="AC126" s="212"/>
      <c r="AG126" s="41">
        <v>0.8</v>
      </c>
    </row>
    <row r="127" spans="3:33" s="41" customFormat="1">
      <c r="D127" s="204" t="str">
        <f t="shared" si="94"/>
        <v>RSDAHT</v>
      </c>
      <c r="E127" s="90"/>
      <c r="H127" s="173"/>
      <c r="I127" s="173"/>
      <c r="J127" s="42"/>
      <c r="K127" s="42"/>
      <c r="L127" s="81"/>
      <c r="M127" s="42"/>
      <c r="N127" s="81"/>
      <c r="O127" s="42"/>
      <c r="P127" s="81"/>
      <c r="Q127" s="182"/>
      <c r="R127" s="210">
        <v>31.54</v>
      </c>
      <c r="S127" s="211">
        <f t="shared" si="95"/>
        <v>0.67</v>
      </c>
      <c r="W127" s="41" t="s">
        <v>18</v>
      </c>
      <c r="AA127" s="53"/>
      <c r="AG127" s="41">
        <v>0.8</v>
      </c>
    </row>
    <row r="128" spans="3:33" s="41" customFormat="1">
      <c r="C128" s="42" t="str">
        <f>W128</f>
        <v>R_ES_HET-SC-MOB_HET1</v>
      </c>
      <c r="D128" s="204" t="str">
        <f t="shared" si="94"/>
        <v>RSDELC</v>
      </c>
      <c r="E128" s="204"/>
      <c r="F128" s="204" t="s">
        <v>127</v>
      </c>
      <c r="G128" s="41">
        <v>2021</v>
      </c>
      <c r="H128" s="173">
        <v>1</v>
      </c>
      <c r="I128" s="173"/>
      <c r="J128" s="81"/>
      <c r="K128" s="42">
        <f t="shared" si="96"/>
        <v>1727.7529500000001</v>
      </c>
      <c r="L128" s="42">
        <f t="shared" ref="L128:P128" si="98">150/10*1</f>
        <v>15</v>
      </c>
      <c r="M128" s="42">
        <f t="shared" ref="M128:M132" si="99">K128</f>
        <v>1727.7529500000001</v>
      </c>
      <c r="N128" s="42">
        <f t="shared" si="98"/>
        <v>15</v>
      </c>
      <c r="O128" s="42">
        <f t="shared" ref="O128:O132" si="100">M128</f>
        <v>1727.7529500000001</v>
      </c>
      <c r="P128" s="42">
        <f t="shared" si="98"/>
        <v>15</v>
      </c>
      <c r="Q128" s="182">
        <v>15</v>
      </c>
      <c r="R128" s="210">
        <v>31.54</v>
      </c>
      <c r="S128" s="211">
        <f t="shared" si="95"/>
        <v>0.33</v>
      </c>
      <c r="W128" s="42" t="s">
        <v>177</v>
      </c>
      <c r="Y128" s="212" t="s">
        <v>39</v>
      </c>
      <c r="Z128" s="212" t="s">
        <v>40</v>
      </c>
      <c r="AA128" s="53"/>
      <c r="AB128" s="212"/>
      <c r="AC128" s="212"/>
      <c r="AG128" s="41">
        <v>0.8</v>
      </c>
    </row>
    <row r="129" spans="3:33" s="41" customFormat="1">
      <c r="D129" s="204" t="str">
        <f t="shared" si="94"/>
        <v>RSDAHT</v>
      </c>
      <c r="E129" s="90"/>
      <c r="H129" s="173"/>
      <c r="I129" s="173"/>
      <c r="J129" s="42"/>
      <c r="K129" s="42"/>
      <c r="L129" s="81"/>
      <c r="M129" s="81"/>
      <c r="N129" s="81"/>
      <c r="O129" s="81"/>
      <c r="P129" s="81"/>
      <c r="Q129" s="184"/>
      <c r="R129" s="210">
        <v>31.54</v>
      </c>
      <c r="S129" s="211">
        <f t="shared" si="95"/>
        <v>0.67</v>
      </c>
      <c r="W129" s="41" t="s">
        <v>18</v>
      </c>
      <c r="AA129" s="53"/>
      <c r="AG129" s="41">
        <v>0.8</v>
      </c>
    </row>
    <row r="130" spans="3:33" s="41" customFormat="1">
      <c r="C130" s="42" t="s">
        <v>178</v>
      </c>
      <c r="D130" s="204" t="str">
        <f t="shared" si="94"/>
        <v>RSDELC</v>
      </c>
      <c r="E130" s="204"/>
      <c r="F130" s="204" t="s">
        <v>130</v>
      </c>
      <c r="G130" s="41">
        <v>2021</v>
      </c>
      <c r="H130" s="173">
        <v>1</v>
      </c>
      <c r="I130" s="173"/>
      <c r="J130" s="81">
        <f>AVERAGE(J90:J95)</f>
        <v>0.3526902233368015</v>
      </c>
      <c r="K130" s="213">
        <f>(1880+3000)/2*1/11</f>
        <v>221.81818181818201</v>
      </c>
      <c r="L130" s="213">
        <f>20/11</f>
        <v>1.8181818181818199</v>
      </c>
      <c r="M130" s="213">
        <f t="shared" si="99"/>
        <v>221.81818181818201</v>
      </c>
      <c r="N130" s="213">
        <f>L130</f>
        <v>1.8181818181818199</v>
      </c>
      <c r="O130" s="213">
        <f t="shared" si="100"/>
        <v>221.81818181818201</v>
      </c>
      <c r="P130" s="213">
        <f>N130</f>
        <v>1.8181818181818199</v>
      </c>
      <c r="Q130" s="182">
        <v>13</v>
      </c>
      <c r="R130" s="210">
        <v>31.54</v>
      </c>
      <c r="S130" s="211">
        <f t="shared" si="95"/>
        <v>0.33</v>
      </c>
      <c r="W130" s="42" t="s">
        <v>178</v>
      </c>
      <c r="Y130" s="212" t="s">
        <v>39</v>
      </c>
      <c r="Z130" s="212" t="s">
        <v>40</v>
      </c>
      <c r="AA130" s="53"/>
      <c r="AB130" s="212"/>
      <c r="AC130" s="212"/>
      <c r="AG130" s="41">
        <v>0.8</v>
      </c>
    </row>
    <row r="131" spans="3:33" s="41" customFormat="1">
      <c r="D131" s="204" t="str">
        <f t="shared" si="94"/>
        <v>RSDAHT</v>
      </c>
      <c r="E131" s="90"/>
      <c r="H131" s="173"/>
      <c r="I131" s="173"/>
      <c r="J131" s="42"/>
      <c r="K131" s="213"/>
      <c r="L131" s="213"/>
      <c r="M131" s="213"/>
      <c r="N131" s="213"/>
      <c r="O131" s="213"/>
      <c r="P131" s="213"/>
      <c r="Q131" s="184"/>
      <c r="R131" s="210">
        <v>31.54</v>
      </c>
      <c r="S131" s="211">
        <f t="shared" si="95"/>
        <v>0.67</v>
      </c>
      <c r="W131" s="41" t="s">
        <v>18</v>
      </c>
      <c r="AA131" s="53"/>
    </row>
    <row r="132" spans="3:33" s="41" customFormat="1">
      <c r="C132" s="42" t="s">
        <v>179</v>
      </c>
      <c r="D132" s="204" t="str">
        <f t="shared" si="94"/>
        <v>RSDELC</v>
      </c>
      <c r="E132" s="204"/>
      <c r="F132" s="204" t="s">
        <v>138</v>
      </c>
      <c r="G132" s="41">
        <v>2021</v>
      </c>
      <c r="H132" s="173">
        <v>1</v>
      </c>
      <c r="I132" s="173"/>
      <c r="J132" s="81">
        <f>AVERAGE(J96:J101)</f>
        <v>0.39440251845194868</v>
      </c>
      <c r="K132" s="213">
        <f t="shared" ref="K132:K136" si="101">K130</f>
        <v>221.81818181818201</v>
      </c>
      <c r="L132" s="213">
        <f>L130</f>
        <v>1.8181818181818199</v>
      </c>
      <c r="M132" s="213">
        <f t="shared" si="99"/>
        <v>221.81818181818201</v>
      </c>
      <c r="N132" s="213">
        <f>L132</f>
        <v>1.8181818181818199</v>
      </c>
      <c r="O132" s="213">
        <f t="shared" si="100"/>
        <v>221.81818181818201</v>
      </c>
      <c r="P132" s="213">
        <f>N132</f>
        <v>1.8181818181818199</v>
      </c>
      <c r="Q132" s="182">
        <v>13</v>
      </c>
      <c r="R132" s="210">
        <v>31.54</v>
      </c>
      <c r="S132" s="211">
        <f t="shared" si="95"/>
        <v>0.33</v>
      </c>
      <c r="W132" s="42" t="s">
        <v>179</v>
      </c>
      <c r="Y132" s="212" t="s">
        <v>39</v>
      </c>
      <c r="Z132" s="212" t="s">
        <v>40</v>
      </c>
      <c r="AA132" s="53"/>
      <c r="AB132" s="212"/>
      <c r="AC132" s="212"/>
    </row>
    <row r="133" spans="3:33" s="41" customFormat="1">
      <c r="D133" s="204" t="str">
        <f t="shared" si="94"/>
        <v>RSDAHT</v>
      </c>
      <c r="E133" s="90"/>
      <c r="H133" s="173"/>
      <c r="I133" s="173"/>
      <c r="J133" s="42"/>
      <c r="K133" s="213"/>
      <c r="L133" s="213"/>
      <c r="M133" s="213"/>
      <c r="N133" s="213"/>
      <c r="O133" s="213"/>
      <c r="P133" s="213"/>
      <c r="Q133" s="184"/>
      <c r="R133" s="210">
        <v>31.54</v>
      </c>
      <c r="S133" s="211">
        <f t="shared" si="95"/>
        <v>0.67</v>
      </c>
      <c r="W133" s="41" t="s">
        <v>18</v>
      </c>
      <c r="AA133" s="53"/>
    </row>
    <row r="134" spans="3:33" s="41" customFormat="1">
      <c r="C134" s="42" t="s">
        <v>180</v>
      </c>
      <c r="D134" s="204" t="str">
        <f t="shared" si="94"/>
        <v>RSDELC</v>
      </c>
      <c r="E134" s="204"/>
      <c r="F134" s="204" t="s">
        <v>145</v>
      </c>
      <c r="G134" s="41">
        <v>2021</v>
      </c>
      <c r="H134" s="173">
        <v>1</v>
      </c>
      <c r="I134" s="173"/>
      <c r="J134" s="81">
        <f>AVERAGE(J102:J107)</f>
        <v>0.20275386635117854</v>
      </c>
      <c r="K134" s="213">
        <f t="shared" si="101"/>
        <v>221.81818181818201</v>
      </c>
      <c r="L134" s="213">
        <f t="shared" ref="L134:P134" si="102">L132</f>
        <v>1.8181818181818199</v>
      </c>
      <c r="M134" s="213">
        <f>K134</f>
        <v>221.81818181818201</v>
      </c>
      <c r="N134" s="213">
        <f t="shared" si="102"/>
        <v>1.8181818181818199</v>
      </c>
      <c r="O134" s="213">
        <f>M134</f>
        <v>221.81818181818201</v>
      </c>
      <c r="P134" s="213">
        <f t="shared" si="102"/>
        <v>1.8181818181818199</v>
      </c>
      <c r="Q134" s="182">
        <v>13</v>
      </c>
      <c r="R134" s="210">
        <v>31.54</v>
      </c>
      <c r="S134" s="211">
        <f t="shared" si="95"/>
        <v>0.33</v>
      </c>
      <c r="W134" s="42" t="s">
        <v>180</v>
      </c>
      <c r="Y134" s="212" t="s">
        <v>39</v>
      </c>
      <c r="Z134" s="212" t="s">
        <v>40</v>
      </c>
      <c r="AA134" s="53"/>
      <c r="AB134" s="212"/>
      <c r="AC134" s="212"/>
    </row>
    <row r="135" spans="3:33" s="41" customFormat="1">
      <c r="D135" s="204" t="str">
        <f t="shared" si="94"/>
        <v>RSDAHT</v>
      </c>
      <c r="E135" s="90"/>
      <c r="H135" s="173"/>
      <c r="I135" s="173"/>
      <c r="J135" s="42"/>
      <c r="K135" s="213"/>
      <c r="L135" s="213"/>
      <c r="M135" s="213"/>
      <c r="N135" s="213"/>
      <c r="O135" s="213"/>
      <c r="P135" s="213"/>
      <c r="Q135" s="184"/>
      <c r="R135" s="210">
        <v>31.54</v>
      </c>
      <c r="S135" s="211">
        <f t="shared" si="95"/>
        <v>0.67</v>
      </c>
      <c r="W135" s="41" t="s">
        <v>18</v>
      </c>
      <c r="AA135" s="53"/>
    </row>
    <row r="136" spans="3:33" s="41" customFormat="1">
      <c r="C136" s="42" t="s">
        <v>181</v>
      </c>
      <c r="D136" s="204" t="str">
        <f t="shared" si="94"/>
        <v>RSDELC</v>
      </c>
      <c r="E136" s="204"/>
      <c r="F136" s="204" t="s">
        <v>152</v>
      </c>
      <c r="G136" s="41">
        <v>2021</v>
      </c>
      <c r="H136" s="173">
        <v>1</v>
      </c>
      <c r="I136" s="173"/>
      <c r="J136" s="81">
        <f>AVERAGE(J108:J113)</f>
        <v>0.60387781956686315</v>
      </c>
      <c r="K136" s="213">
        <f t="shared" si="101"/>
        <v>221.81818181818201</v>
      </c>
      <c r="L136" s="213">
        <f t="shared" ref="L136:P136" si="103">L134</f>
        <v>1.8181818181818199</v>
      </c>
      <c r="M136" s="213">
        <f>K136</f>
        <v>221.81818181818201</v>
      </c>
      <c r="N136" s="213">
        <f t="shared" si="103"/>
        <v>1.8181818181818199</v>
      </c>
      <c r="O136" s="213">
        <f>M136</f>
        <v>221.81818181818201</v>
      </c>
      <c r="P136" s="213">
        <f t="shared" si="103"/>
        <v>1.8181818181818199</v>
      </c>
      <c r="Q136" s="182">
        <v>13</v>
      </c>
      <c r="R136" s="210">
        <v>31.54</v>
      </c>
      <c r="S136" s="211">
        <f t="shared" si="95"/>
        <v>0.33</v>
      </c>
      <c r="W136" s="42" t="s">
        <v>181</v>
      </c>
      <c r="Y136" s="212" t="s">
        <v>39</v>
      </c>
      <c r="Z136" s="212" t="s">
        <v>40</v>
      </c>
      <c r="AA136" s="53"/>
      <c r="AB136" s="212"/>
      <c r="AC136" s="212"/>
    </row>
    <row r="137" spans="3:33" s="41" customFormat="1">
      <c r="D137" s="204" t="str">
        <f t="shared" si="94"/>
        <v>RSDAHT</v>
      </c>
      <c r="E137" s="90"/>
      <c r="H137" s="173"/>
      <c r="I137" s="173"/>
      <c r="J137" s="42"/>
      <c r="K137" s="81"/>
      <c r="L137" s="81"/>
      <c r="M137" s="81"/>
      <c r="N137" s="81"/>
      <c r="O137" s="81"/>
      <c r="P137" s="81"/>
      <c r="Q137" s="184"/>
      <c r="R137" s="210">
        <v>31.54</v>
      </c>
      <c r="S137" s="211">
        <f t="shared" si="95"/>
        <v>0.67</v>
      </c>
    </row>
    <row r="138" spans="3:33">
      <c r="S138" s="211"/>
    </row>
    <row r="150" spans="3:11">
      <c r="F150" s="63" t="s">
        <v>10</v>
      </c>
    </row>
    <row r="151" spans="3:11">
      <c r="C151" s="13" t="s">
        <v>12</v>
      </c>
      <c r="D151" s="13" t="s">
        <v>13</v>
      </c>
      <c r="E151" s="43" t="s">
        <v>14</v>
      </c>
      <c r="F151" s="13" t="s">
        <v>15</v>
      </c>
      <c r="G151" s="44" t="s">
        <v>16</v>
      </c>
      <c r="H151" s="45" t="s">
        <v>18</v>
      </c>
      <c r="I151" s="45" t="s">
        <v>18</v>
      </c>
      <c r="J151" s="45" t="s">
        <v>19</v>
      </c>
      <c r="K151" s="82" t="s">
        <v>18</v>
      </c>
    </row>
    <row r="152" spans="3:11" ht="112.5">
      <c r="C152" t="s">
        <v>35</v>
      </c>
      <c r="D152" t="s">
        <v>36</v>
      </c>
      <c r="F152" t="s">
        <v>37</v>
      </c>
      <c r="G152" s="41">
        <v>2021</v>
      </c>
      <c r="H152" s="173">
        <v>0.6</v>
      </c>
      <c r="I152" s="173"/>
      <c r="J152" s="42">
        <v>0.19112294614153599</v>
      </c>
      <c r="K152" s="57" t="s">
        <v>182</v>
      </c>
    </row>
    <row r="153" spans="3:11" ht="112.5">
      <c r="C153" t="s">
        <v>41</v>
      </c>
      <c r="D153" t="s">
        <v>36</v>
      </c>
      <c r="F153" t="s">
        <v>37</v>
      </c>
      <c r="G153" s="41">
        <v>2021</v>
      </c>
      <c r="H153" s="173">
        <v>0.78</v>
      </c>
      <c r="I153" s="173"/>
      <c r="J153" s="42">
        <v>0.19112294614153599</v>
      </c>
      <c r="K153" s="57" t="s">
        <v>182</v>
      </c>
    </row>
    <row r="154" spans="3:11" ht="112.5">
      <c r="C154" t="s">
        <v>42</v>
      </c>
      <c r="D154" t="s">
        <v>36</v>
      </c>
      <c r="F154" t="s">
        <v>37</v>
      </c>
      <c r="G154" s="41">
        <v>2021</v>
      </c>
      <c r="H154" s="173">
        <v>0.85</v>
      </c>
      <c r="I154" s="173"/>
      <c r="J154" s="42">
        <v>0.19112294614153599</v>
      </c>
      <c r="K154" s="57" t="s">
        <v>182</v>
      </c>
    </row>
    <row r="155" spans="3:11" ht="112.5">
      <c r="C155" t="s">
        <v>43</v>
      </c>
      <c r="D155" t="s">
        <v>44</v>
      </c>
      <c r="F155" t="s">
        <v>37</v>
      </c>
      <c r="G155" s="41">
        <v>2021</v>
      </c>
      <c r="H155" s="173">
        <v>0.62</v>
      </c>
      <c r="I155" s="173"/>
      <c r="J155" s="42">
        <v>0.27644125731911001</v>
      </c>
      <c r="K155" s="57" t="s">
        <v>182</v>
      </c>
    </row>
    <row r="156" spans="3:11" ht="112.5">
      <c r="C156" t="s">
        <v>45</v>
      </c>
      <c r="D156" t="s">
        <v>44</v>
      </c>
      <c r="F156" t="s">
        <v>37</v>
      </c>
      <c r="G156" s="41">
        <v>2021</v>
      </c>
      <c r="H156" s="173">
        <v>0.8</v>
      </c>
      <c r="I156" s="173"/>
      <c r="J156" s="42">
        <v>0.27644125731911001</v>
      </c>
      <c r="K156" s="57" t="s">
        <v>182</v>
      </c>
    </row>
    <row r="157" spans="3:11" ht="112.5">
      <c r="C157" t="s">
        <v>46</v>
      </c>
      <c r="D157" t="s">
        <v>44</v>
      </c>
      <c r="F157" t="s">
        <v>37</v>
      </c>
      <c r="G157" s="41">
        <v>2021</v>
      </c>
      <c r="H157" s="173">
        <v>0.9</v>
      </c>
      <c r="I157" s="173"/>
      <c r="J157" s="42">
        <v>0.27644125731911001</v>
      </c>
      <c r="K157" s="57" t="s">
        <v>182</v>
      </c>
    </row>
    <row r="158" spans="3:11" ht="112.5">
      <c r="C158" t="s">
        <v>47</v>
      </c>
      <c r="D158" t="s">
        <v>48</v>
      </c>
      <c r="F158" t="s">
        <v>37</v>
      </c>
      <c r="G158" s="41">
        <v>2021</v>
      </c>
      <c r="H158" s="173">
        <v>1</v>
      </c>
      <c r="I158" s="173"/>
      <c r="J158" s="42">
        <v>0.24731398856456499</v>
      </c>
      <c r="K158" s="57" t="s">
        <v>182</v>
      </c>
    </row>
    <row r="159" spans="3:11" ht="112.5">
      <c r="C159" t="s">
        <v>49</v>
      </c>
      <c r="D159" s="1" t="s">
        <v>48</v>
      </c>
      <c r="E159" s="1"/>
      <c r="F159" t="s">
        <v>37</v>
      </c>
      <c r="G159" s="41">
        <v>2021</v>
      </c>
      <c r="H159" s="173">
        <v>1</v>
      </c>
      <c r="I159" s="173"/>
      <c r="J159" s="42">
        <v>0.65574564051018502</v>
      </c>
      <c r="K159" s="57" t="s">
        <v>182</v>
      </c>
    </row>
    <row r="160" spans="3:11">
      <c r="D160" s="174" t="str">
        <f>[2]COMM!$E$19</f>
        <v>RSDAHT</v>
      </c>
      <c r="H160" s="173"/>
      <c r="I160" s="173"/>
    </row>
    <row r="161" spans="3:11" ht="112.5">
      <c r="C161" t="s">
        <v>52</v>
      </c>
      <c r="D161" t="s">
        <v>53</v>
      </c>
      <c r="F161" t="s">
        <v>37</v>
      </c>
      <c r="G161" s="41">
        <v>2021</v>
      </c>
      <c r="H161" s="173">
        <v>0.5</v>
      </c>
      <c r="I161" s="173"/>
      <c r="J161" s="42">
        <v>0.32209180925706099</v>
      </c>
      <c r="K161" s="57" t="s">
        <v>182</v>
      </c>
    </row>
    <row r="162" spans="3:11" ht="112.5">
      <c r="C162" t="s">
        <v>63</v>
      </c>
      <c r="D162" t="s">
        <v>64</v>
      </c>
      <c r="F162" t="s">
        <v>37</v>
      </c>
      <c r="G162" s="41">
        <v>2021</v>
      </c>
      <c r="H162" s="173">
        <v>0.5</v>
      </c>
      <c r="I162" s="173"/>
      <c r="J162" s="42">
        <v>0.492984723712865</v>
      </c>
      <c r="K162" s="57" t="s">
        <v>182</v>
      </c>
    </row>
    <row r="163" spans="3:11" ht="112.5">
      <c r="C163" s="105" t="s">
        <v>66</v>
      </c>
      <c r="D163" s="105" t="s">
        <v>48</v>
      </c>
      <c r="E163" s="105"/>
      <c r="F163" t="s">
        <v>37</v>
      </c>
      <c r="G163" s="41">
        <v>2021</v>
      </c>
      <c r="H163" s="175">
        <v>0.75</v>
      </c>
      <c r="I163" s="180"/>
      <c r="J163" s="42">
        <v>0.65574564051018502</v>
      </c>
      <c r="K163" s="57" t="s">
        <v>182</v>
      </c>
    </row>
    <row r="164" spans="3:11">
      <c r="D164" s="105" t="s">
        <v>64</v>
      </c>
      <c r="E164" s="105"/>
      <c r="H164" s="175"/>
      <c r="I164" s="180"/>
    </row>
    <row r="165" spans="3:11" ht="112.5">
      <c r="C165" s="105" t="s">
        <v>69</v>
      </c>
      <c r="D165" s="105" t="s">
        <v>36</v>
      </c>
      <c r="E165" s="105"/>
      <c r="F165" t="s">
        <v>37</v>
      </c>
      <c r="G165" s="41">
        <v>2021</v>
      </c>
      <c r="H165" s="175">
        <v>0.67500000000000004</v>
      </c>
      <c r="I165" s="180"/>
      <c r="J165" s="42">
        <v>0.65574564051018502</v>
      </c>
      <c r="K165" s="57" t="s">
        <v>182</v>
      </c>
    </row>
    <row r="166" spans="3:11">
      <c r="D166" s="105" t="s">
        <v>64</v>
      </c>
      <c r="E166" s="105"/>
      <c r="H166" s="175"/>
      <c r="I166" s="180"/>
    </row>
    <row r="167" spans="3:11" ht="112.5">
      <c r="C167" s="105" t="s">
        <v>72</v>
      </c>
      <c r="D167" s="105" t="s">
        <v>48</v>
      </c>
      <c r="E167" s="105"/>
      <c r="F167" t="s">
        <v>37</v>
      </c>
      <c r="G167" s="41">
        <v>2021</v>
      </c>
      <c r="H167" s="175">
        <v>0.9</v>
      </c>
      <c r="I167" s="180"/>
      <c r="J167" s="42">
        <v>0.65574564051018502</v>
      </c>
      <c r="K167" s="57" t="s">
        <v>182</v>
      </c>
    </row>
    <row r="168" spans="3:11">
      <c r="D168" s="105" t="s">
        <v>44</v>
      </c>
      <c r="E168" s="105"/>
      <c r="H168" s="175"/>
      <c r="I168" s="180"/>
    </row>
    <row r="169" spans="3:11" ht="112.5">
      <c r="C169" s="105" t="s">
        <v>75</v>
      </c>
      <c r="D169" s="105" t="s">
        <v>48</v>
      </c>
      <c r="E169" s="105"/>
      <c r="F169" t="s">
        <v>37</v>
      </c>
      <c r="G169" s="41">
        <v>2021</v>
      </c>
      <c r="H169" s="175">
        <v>0.89</v>
      </c>
      <c r="I169" s="180"/>
      <c r="J169" s="42">
        <v>0.65574564051018502</v>
      </c>
      <c r="K169" s="57" t="s">
        <v>182</v>
      </c>
    </row>
    <row r="170" spans="3:11">
      <c r="D170" s="105" t="s">
        <v>36</v>
      </c>
      <c r="E170" s="105"/>
    </row>
    <row r="171" spans="3:11" ht="112.5">
      <c r="C171" t="s">
        <v>76</v>
      </c>
      <c r="D171" t="s">
        <v>36</v>
      </c>
      <c r="F171" t="s">
        <v>77</v>
      </c>
      <c r="G171" s="41">
        <v>2021</v>
      </c>
      <c r="H171" s="173">
        <v>0.6</v>
      </c>
      <c r="I171" s="173"/>
      <c r="J171" s="42">
        <v>0.107589579145215</v>
      </c>
      <c r="K171" s="57" t="s">
        <v>182</v>
      </c>
    </row>
    <row r="172" spans="3:11" ht="112.5">
      <c r="C172" t="s">
        <v>78</v>
      </c>
      <c r="D172" t="s">
        <v>36</v>
      </c>
      <c r="F172" t="s">
        <v>77</v>
      </c>
      <c r="G172" s="41">
        <v>2021</v>
      </c>
      <c r="H172" s="173">
        <v>0.78</v>
      </c>
      <c r="I172" s="173"/>
      <c r="J172" s="42">
        <v>0.107589579145215</v>
      </c>
      <c r="K172" s="57" t="s">
        <v>182</v>
      </c>
    </row>
    <row r="173" spans="3:11" ht="112.5">
      <c r="C173" t="s">
        <v>79</v>
      </c>
      <c r="D173" t="s">
        <v>36</v>
      </c>
      <c r="F173" t="s">
        <v>77</v>
      </c>
      <c r="G173" s="41">
        <v>2021</v>
      </c>
      <c r="H173" s="173">
        <v>0.85</v>
      </c>
      <c r="I173" s="173"/>
      <c r="J173" s="42">
        <v>0.107589579145215</v>
      </c>
      <c r="K173" s="57" t="s">
        <v>182</v>
      </c>
    </row>
    <row r="174" spans="3:11" ht="112.5">
      <c r="C174" t="s">
        <v>80</v>
      </c>
      <c r="D174" t="s">
        <v>44</v>
      </c>
      <c r="F174" t="s">
        <v>77</v>
      </c>
      <c r="G174" s="41">
        <v>2021</v>
      </c>
      <c r="H174" s="173">
        <v>0.62</v>
      </c>
      <c r="I174" s="173"/>
      <c r="J174" s="42">
        <v>0.14800955955630901</v>
      </c>
      <c r="K174" s="57" t="s">
        <v>182</v>
      </c>
    </row>
    <row r="175" spans="3:11" ht="112.5">
      <c r="C175" t="s">
        <v>81</v>
      </c>
      <c r="D175" t="s">
        <v>44</v>
      </c>
      <c r="F175" t="s">
        <v>77</v>
      </c>
      <c r="G175" s="41">
        <v>2021</v>
      </c>
      <c r="H175" s="173">
        <v>0.8</v>
      </c>
      <c r="I175" s="173"/>
      <c r="J175" s="42">
        <v>0.14800955955630901</v>
      </c>
      <c r="K175" s="57" t="s">
        <v>182</v>
      </c>
    </row>
    <row r="176" spans="3:11" ht="112.5">
      <c r="C176" t="s">
        <v>82</v>
      </c>
      <c r="D176" t="s">
        <v>44</v>
      </c>
      <c r="F176" t="s">
        <v>77</v>
      </c>
      <c r="G176" s="41">
        <v>2021</v>
      </c>
      <c r="H176" s="173">
        <v>0.9</v>
      </c>
      <c r="I176" s="173"/>
      <c r="J176" s="42">
        <v>0.14800955955630901</v>
      </c>
      <c r="K176" s="57" t="s">
        <v>182</v>
      </c>
    </row>
    <row r="177" spans="3:11" ht="112.5">
      <c r="C177" t="s">
        <v>83</v>
      </c>
      <c r="D177" t="s">
        <v>48</v>
      </c>
      <c r="F177" t="s">
        <v>77</v>
      </c>
      <c r="G177" s="41">
        <v>2021</v>
      </c>
      <c r="H177" s="173">
        <v>1</v>
      </c>
      <c r="I177" s="173"/>
      <c r="J177" s="42">
        <v>0.115846759587079</v>
      </c>
      <c r="K177" s="57" t="s">
        <v>182</v>
      </c>
    </row>
    <row r="178" spans="3:11" ht="112.5">
      <c r="C178" t="s">
        <v>84</v>
      </c>
      <c r="D178" s="1" t="s">
        <v>48</v>
      </c>
      <c r="E178" s="1"/>
      <c r="F178" s="130" t="s">
        <v>77</v>
      </c>
      <c r="G178" s="41">
        <v>2021</v>
      </c>
      <c r="H178" s="173">
        <v>1</v>
      </c>
      <c r="I178" s="173"/>
      <c r="J178" s="42">
        <v>0.211062502382414</v>
      </c>
      <c r="K178" s="57" t="s">
        <v>182</v>
      </c>
    </row>
    <row r="179" spans="3:11">
      <c r="D179" s="174" t="str">
        <f>[2]COMM!$E$19</f>
        <v>RSDAHT</v>
      </c>
      <c r="H179" s="173"/>
      <c r="I179" s="173"/>
    </row>
    <row r="180" spans="3:11" ht="112.5">
      <c r="C180" t="s">
        <v>85</v>
      </c>
      <c r="D180" t="s">
        <v>53</v>
      </c>
      <c r="F180" t="s">
        <v>77</v>
      </c>
      <c r="G180" s="41">
        <v>2021</v>
      </c>
      <c r="H180" s="173">
        <v>0.5</v>
      </c>
      <c r="I180" s="173"/>
      <c r="J180" s="42">
        <v>0.160815666952592</v>
      </c>
      <c r="K180" s="57" t="s">
        <v>182</v>
      </c>
    </row>
    <row r="181" spans="3:11" ht="112.5">
      <c r="C181" t="s">
        <v>86</v>
      </c>
      <c r="D181" t="s">
        <v>64</v>
      </c>
      <c r="F181" t="s">
        <v>77</v>
      </c>
      <c r="G181" s="41">
        <v>2021</v>
      </c>
      <c r="H181" s="173">
        <v>0.5</v>
      </c>
      <c r="I181" s="173"/>
      <c r="J181" s="42">
        <v>6.2824828853957904E-2</v>
      </c>
      <c r="K181" s="57" t="s">
        <v>182</v>
      </c>
    </row>
    <row r="182" spans="3:11" ht="112.5">
      <c r="C182" s="105" t="s">
        <v>87</v>
      </c>
      <c r="D182" s="105" t="s">
        <v>48</v>
      </c>
      <c r="E182" s="105"/>
      <c r="F182" t="s">
        <v>77</v>
      </c>
      <c r="G182" s="41">
        <v>2021</v>
      </c>
      <c r="H182" s="173">
        <v>0.75</v>
      </c>
      <c r="I182" s="173"/>
      <c r="J182" s="42">
        <v>0.211062502382414</v>
      </c>
      <c r="K182" s="57" t="s">
        <v>182</v>
      </c>
    </row>
    <row r="183" spans="3:11">
      <c r="D183" s="105" t="s">
        <v>64</v>
      </c>
      <c r="E183" s="105"/>
      <c r="H183" s="173"/>
      <c r="I183" s="173"/>
    </row>
    <row r="184" spans="3:11" ht="112.5">
      <c r="C184" s="105" t="s">
        <v>88</v>
      </c>
      <c r="D184" s="105" t="s">
        <v>36</v>
      </c>
      <c r="E184" s="105"/>
      <c r="F184" t="s">
        <v>77</v>
      </c>
      <c r="G184" s="41">
        <v>2021</v>
      </c>
      <c r="H184" s="173">
        <v>0.67500000000000004</v>
      </c>
      <c r="I184" s="173"/>
      <c r="J184" s="42">
        <v>0.211062502382414</v>
      </c>
      <c r="K184" s="57" t="s">
        <v>182</v>
      </c>
    </row>
    <row r="185" spans="3:11">
      <c r="D185" s="105" t="s">
        <v>64</v>
      </c>
      <c r="E185" s="105"/>
      <c r="H185" s="173"/>
      <c r="I185" s="173"/>
    </row>
    <row r="186" spans="3:11" ht="112.5">
      <c r="C186" s="105" t="s">
        <v>89</v>
      </c>
      <c r="D186" s="105" t="s">
        <v>48</v>
      </c>
      <c r="E186" s="105"/>
      <c r="F186" t="s">
        <v>77</v>
      </c>
      <c r="G186" s="41">
        <v>2021</v>
      </c>
      <c r="H186" s="173">
        <v>0.9</v>
      </c>
      <c r="I186" s="173"/>
      <c r="J186" s="42">
        <v>0.211062502382414</v>
      </c>
      <c r="K186" s="57" t="s">
        <v>182</v>
      </c>
    </row>
    <row r="187" spans="3:11">
      <c r="D187" s="105" t="s">
        <v>44</v>
      </c>
      <c r="E187" s="105"/>
      <c r="H187" s="173"/>
      <c r="I187" s="173"/>
    </row>
    <row r="188" spans="3:11" ht="112.5">
      <c r="C188" s="105" t="s">
        <v>90</v>
      </c>
      <c r="D188" s="105" t="s">
        <v>48</v>
      </c>
      <c r="E188" s="105"/>
      <c r="F188" t="s">
        <v>77</v>
      </c>
      <c r="G188" s="41">
        <v>2021</v>
      </c>
      <c r="H188" s="173">
        <v>0.89</v>
      </c>
      <c r="I188" s="173"/>
      <c r="J188" s="42">
        <v>0.211062502382414</v>
      </c>
      <c r="K188" s="57" t="s">
        <v>182</v>
      </c>
    </row>
    <row r="189" spans="3:11">
      <c r="D189" s="105" t="s">
        <v>36</v>
      </c>
      <c r="E189" s="105"/>
    </row>
    <row r="190" spans="3:11" ht="112.5">
      <c r="C190" t="s">
        <v>91</v>
      </c>
      <c r="D190" t="s">
        <v>36</v>
      </c>
      <c r="F190" t="s">
        <v>92</v>
      </c>
      <c r="G190" s="41">
        <v>2021</v>
      </c>
      <c r="H190" s="42">
        <v>0.6</v>
      </c>
      <c r="J190" s="42">
        <v>0.114692556417616</v>
      </c>
      <c r="K190" s="57" t="s">
        <v>182</v>
      </c>
    </row>
    <row r="191" spans="3:11" ht="112.5">
      <c r="C191" t="s">
        <v>93</v>
      </c>
      <c r="D191" t="s">
        <v>36</v>
      </c>
      <c r="F191" t="s">
        <v>92</v>
      </c>
      <c r="G191" s="41">
        <v>2021</v>
      </c>
      <c r="H191" s="42">
        <v>0.78</v>
      </c>
      <c r="J191" s="42">
        <v>0.114692556417616</v>
      </c>
      <c r="K191" s="57" t="s">
        <v>182</v>
      </c>
    </row>
    <row r="192" spans="3:11" ht="112.5">
      <c r="C192" t="s">
        <v>94</v>
      </c>
      <c r="D192" t="s">
        <v>36</v>
      </c>
      <c r="F192" t="s">
        <v>92</v>
      </c>
      <c r="G192" s="41">
        <v>2021</v>
      </c>
      <c r="H192" s="42">
        <v>0.85</v>
      </c>
      <c r="J192" s="42">
        <v>0.114692556417616</v>
      </c>
      <c r="K192" s="57" t="s">
        <v>182</v>
      </c>
    </row>
    <row r="193" spans="3:11" ht="112.5">
      <c r="C193" t="s">
        <v>95</v>
      </c>
      <c r="D193" t="s">
        <v>44</v>
      </c>
      <c r="F193" t="s">
        <v>92</v>
      </c>
      <c r="G193" s="41">
        <v>2021</v>
      </c>
      <c r="H193" s="42">
        <v>0.62</v>
      </c>
      <c r="J193" s="42">
        <v>0.18900772326984999</v>
      </c>
      <c r="K193" s="57" t="s">
        <v>182</v>
      </c>
    </row>
    <row r="194" spans="3:11" ht="112.5">
      <c r="C194" t="s">
        <v>96</v>
      </c>
      <c r="D194" t="s">
        <v>44</v>
      </c>
      <c r="F194" t="s">
        <v>92</v>
      </c>
      <c r="G194" s="41">
        <v>2021</v>
      </c>
      <c r="H194" s="42">
        <v>0.8</v>
      </c>
      <c r="J194" s="42">
        <v>0.18900772326984999</v>
      </c>
      <c r="K194" s="57" t="s">
        <v>182</v>
      </c>
    </row>
    <row r="195" spans="3:11" ht="112.5">
      <c r="C195" t="s">
        <v>97</v>
      </c>
      <c r="D195" t="s">
        <v>44</v>
      </c>
      <c r="F195" t="s">
        <v>92</v>
      </c>
      <c r="G195" s="41">
        <v>2021</v>
      </c>
      <c r="H195" s="42">
        <v>0.9</v>
      </c>
      <c r="J195" s="42">
        <v>0.18900772326984999</v>
      </c>
      <c r="K195" s="57" t="s">
        <v>182</v>
      </c>
    </row>
    <row r="196" spans="3:11" ht="112.5">
      <c r="C196" t="s">
        <v>98</v>
      </c>
      <c r="D196" t="s">
        <v>48</v>
      </c>
      <c r="F196" t="s">
        <v>92</v>
      </c>
      <c r="G196" s="41">
        <v>2021</v>
      </c>
      <c r="H196" s="42">
        <v>1</v>
      </c>
      <c r="J196" s="42">
        <v>0.14303460167047699</v>
      </c>
      <c r="K196" s="57" t="s">
        <v>182</v>
      </c>
    </row>
    <row r="197" spans="3:11" ht="112.5">
      <c r="C197" t="s">
        <v>99</v>
      </c>
      <c r="D197" s="176" t="s">
        <v>48</v>
      </c>
      <c r="E197" s="176"/>
      <c r="F197" s="130" t="s">
        <v>92</v>
      </c>
      <c r="G197" s="41">
        <v>2021</v>
      </c>
      <c r="H197" s="42">
        <v>1</v>
      </c>
      <c r="J197" s="42">
        <v>0.31725129163958299</v>
      </c>
      <c r="K197" s="57" t="s">
        <v>182</v>
      </c>
    </row>
    <row r="198" spans="3:11">
      <c r="D198" s="174" t="str">
        <f>[2]COMM!$E$19</f>
        <v>RSDAHT</v>
      </c>
    </row>
    <row r="199" spans="3:11" ht="112.5">
      <c r="C199" t="s">
        <v>100</v>
      </c>
      <c r="D199" t="s">
        <v>53</v>
      </c>
      <c r="F199" t="s">
        <v>92</v>
      </c>
      <c r="G199" s="41">
        <v>2021</v>
      </c>
      <c r="H199" s="42">
        <v>0.5</v>
      </c>
      <c r="J199" s="42">
        <v>0.21983667250248501</v>
      </c>
      <c r="K199" s="57" t="s">
        <v>182</v>
      </c>
    </row>
    <row r="200" spans="3:11" ht="112.5">
      <c r="C200" t="s">
        <v>101</v>
      </c>
      <c r="D200" t="s">
        <v>64</v>
      </c>
      <c r="F200" t="s">
        <v>92</v>
      </c>
      <c r="G200" s="41">
        <v>2021</v>
      </c>
      <c r="H200" s="42">
        <v>0.5</v>
      </c>
      <c r="J200" s="42">
        <v>0.14156404783695201</v>
      </c>
      <c r="K200" s="57" t="s">
        <v>182</v>
      </c>
    </row>
    <row r="201" spans="3:11" ht="112.5">
      <c r="C201" s="105" t="s">
        <v>102</v>
      </c>
      <c r="D201" s="105" t="s">
        <v>48</v>
      </c>
      <c r="E201" s="105"/>
      <c r="F201" t="s">
        <v>92</v>
      </c>
      <c r="G201" s="41">
        <v>2021</v>
      </c>
      <c r="H201" s="42">
        <v>0.75</v>
      </c>
      <c r="J201" s="42">
        <v>0.31725129163958299</v>
      </c>
      <c r="K201" s="57" t="s">
        <v>182</v>
      </c>
    </row>
    <row r="202" spans="3:11">
      <c r="D202" s="105" t="s">
        <v>64</v>
      </c>
      <c r="E202" s="105"/>
    </row>
    <row r="203" spans="3:11" ht="112.5">
      <c r="C203" s="105" t="s">
        <v>103</v>
      </c>
      <c r="D203" s="105" t="s">
        <v>36</v>
      </c>
      <c r="E203" s="105"/>
      <c r="F203" t="s">
        <v>92</v>
      </c>
      <c r="G203" s="41">
        <v>2021</v>
      </c>
      <c r="H203" s="42">
        <v>0.67500000000000004</v>
      </c>
      <c r="J203" s="42">
        <v>0.31725129163958299</v>
      </c>
      <c r="K203" s="57" t="s">
        <v>182</v>
      </c>
    </row>
    <row r="204" spans="3:11">
      <c r="D204" s="105" t="s">
        <v>64</v>
      </c>
      <c r="E204" s="105"/>
    </row>
    <row r="205" spans="3:11" ht="112.5">
      <c r="C205" s="105" t="s">
        <v>104</v>
      </c>
      <c r="D205" s="105" t="s">
        <v>48</v>
      </c>
      <c r="E205" s="105"/>
      <c r="F205" t="s">
        <v>92</v>
      </c>
      <c r="G205" s="41">
        <v>2021</v>
      </c>
      <c r="H205" s="42">
        <v>0.9</v>
      </c>
      <c r="J205" s="42">
        <v>0.31725129163958299</v>
      </c>
      <c r="K205" s="57" t="s">
        <v>182</v>
      </c>
    </row>
    <row r="206" spans="3:11">
      <c r="D206" s="105" t="s">
        <v>44</v>
      </c>
      <c r="E206" s="105"/>
    </row>
    <row r="207" spans="3:11" ht="112.5">
      <c r="C207" s="105" t="s">
        <v>105</v>
      </c>
      <c r="D207" s="105" t="s">
        <v>48</v>
      </c>
      <c r="E207" s="105"/>
      <c r="F207" t="s">
        <v>92</v>
      </c>
      <c r="G207" s="41">
        <v>2021</v>
      </c>
      <c r="H207" s="42">
        <v>0.89</v>
      </c>
      <c r="J207" s="42">
        <v>0.31725129163958299</v>
      </c>
      <c r="K207" s="57" t="s">
        <v>182</v>
      </c>
    </row>
    <row r="208" spans="3:11">
      <c r="D208" s="105" t="s">
        <v>36</v>
      </c>
      <c r="E208" s="105"/>
    </row>
    <row r="209" spans="3:11" ht="112.5">
      <c r="C209" t="s">
        <v>106</v>
      </c>
      <c r="D209" t="s">
        <v>36</v>
      </c>
      <c r="F209" t="s">
        <v>107</v>
      </c>
      <c r="G209" s="41">
        <v>2021</v>
      </c>
      <c r="H209" s="42">
        <v>0.6</v>
      </c>
      <c r="J209" s="42">
        <v>0.286893901186416</v>
      </c>
      <c r="K209" s="57" t="s">
        <v>182</v>
      </c>
    </row>
    <row r="210" spans="3:11" ht="112.5">
      <c r="C210" t="s">
        <v>108</v>
      </c>
      <c r="D210" t="s">
        <v>36</v>
      </c>
      <c r="F210" t="s">
        <v>107</v>
      </c>
      <c r="G210" s="41">
        <v>2021</v>
      </c>
      <c r="H210" s="42">
        <v>0.78</v>
      </c>
      <c r="J210" s="42">
        <v>0.286893901186416</v>
      </c>
      <c r="K210" s="57" t="s">
        <v>182</v>
      </c>
    </row>
    <row r="211" spans="3:11" ht="112.5">
      <c r="C211" t="s">
        <v>109</v>
      </c>
      <c r="D211" t="s">
        <v>36</v>
      </c>
      <c r="F211" t="s">
        <v>107</v>
      </c>
      <c r="G211" s="41">
        <v>2021</v>
      </c>
      <c r="H211" s="42">
        <v>0.85</v>
      </c>
      <c r="J211" s="42">
        <v>0.286893901186416</v>
      </c>
      <c r="K211" s="57" t="s">
        <v>182</v>
      </c>
    </row>
    <row r="212" spans="3:11" ht="112.5">
      <c r="C212" t="s">
        <v>110</v>
      </c>
      <c r="D212" t="s">
        <v>44</v>
      </c>
      <c r="F212" t="s">
        <v>107</v>
      </c>
      <c r="G212" s="41">
        <v>2021</v>
      </c>
      <c r="H212" s="42">
        <v>0.62</v>
      </c>
      <c r="J212" s="42">
        <v>0.54266563522157496</v>
      </c>
      <c r="K212" s="57" t="s">
        <v>182</v>
      </c>
    </row>
    <row r="213" spans="3:11" ht="112.5">
      <c r="C213" t="s">
        <v>111</v>
      </c>
      <c r="D213" t="s">
        <v>44</v>
      </c>
      <c r="F213" t="s">
        <v>107</v>
      </c>
      <c r="G213" s="41">
        <v>2021</v>
      </c>
      <c r="H213" s="42">
        <v>0.8</v>
      </c>
      <c r="J213" s="42">
        <v>0.54266563522157496</v>
      </c>
      <c r="K213" s="57" t="s">
        <v>182</v>
      </c>
    </row>
    <row r="214" spans="3:11" ht="112.5">
      <c r="C214" t="s">
        <v>112</v>
      </c>
      <c r="D214" t="s">
        <v>44</v>
      </c>
      <c r="F214" t="s">
        <v>107</v>
      </c>
      <c r="G214" s="41">
        <v>2021</v>
      </c>
      <c r="H214" s="42">
        <v>0.9</v>
      </c>
      <c r="J214" s="42">
        <v>0.54266563522157496</v>
      </c>
      <c r="K214" s="57" t="s">
        <v>182</v>
      </c>
    </row>
    <row r="215" spans="3:11" ht="112.5">
      <c r="C215" t="s">
        <v>113</v>
      </c>
      <c r="D215" t="s">
        <v>48</v>
      </c>
      <c r="F215" t="s">
        <v>107</v>
      </c>
      <c r="G215" s="41">
        <v>2021</v>
      </c>
      <c r="H215" s="42">
        <v>1</v>
      </c>
      <c r="J215" s="42">
        <v>0.43759909717395301</v>
      </c>
      <c r="K215" s="57" t="s">
        <v>182</v>
      </c>
    </row>
    <row r="216" spans="3:11" ht="112.5">
      <c r="C216" s="130" t="s">
        <v>114</v>
      </c>
      <c r="D216" s="176" t="s">
        <v>48</v>
      </c>
      <c r="E216" s="176"/>
      <c r="F216" s="130" t="s">
        <v>107</v>
      </c>
      <c r="G216" s="41">
        <v>2021</v>
      </c>
      <c r="H216" s="42">
        <f>H215</f>
        <v>1</v>
      </c>
      <c r="J216" s="42">
        <v>0.65911994124405404</v>
      </c>
      <c r="K216" s="57" t="s">
        <v>182</v>
      </c>
    </row>
    <row r="217" spans="3:11">
      <c r="D217" s="174" t="str">
        <f>[2]COMM!$E$19</f>
        <v>RSDAHT</v>
      </c>
    </row>
    <row r="218" spans="3:11" ht="112.5">
      <c r="C218" t="s">
        <v>115</v>
      </c>
      <c r="D218" t="s">
        <v>53</v>
      </c>
      <c r="F218" t="s">
        <v>107</v>
      </c>
      <c r="G218" s="41">
        <v>2021</v>
      </c>
      <c r="H218" s="42">
        <v>0.5</v>
      </c>
      <c r="J218" s="42">
        <v>0.465396592185367</v>
      </c>
      <c r="K218" s="57" t="s">
        <v>182</v>
      </c>
    </row>
    <row r="219" spans="3:11" ht="112.5">
      <c r="C219" t="s">
        <v>116</v>
      </c>
      <c r="D219" t="s">
        <v>64</v>
      </c>
      <c r="F219" t="s">
        <v>107</v>
      </c>
      <c r="G219" s="41">
        <v>2021</v>
      </c>
      <c r="H219" s="42">
        <v>0.5</v>
      </c>
      <c r="J219" s="42">
        <v>1.46099085878196E-2</v>
      </c>
      <c r="K219" s="57" t="s">
        <v>182</v>
      </c>
    </row>
    <row r="220" spans="3:11" ht="112.5">
      <c r="C220" s="105" t="s">
        <v>117</v>
      </c>
      <c r="D220" s="105" t="s">
        <v>48</v>
      </c>
      <c r="E220" s="105"/>
      <c r="F220" t="s">
        <v>107</v>
      </c>
      <c r="G220" s="41">
        <v>2021</v>
      </c>
      <c r="H220" s="42">
        <v>0.75</v>
      </c>
      <c r="J220" s="42">
        <v>0.65911994124405404</v>
      </c>
      <c r="K220" s="57" t="s">
        <v>182</v>
      </c>
    </row>
    <row r="221" spans="3:11">
      <c r="D221" s="105" t="s">
        <v>64</v>
      </c>
      <c r="E221" s="105"/>
    </row>
    <row r="222" spans="3:11" ht="112.5">
      <c r="C222" s="105" t="s">
        <v>118</v>
      </c>
      <c r="D222" s="105" t="s">
        <v>36</v>
      </c>
      <c r="E222" s="105"/>
      <c r="F222" t="s">
        <v>107</v>
      </c>
      <c r="G222" s="41">
        <v>2021</v>
      </c>
      <c r="H222" s="42">
        <v>0.67500000000000004</v>
      </c>
      <c r="J222" s="42">
        <v>0.65911994124405404</v>
      </c>
      <c r="K222" s="57" t="s">
        <v>182</v>
      </c>
    </row>
    <row r="223" spans="3:11">
      <c r="D223" s="105" t="s">
        <v>64</v>
      </c>
      <c r="E223" s="105"/>
    </row>
    <row r="224" spans="3:11" ht="112.5">
      <c r="C224" s="105" t="s">
        <v>119</v>
      </c>
      <c r="D224" s="105" t="s">
        <v>48</v>
      </c>
      <c r="E224" s="105"/>
      <c r="F224" t="s">
        <v>107</v>
      </c>
      <c r="G224" s="41">
        <v>2021</v>
      </c>
      <c r="H224" s="42">
        <v>0.9</v>
      </c>
      <c r="J224" s="42">
        <v>0.65911994124405404</v>
      </c>
      <c r="K224" s="57" t="s">
        <v>182</v>
      </c>
    </row>
    <row r="225" spans="3:11">
      <c r="D225" s="105" t="s">
        <v>44</v>
      </c>
      <c r="E225" s="105"/>
    </row>
    <row r="226" spans="3:11" ht="112.5">
      <c r="C226" s="105" t="s">
        <v>120</v>
      </c>
      <c r="D226" s="105" t="s">
        <v>48</v>
      </c>
      <c r="E226" s="105"/>
      <c r="F226" t="s">
        <v>107</v>
      </c>
      <c r="G226" s="41">
        <v>2021</v>
      </c>
      <c r="H226" s="42">
        <v>0.89</v>
      </c>
      <c r="J226" s="42">
        <v>0.65911994124405404</v>
      </c>
      <c r="K226" s="57" t="s">
        <v>182</v>
      </c>
    </row>
    <row r="227" spans="3:11">
      <c r="D227" s="105" t="s">
        <v>36</v>
      </c>
      <c r="E227" s="105"/>
    </row>
    <row r="228" spans="3:11" ht="112.5">
      <c r="C228" s="105" t="s">
        <v>122</v>
      </c>
      <c r="D228" s="105" t="s">
        <v>48</v>
      </c>
      <c r="E228" s="105"/>
      <c r="F228" s="105" t="s">
        <v>121</v>
      </c>
      <c r="G228" s="41">
        <v>2021</v>
      </c>
      <c r="H228" s="200">
        <f>11.5/3.412</f>
        <v>3.3704572098476002</v>
      </c>
      <c r="I228" s="173"/>
      <c r="K228" s="57" t="s">
        <v>183</v>
      </c>
    </row>
    <row r="229" spans="3:11">
      <c r="C229" s="105" t="s">
        <v>18</v>
      </c>
      <c r="D229" s="105"/>
      <c r="E229" s="105"/>
      <c r="F229" s="105"/>
      <c r="H229" s="200"/>
      <c r="I229" s="173"/>
    </row>
    <row r="230" spans="3:11" ht="112.5">
      <c r="C230" s="105" t="s">
        <v>124</v>
      </c>
      <c r="D230" s="105" t="s">
        <v>48</v>
      </c>
      <c r="E230" s="105"/>
      <c r="F230" s="105" t="s">
        <v>123</v>
      </c>
      <c r="G230" s="41">
        <v>2021</v>
      </c>
      <c r="H230" s="200">
        <f>H228</f>
        <v>3.3704572098476002</v>
      </c>
      <c r="I230" s="173"/>
      <c r="K230" s="57" t="s">
        <v>183</v>
      </c>
    </row>
    <row r="231" spans="3:11">
      <c r="C231" s="105" t="s">
        <v>18</v>
      </c>
      <c r="D231" s="105"/>
      <c r="E231" s="105"/>
      <c r="F231" s="105"/>
      <c r="H231" s="200"/>
      <c r="I231" s="173"/>
    </row>
    <row r="232" spans="3:11" ht="112.5">
      <c r="C232" s="105" t="s">
        <v>126</v>
      </c>
      <c r="D232" s="105" t="s">
        <v>48</v>
      </c>
      <c r="E232" s="105"/>
      <c r="F232" s="105" t="s">
        <v>125</v>
      </c>
      <c r="G232" s="41">
        <v>2021</v>
      </c>
      <c r="H232" s="200">
        <f>13.7/3.412</f>
        <v>4.0152403282532196</v>
      </c>
      <c r="I232" s="173"/>
      <c r="K232" s="57" t="s">
        <v>183</v>
      </c>
    </row>
    <row r="233" spans="3:11">
      <c r="C233" s="105" t="s">
        <v>18</v>
      </c>
      <c r="D233" s="105"/>
      <c r="E233" s="105"/>
      <c r="F233" s="105"/>
      <c r="H233" s="200"/>
      <c r="I233" s="173"/>
    </row>
    <row r="234" spans="3:11" ht="112.5">
      <c r="C234" s="105" t="s">
        <v>128</v>
      </c>
      <c r="D234" s="105" t="s">
        <v>48</v>
      </c>
      <c r="E234" s="105"/>
      <c r="F234" s="105" t="s">
        <v>127</v>
      </c>
      <c r="G234" s="41">
        <v>2021</v>
      </c>
      <c r="H234" s="200">
        <f>H232</f>
        <v>4.0152403282532196</v>
      </c>
      <c r="I234" s="173"/>
      <c r="K234" s="57" t="s">
        <v>183</v>
      </c>
    </row>
    <row r="235" spans="3:11">
      <c r="C235" s="105" t="s">
        <v>18</v>
      </c>
      <c r="D235" s="105"/>
      <c r="E235" s="105"/>
      <c r="F235" s="105"/>
      <c r="H235" s="173"/>
      <c r="I235" s="173"/>
    </row>
    <row r="236" spans="3:11" ht="112.5">
      <c r="C236" s="42" t="s">
        <v>174</v>
      </c>
      <c r="D236" s="204" t="s">
        <v>48</v>
      </c>
      <c r="E236" s="204"/>
      <c r="F236" s="204" t="s">
        <v>121</v>
      </c>
      <c r="G236" s="41">
        <v>2021</v>
      </c>
      <c r="H236" s="173">
        <v>1</v>
      </c>
      <c r="I236" s="173"/>
      <c r="J236" s="81"/>
      <c r="K236" s="57" t="s">
        <v>183</v>
      </c>
    </row>
    <row r="237" spans="3:11">
      <c r="C237" s="41"/>
      <c r="D237" s="90" t="s">
        <v>184</v>
      </c>
      <c r="F237" s="41"/>
      <c r="H237" s="173"/>
      <c r="I237" s="173"/>
    </row>
    <row r="238" spans="3:11" ht="112.5">
      <c r="C238" s="42" t="s">
        <v>175</v>
      </c>
      <c r="D238" s="204" t="s">
        <v>48</v>
      </c>
      <c r="E238" s="204"/>
      <c r="F238" s="204" t="s">
        <v>123</v>
      </c>
      <c r="G238" s="41">
        <v>2021</v>
      </c>
      <c r="H238" s="173">
        <v>1</v>
      </c>
      <c r="I238" s="173"/>
      <c r="J238" s="81"/>
      <c r="K238" s="57" t="s">
        <v>183</v>
      </c>
    </row>
    <row r="239" spans="3:11">
      <c r="C239" s="41"/>
      <c r="D239" s="90" t="s">
        <v>184</v>
      </c>
      <c r="F239" s="41"/>
      <c r="H239" s="173"/>
      <c r="I239" s="173"/>
    </row>
    <row r="240" spans="3:11" ht="112.5">
      <c r="C240" s="42" t="s">
        <v>176</v>
      </c>
      <c r="D240" s="204" t="s">
        <v>48</v>
      </c>
      <c r="E240" s="204"/>
      <c r="F240" s="204" t="s">
        <v>125</v>
      </c>
      <c r="G240" s="41">
        <v>2021</v>
      </c>
      <c r="H240" s="173">
        <v>1</v>
      </c>
      <c r="I240" s="173"/>
      <c r="J240" s="81"/>
      <c r="K240" s="57" t="s">
        <v>183</v>
      </c>
    </row>
    <row r="241" spans="3:11">
      <c r="C241" s="41"/>
      <c r="D241" s="90" t="s">
        <v>184</v>
      </c>
      <c r="F241" s="41"/>
      <c r="H241" s="173"/>
      <c r="I241" s="173"/>
    </row>
    <row r="242" spans="3:11" ht="112.5">
      <c r="C242" s="42" t="s">
        <v>177</v>
      </c>
      <c r="D242" s="204" t="s">
        <v>48</v>
      </c>
      <c r="E242" s="204"/>
      <c r="F242" s="204" t="s">
        <v>127</v>
      </c>
      <c r="G242" s="41">
        <v>2021</v>
      </c>
      <c r="H242" s="173">
        <v>1</v>
      </c>
      <c r="I242" s="173"/>
      <c r="J242" s="81"/>
      <c r="K242" s="57" t="s">
        <v>183</v>
      </c>
    </row>
    <row r="243" spans="3:11">
      <c r="C243" s="41"/>
      <c r="D243" s="90" t="s">
        <v>184</v>
      </c>
      <c r="F243" s="41"/>
      <c r="H243" s="173"/>
      <c r="I243" s="173"/>
    </row>
  </sheetData>
  <hyperlinks>
    <hyperlink ref="AO1" r:id="rId1" tooltip="https://oee.nrcan.gc.ca/corporate/statistics/neud/dpa/showTable.cfm?type=CP&amp;sector=res&amp;juris=ca&amp;year=2021&amp;rn=21&amp;page=0" xr:uid="{00000000-0004-0000-0000-000000000000}"/>
    <hyperlink ref="AO14" r:id="rId2" tooltip="https://climateinstitute.ca/wp-content/uploads/2023/09/Heat-Pumps-Pay-Off-Unlocking-lower-cost-heating-and-cooling-in-Canada-Canadian-Climate-Institute.pdf" xr:uid="{00000000-0004-0000-0000-000001000000}"/>
  </hyperlinks>
  <pageMargins left="0.7" right="0.7" top="0.75" bottom="0.75" header="0.3" footer="0.3"/>
  <pageSetup orientation="portrait"/>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56"/>
  <sheetViews>
    <sheetView zoomScale="59" zoomScaleNormal="59" workbookViewId="0">
      <selection activeCell="G18" sqref="G18"/>
    </sheetView>
  </sheetViews>
  <sheetFormatPr defaultColWidth="9" defaultRowHeight="14.5"/>
  <cols>
    <col min="3" max="3" width="22.81640625" customWidth="1"/>
    <col min="4" max="4" width="13.7265625" customWidth="1"/>
    <col min="6" max="6" width="9.26953125" style="102" customWidth="1"/>
    <col min="7" max="8" width="12" customWidth="1"/>
    <col min="9" max="9" width="15.54296875" customWidth="1"/>
    <col min="10" max="10" width="9.54296875" customWidth="1"/>
    <col min="11" max="11" width="11.453125" customWidth="1"/>
    <col min="12" max="12" width="9.26953125" customWidth="1"/>
    <col min="13" max="13" width="13" customWidth="1"/>
    <col min="14" max="14" width="11.81640625" customWidth="1"/>
    <col min="15" max="15" width="15.26953125" customWidth="1"/>
    <col min="16" max="16" width="10" customWidth="1"/>
    <col min="17" max="17" width="9.36328125" customWidth="1"/>
    <col min="18" max="18" width="11.7265625" customWidth="1"/>
    <col min="21" max="21" width="12" customWidth="1"/>
    <col min="25" max="25" width="18" customWidth="1"/>
    <col min="31" max="31" width="10.1796875" customWidth="1"/>
    <col min="35" max="35" width="11.08984375" customWidth="1"/>
    <col min="45" max="46" width="16.81640625" customWidth="1"/>
    <col min="47" max="47" width="15.54296875" customWidth="1"/>
    <col min="60" max="60" width="20.6328125" customWidth="1"/>
  </cols>
  <sheetData>
    <row r="1" spans="1:67">
      <c r="A1" t="s">
        <v>185</v>
      </c>
      <c r="E1" s="103" t="s">
        <v>186</v>
      </c>
      <c r="G1" s="24"/>
      <c r="O1" s="130"/>
      <c r="P1" s="130"/>
    </row>
    <row r="2" spans="1:67" ht="15.5">
      <c r="A2" t="s">
        <v>187</v>
      </c>
      <c r="B2" s="104" t="s">
        <v>188</v>
      </c>
      <c r="C2" s="1"/>
      <c r="M2" s="81"/>
      <c r="N2" s="81"/>
      <c r="O2" s="130"/>
      <c r="P2" s="131"/>
      <c r="Q2" s="143"/>
    </row>
    <row r="3" spans="1:67" ht="15.5">
      <c r="A3" t="s">
        <v>189</v>
      </c>
      <c r="B3" s="105" t="s">
        <v>190</v>
      </c>
      <c r="C3" s="1"/>
      <c r="M3" s="81"/>
      <c r="N3" s="81"/>
      <c r="O3" s="130"/>
      <c r="P3" s="131"/>
      <c r="Q3" s="143"/>
    </row>
    <row r="4" spans="1:67" ht="15.5">
      <c r="A4" t="s">
        <v>191</v>
      </c>
      <c r="B4" s="104"/>
      <c r="C4" s="1"/>
      <c r="M4" s="81"/>
      <c r="N4" s="81"/>
      <c r="O4" s="130"/>
      <c r="P4" s="131"/>
      <c r="Q4" s="143"/>
    </row>
    <row r="5" spans="1:67">
      <c r="E5" s="12" t="s">
        <v>10</v>
      </c>
      <c r="AB5" s="147" t="s">
        <v>11</v>
      </c>
      <c r="AC5" s="147"/>
      <c r="AD5" s="40"/>
      <c r="AE5" s="40"/>
      <c r="AF5" s="40"/>
      <c r="AG5" s="40"/>
      <c r="AH5" s="40"/>
      <c r="AI5" s="40"/>
      <c r="AJ5" s="40"/>
    </row>
    <row r="6" spans="1:67">
      <c r="C6" s="13" t="s">
        <v>12</v>
      </c>
      <c r="D6" s="13" t="s">
        <v>13</v>
      </c>
      <c r="E6" s="13" t="s">
        <v>15</v>
      </c>
      <c r="F6" s="106" t="s">
        <v>16</v>
      </c>
      <c r="G6" s="15" t="s">
        <v>17</v>
      </c>
      <c r="H6" s="15" t="s">
        <v>19</v>
      </c>
      <c r="I6" s="15" t="s">
        <v>192</v>
      </c>
      <c r="J6" s="15" t="s">
        <v>20</v>
      </c>
      <c r="K6" s="15" t="s">
        <v>193</v>
      </c>
      <c r="L6" s="15" t="s">
        <v>21</v>
      </c>
      <c r="M6" s="15" t="s">
        <v>22</v>
      </c>
      <c r="N6" s="15" t="s">
        <v>194</v>
      </c>
      <c r="O6" s="15" t="s">
        <v>23</v>
      </c>
      <c r="P6" s="15" t="s">
        <v>24</v>
      </c>
      <c r="Q6" s="15" t="s">
        <v>195</v>
      </c>
      <c r="R6" s="15" t="s">
        <v>25</v>
      </c>
      <c r="S6" s="50" t="s">
        <v>27</v>
      </c>
      <c r="T6" s="50" t="s">
        <v>26</v>
      </c>
      <c r="U6" s="50" t="s">
        <v>196</v>
      </c>
      <c r="AB6" s="148" t="s">
        <v>29</v>
      </c>
      <c r="AC6" s="149" t="s">
        <v>197</v>
      </c>
      <c r="AD6" s="148" t="s">
        <v>12</v>
      </c>
      <c r="AE6" s="148" t="s">
        <v>30</v>
      </c>
      <c r="AF6" s="148" t="s">
        <v>31</v>
      </c>
      <c r="AG6" s="148" t="s">
        <v>32</v>
      </c>
      <c r="AH6" s="148" t="s">
        <v>33</v>
      </c>
      <c r="AI6" s="148" t="s">
        <v>34</v>
      </c>
      <c r="AJ6" s="148" t="s">
        <v>198</v>
      </c>
      <c r="BC6" s="159"/>
      <c r="BD6" s="159"/>
      <c r="BE6" s="160"/>
      <c r="BF6" s="162"/>
      <c r="BG6" s="163"/>
      <c r="BH6" s="164"/>
      <c r="BI6" s="163"/>
      <c r="BJ6" s="163"/>
      <c r="BK6" s="163"/>
      <c r="BL6" s="163"/>
      <c r="BM6" s="163"/>
      <c r="BN6" s="163"/>
      <c r="BO6" s="163"/>
    </row>
    <row r="7" spans="1:67" ht="41.5">
      <c r="C7" s="107" t="s">
        <v>199</v>
      </c>
      <c r="D7" s="10" t="s">
        <v>200</v>
      </c>
      <c r="E7" s="10" t="s">
        <v>201</v>
      </c>
      <c r="F7" s="102">
        <v>2021</v>
      </c>
      <c r="G7" s="108">
        <f>[5]mvkmPerTJ_EFF!$C$31</f>
        <v>0.26149196815675901</v>
      </c>
      <c r="H7" s="109">
        <f>AVERAGE([5]AFA_000kmPerVeh_AFA!$E$11:$K$11)</f>
        <v>14</v>
      </c>
      <c r="I7" s="108">
        <f>AVERAGE([5]Occupancy_ACTFLO_CAP2ACT!$D$11:$J$11)</f>
        <v>1.7136975206890199</v>
      </c>
      <c r="J7" s="132">
        <f>25.2*1.35</f>
        <v>34.020000000000003</v>
      </c>
      <c r="K7" s="133">
        <f>(0.2/1.6)*(10^9)*1.35/10^6</f>
        <v>168.75</v>
      </c>
      <c r="L7" s="134">
        <f>1.733*1.35</f>
        <v>2.33955</v>
      </c>
      <c r="M7" s="134">
        <f>J7*95%</f>
        <v>32.319000000000003</v>
      </c>
      <c r="N7" s="135">
        <f>K7*0.95</f>
        <v>160.3125</v>
      </c>
      <c r="O7" s="134">
        <f>L7*0.95</f>
        <v>2.2225725000000001</v>
      </c>
      <c r="P7" s="134">
        <f>J7*90%</f>
        <v>30.617999999999999</v>
      </c>
      <c r="Q7" s="135">
        <f>K7*0.9</f>
        <v>151.875</v>
      </c>
      <c r="R7" s="134">
        <f t="shared" ref="R7:R22" si="0">L7*0.9</f>
        <v>2.1055950000000001</v>
      </c>
      <c r="S7">
        <v>1E-3</v>
      </c>
      <c r="T7" s="136">
        <f t="shared" ref="T7:T20" si="1">15</f>
        <v>15</v>
      </c>
      <c r="AB7" s="150" t="s">
        <v>202</v>
      </c>
      <c r="AC7" s="150" t="s">
        <v>203</v>
      </c>
      <c r="AD7" s="150" t="s">
        <v>204</v>
      </c>
      <c r="AE7" s="150" t="s">
        <v>205</v>
      </c>
      <c r="AF7" s="150" t="s">
        <v>206</v>
      </c>
      <c r="AG7" s="150" t="s">
        <v>207</v>
      </c>
      <c r="AH7" s="150" t="s">
        <v>208</v>
      </c>
      <c r="AI7" s="150" t="s">
        <v>209</v>
      </c>
      <c r="AJ7" s="150" t="s">
        <v>210</v>
      </c>
      <c r="BC7" s="159"/>
      <c r="BD7" s="159"/>
      <c r="BE7" s="160"/>
      <c r="BF7" s="165"/>
      <c r="BG7" s="165"/>
      <c r="BH7" s="165"/>
      <c r="BI7" s="166"/>
      <c r="BJ7" s="166"/>
      <c r="BK7" s="166"/>
      <c r="BL7" s="166"/>
      <c r="BM7" s="166"/>
      <c r="BN7" s="166"/>
      <c r="BO7" s="166"/>
    </row>
    <row r="8" spans="1:67">
      <c r="C8" s="107" t="s">
        <v>211</v>
      </c>
      <c r="D8" s="10" t="s">
        <v>212</v>
      </c>
      <c r="E8" s="10" t="s">
        <v>201</v>
      </c>
      <c r="F8" s="102">
        <v>2021</v>
      </c>
      <c r="G8" s="108">
        <f>[5]mvkmPerTJ_EFF!$C$32</f>
        <v>0.26149196815675901</v>
      </c>
      <c r="H8" s="109">
        <f>AVERAGE([5]AFA_000kmPerVeh_AFA!$E$12:$K$12)</f>
        <v>14</v>
      </c>
      <c r="I8" s="108">
        <f>AVERAGE([5]Occupancy_ACTFLO_CAP2ACT!$D$12:$J$12)</f>
        <v>1.7136975206890199</v>
      </c>
      <c r="J8" s="132">
        <f>25.2*1.35</f>
        <v>34.020000000000003</v>
      </c>
      <c r="K8" s="133">
        <f t="shared" ref="K8:K20" si="2">(0.2/1.6)*(10^9)*1.35/10^6</f>
        <v>168.75</v>
      </c>
      <c r="L8" s="134">
        <f>1.733*1.35</f>
        <v>2.33955</v>
      </c>
      <c r="M8" s="134">
        <f t="shared" ref="M8:M29" si="3">J8*95%</f>
        <v>32.319000000000003</v>
      </c>
      <c r="N8" s="135">
        <f t="shared" ref="N8:N22" si="4">K8*0.95</f>
        <v>160.3125</v>
      </c>
      <c r="O8" s="134">
        <f t="shared" ref="O8:O34" si="5">L8*0.95</f>
        <v>2.2225725000000001</v>
      </c>
      <c r="P8" s="134">
        <f t="shared" ref="P8:P29" si="6">J8*90%</f>
        <v>30.617999999999999</v>
      </c>
      <c r="Q8" s="135">
        <f t="shared" ref="Q8:Q22" si="7">K8*0.9</f>
        <v>151.875</v>
      </c>
      <c r="R8" s="134">
        <f t="shared" si="0"/>
        <v>2.1055950000000001</v>
      </c>
      <c r="S8">
        <v>1E-3</v>
      </c>
      <c r="T8" s="136">
        <f t="shared" si="1"/>
        <v>15</v>
      </c>
      <c r="AB8" s="151" t="s">
        <v>18</v>
      </c>
      <c r="AC8" s="152"/>
      <c r="AD8" s="152"/>
      <c r="AE8" s="152"/>
      <c r="AF8" s="152"/>
      <c r="AG8" s="152"/>
      <c r="AH8" s="152"/>
      <c r="AI8" s="152"/>
      <c r="AJ8" s="152"/>
      <c r="BC8" s="160"/>
      <c r="BD8" s="160"/>
      <c r="BE8" s="160"/>
      <c r="BF8" s="163"/>
      <c r="BG8" s="163"/>
      <c r="BH8" s="163"/>
      <c r="BI8" s="167"/>
      <c r="BJ8" s="167"/>
      <c r="BK8" s="167"/>
      <c r="BL8" s="167"/>
      <c r="BM8" s="167"/>
      <c r="BN8" s="167"/>
      <c r="BO8" s="167"/>
    </row>
    <row r="9" spans="1:67">
      <c r="C9" s="10" t="s">
        <v>213</v>
      </c>
      <c r="D9" s="10" t="s">
        <v>200</v>
      </c>
      <c r="E9" s="10" t="s">
        <v>201</v>
      </c>
      <c r="F9" s="102">
        <v>2021</v>
      </c>
      <c r="G9" s="108">
        <f>[5]mvkmPerTJ_EFF!$C$33</f>
        <v>0.25731817182310801</v>
      </c>
      <c r="H9" s="109">
        <f>AVERAGE([5]AFA_000kmPerVeh_AFA!$E$13:$K$13)</f>
        <v>16.1428571428571</v>
      </c>
      <c r="I9" s="108">
        <f>AVERAGE([5]Occupancy_ACTFLO_CAP2ACT!$D$13:$J$13)</f>
        <v>0.55986165464205995</v>
      </c>
      <c r="J9" s="132">
        <f>25.2*1.35</f>
        <v>34.020000000000003</v>
      </c>
      <c r="K9" s="133">
        <f t="shared" si="2"/>
        <v>168.75</v>
      </c>
      <c r="L9" s="134">
        <f>1.733*1.35</f>
        <v>2.33955</v>
      </c>
      <c r="M9" s="134">
        <f t="shared" si="3"/>
        <v>32.319000000000003</v>
      </c>
      <c r="N9" s="135">
        <f t="shared" si="4"/>
        <v>160.3125</v>
      </c>
      <c r="O9" s="134">
        <f t="shared" si="5"/>
        <v>2.2225725000000001</v>
      </c>
      <c r="P9" s="134">
        <f t="shared" si="6"/>
        <v>30.617999999999999</v>
      </c>
      <c r="Q9" s="135">
        <f t="shared" si="7"/>
        <v>151.875</v>
      </c>
      <c r="R9" s="134">
        <f t="shared" si="0"/>
        <v>2.1055950000000001</v>
      </c>
      <c r="S9">
        <v>1E-3</v>
      </c>
      <c r="T9" s="136">
        <f t="shared" si="1"/>
        <v>15</v>
      </c>
      <c r="AB9" s="39" t="s">
        <v>38</v>
      </c>
      <c r="AC9" s="40"/>
      <c r="AD9" s="10" t="s">
        <v>199</v>
      </c>
      <c r="AE9" s="39"/>
      <c r="AF9" s="153" t="s">
        <v>214</v>
      </c>
      <c r="AG9" s="154" t="s">
        <v>215</v>
      </c>
      <c r="AH9" s="40"/>
      <c r="AI9" s="40" t="s">
        <v>216</v>
      </c>
      <c r="AJ9" s="40"/>
      <c r="BC9" s="161"/>
      <c r="BD9" s="161"/>
      <c r="BE9" s="161"/>
      <c r="BF9" s="163"/>
      <c r="BG9" s="168"/>
      <c r="BH9" s="163"/>
      <c r="BI9" s="168"/>
      <c r="BJ9" s="168"/>
      <c r="BK9" s="168"/>
      <c r="BL9" s="168"/>
      <c r="BM9" s="168"/>
      <c r="BN9" s="168"/>
      <c r="BO9" s="168"/>
    </row>
    <row r="10" spans="1:67">
      <c r="C10" s="10" t="s">
        <v>217</v>
      </c>
      <c r="D10" s="10" t="s">
        <v>200</v>
      </c>
      <c r="E10" s="10" t="s">
        <v>201</v>
      </c>
      <c r="F10" s="102">
        <v>2021</v>
      </c>
      <c r="G10" s="108">
        <f>[5]mvkmPerTJ_EFF!$C$34</f>
        <v>0.14089741995368099</v>
      </c>
      <c r="H10" s="109">
        <f>AVERAGE([5]AFA_000kmPerVeh_AFA!$E$14:$K$14)</f>
        <v>19.1428571428571</v>
      </c>
      <c r="I10" s="108">
        <f>AVERAGE([5]Occupancy_ACTFLO_CAP2ACT!$D$14:$J$14)</f>
        <v>1.01179998747686</v>
      </c>
      <c r="J10" s="132">
        <f>58.6*1.35</f>
        <v>79.11</v>
      </c>
      <c r="K10" s="133">
        <f t="shared" si="2"/>
        <v>168.75</v>
      </c>
      <c r="L10" s="134">
        <f>1.733*1.35</f>
        <v>2.33955</v>
      </c>
      <c r="M10" s="134">
        <f t="shared" si="3"/>
        <v>75.154499999999999</v>
      </c>
      <c r="N10" s="135">
        <f t="shared" si="4"/>
        <v>160.3125</v>
      </c>
      <c r="O10" s="134">
        <f t="shared" si="5"/>
        <v>2.2225725000000001</v>
      </c>
      <c r="P10" s="134">
        <f t="shared" si="6"/>
        <v>71.198999999999998</v>
      </c>
      <c r="Q10" s="135">
        <f t="shared" si="7"/>
        <v>151.875</v>
      </c>
      <c r="R10" s="134">
        <f t="shared" si="0"/>
        <v>2.1055950000000001</v>
      </c>
      <c r="S10">
        <v>1E-3</v>
      </c>
      <c r="T10" s="136">
        <f t="shared" si="1"/>
        <v>15</v>
      </c>
      <c r="AB10" s="40"/>
      <c r="AC10" s="40"/>
      <c r="AD10" s="10" t="s">
        <v>211</v>
      </c>
      <c r="AE10" s="39"/>
      <c r="AF10" s="154" t="s">
        <v>214</v>
      </c>
      <c r="AG10" s="154" t="s">
        <v>215</v>
      </c>
      <c r="AH10" s="40"/>
      <c r="AI10" s="40" t="s">
        <v>216</v>
      </c>
      <c r="AJ10" s="40"/>
      <c r="BC10" s="161"/>
      <c r="BD10" s="161"/>
      <c r="BE10" s="161"/>
      <c r="BF10" s="168"/>
      <c r="BG10" s="169"/>
      <c r="BH10" s="168"/>
      <c r="BI10" s="167"/>
      <c r="BJ10" s="167"/>
      <c r="BK10" s="167"/>
      <c r="BL10" s="167"/>
      <c r="BM10" s="167"/>
      <c r="BN10" s="167"/>
      <c r="BO10" s="167"/>
    </row>
    <row r="11" spans="1:67">
      <c r="C11" s="10" t="s">
        <v>218</v>
      </c>
      <c r="D11" s="10" t="s">
        <v>212</v>
      </c>
      <c r="E11" s="10" t="s">
        <v>201</v>
      </c>
      <c r="F11" s="102">
        <v>2021</v>
      </c>
      <c r="G11" s="108">
        <f>[5]mvkmPerTJ_EFF!$C$35</f>
        <v>2.1517197458069002</v>
      </c>
      <c r="H11" s="109">
        <f>AVERAGE([5]AFA_000kmPerVeh_AFA!$E$15:$K$15)</f>
        <v>65.428571428571402</v>
      </c>
      <c r="I11" s="108">
        <f>AVERAGE([5]Occupancy_ACTFLO_CAP2ACT!$D$15:$J$15)</f>
        <v>0.31897029261652499</v>
      </c>
      <c r="J11" s="132">
        <f>164*1.35</f>
        <v>221.4</v>
      </c>
      <c r="K11" s="133">
        <f t="shared" si="2"/>
        <v>168.75</v>
      </c>
      <c r="L11" s="134">
        <f>1.733*1.35</f>
        <v>2.33955</v>
      </c>
      <c r="M11" s="134">
        <f t="shared" si="3"/>
        <v>210.33</v>
      </c>
      <c r="N11" s="135">
        <f t="shared" si="4"/>
        <v>160.3125</v>
      </c>
      <c r="O11" s="134">
        <f t="shared" si="5"/>
        <v>2.2225725000000001</v>
      </c>
      <c r="P11" s="134">
        <f t="shared" si="6"/>
        <v>199.26</v>
      </c>
      <c r="Q11" s="135">
        <f t="shared" si="7"/>
        <v>151.875</v>
      </c>
      <c r="R11" s="134">
        <f t="shared" si="0"/>
        <v>2.1055950000000001</v>
      </c>
      <c r="S11">
        <v>1E-3</v>
      </c>
      <c r="T11" s="136">
        <f t="shared" si="1"/>
        <v>15</v>
      </c>
      <c r="AB11" s="40"/>
      <c r="AC11" s="40"/>
      <c r="AD11" s="10" t="s">
        <v>213</v>
      </c>
      <c r="AE11" s="39"/>
      <c r="AF11" s="154" t="s">
        <v>214</v>
      </c>
      <c r="AG11" s="154" t="s">
        <v>215</v>
      </c>
      <c r="AH11" s="40"/>
      <c r="AI11" s="40" t="s">
        <v>216</v>
      </c>
      <c r="AJ11" s="40"/>
      <c r="BC11" s="161"/>
      <c r="BD11" s="161"/>
      <c r="BE11" s="161"/>
      <c r="BF11" s="168"/>
      <c r="BG11" s="169"/>
      <c r="BH11" s="168"/>
      <c r="BI11" s="170"/>
      <c r="BJ11" s="167"/>
      <c r="BK11" s="167"/>
      <c r="BL11" s="167"/>
      <c r="BM11" s="167"/>
      <c r="BN11" s="167"/>
      <c r="BO11" s="167"/>
    </row>
    <row r="12" spans="1:67">
      <c r="C12" s="10" t="s">
        <v>219</v>
      </c>
      <c r="D12" s="10" t="s">
        <v>200</v>
      </c>
      <c r="E12" s="105" t="s">
        <v>220</v>
      </c>
      <c r="F12" s="102">
        <v>2021</v>
      </c>
      <c r="G12" s="108">
        <f>[5]mvkmPerTJ_EFF!$C$36</f>
        <v>0.54521420692670197</v>
      </c>
      <c r="H12" s="109">
        <f>AVERAGE([5]AFA_000kmPerVeh_AFA!$E$16:$K$16)</f>
        <v>4.0285714285714302</v>
      </c>
      <c r="I12" s="108">
        <f>AVERAGE([5]Occupancy_ACTFLO_CAP2ACT!$D$16:$J$16)</f>
        <v>1.1913302777819501</v>
      </c>
      <c r="J12" s="136">
        <f>5*1.35</f>
        <v>6.75</v>
      </c>
      <c r="K12" s="133">
        <f t="shared" si="2"/>
        <v>168.75</v>
      </c>
      <c r="L12" s="136">
        <f>J12/100</f>
        <v>6.7500000000000004E-2</v>
      </c>
      <c r="M12" s="17">
        <f t="shared" si="3"/>
        <v>6.4124999999999996</v>
      </c>
      <c r="N12" s="135">
        <f t="shared" si="4"/>
        <v>160.3125</v>
      </c>
      <c r="O12" s="17">
        <f t="shared" si="5"/>
        <v>6.4125000000000001E-2</v>
      </c>
      <c r="P12" s="17">
        <f t="shared" si="6"/>
        <v>6.0750000000000002</v>
      </c>
      <c r="Q12" s="135">
        <f t="shared" si="7"/>
        <v>151.875</v>
      </c>
      <c r="R12" s="17">
        <f t="shared" si="0"/>
        <v>6.0749999999999998E-2</v>
      </c>
      <c r="S12">
        <v>1E-3</v>
      </c>
      <c r="T12" s="136">
        <f t="shared" si="1"/>
        <v>15</v>
      </c>
      <c r="X12" t="s">
        <v>221</v>
      </c>
      <c r="AB12" s="40"/>
      <c r="AC12" s="40"/>
      <c r="AD12" s="10" t="s">
        <v>217</v>
      </c>
      <c r="AE12" s="39"/>
      <c r="AF12" s="154" t="s">
        <v>214</v>
      </c>
      <c r="AG12" s="154" t="s">
        <v>215</v>
      </c>
      <c r="AH12" s="40"/>
      <c r="AI12" s="40" t="s">
        <v>216</v>
      </c>
      <c r="AJ12" s="40"/>
      <c r="BC12" s="161"/>
      <c r="BD12" s="161"/>
      <c r="BE12" s="161"/>
      <c r="BF12" s="168"/>
      <c r="BG12" s="163"/>
      <c r="BH12" s="168"/>
      <c r="BI12" s="167"/>
      <c r="BJ12" s="167"/>
      <c r="BK12" s="167"/>
      <c r="BL12" s="167"/>
      <c r="BM12" s="167"/>
      <c r="BN12" s="167"/>
      <c r="BO12" s="167"/>
    </row>
    <row r="13" spans="1:67">
      <c r="C13" s="10" t="s">
        <v>222</v>
      </c>
      <c r="D13" s="10" t="s">
        <v>212</v>
      </c>
      <c r="E13" t="s">
        <v>223</v>
      </c>
      <c r="F13" s="102">
        <v>2021</v>
      </c>
      <c r="G13" s="108">
        <f>[5]mvkmPerTJ_EFF!$C$26</f>
        <v>0.133343131699898</v>
      </c>
      <c r="H13" s="110">
        <f>AVERAGE([5]AFA_000kmPerVeh_AFA!$E$6:$K$6)</f>
        <v>20.285714285714299</v>
      </c>
      <c r="I13" s="119">
        <f>AVERAGE([5]Occupancy_ACTFLO_CAP2ACT!$D$6:$J$6)</f>
        <v>21.973761148770802</v>
      </c>
      <c r="J13" s="134">
        <f>100*1.35</f>
        <v>135</v>
      </c>
      <c r="K13" s="133">
        <f t="shared" si="2"/>
        <v>168.75</v>
      </c>
      <c r="L13" s="85">
        <f>2.2*1.35</f>
        <v>2.97</v>
      </c>
      <c r="M13" s="85">
        <f t="shared" si="3"/>
        <v>128.25</v>
      </c>
      <c r="N13" s="135">
        <f t="shared" si="4"/>
        <v>160.3125</v>
      </c>
      <c r="O13" s="85">
        <f t="shared" si="5"/>
        <v>2.8214999999999999</v>
      </c>
      <c r="P13" s="85">
        <f t="shared" si="6"/>
        <v>121.5</v>
      </c>
      <c r="Q13" s="135">
        <f t="shared" si="7"/>
        <v>151.875</v>
      </c>
      <c r="R13" s="85">
        <f t="shared" si="0"/>
        <v>2.673</v>
      </c>
      <c r="S13">
        <v>1E-3</v>
      </c>
      <c r="T13" s="136">
        <f t="shared" si="1"/>
        <v>15</v>
      </c>
      <c r="AB13" s="40"/>
      <c r="AC13" s="40"/>
      <c r="AD13" s="10" t="s">
        <v>218</v>
      </c>
      <c r="AE13" s="39"/>
      <c r="AF13" s="154" t="s">
        <v>214</v>
      </c>
      <c r="AG13" s="154" t="s">
        <v>215</v>
      </c>
      <c r="AH13" s="40"/>
      <c r="AI13" s="40" t="s">
        <v>216</v>
      </c>
      <c r="AJ13" s="40"/>
      <c r="BF13" s="171"/>
      <c r="BG13" s="171"/>
      <c r="BH13" s="171"/>
      <c r="BI13" s="171"/>
      <c r="BJ13" s="171"/>
      <c r="BK13" s="171"/>
      <c r="BL13" s="171"/>
      <c r="BM13" s="171"/>
      <c r="BN13" s="171"/>
      <c r="BO13" s="171"/>
    </row>
    <row r="14" spans="1:67">
      <c r="C14" s="10" t="s">
        <v>224</v>
      </c>
      <c r="D14" s="10" t="s">
        <v>200</v>
      </c>
      <c r="E14" t="s">
        <v>223</v>
      </c>
      <c r="F14" s="102">
        <v>2021</v>
      </c>
      <c r="G14" s="108">
        <f>[5]mvkmPerTJ_EFF!$C$25</f>
        <v>0.133343131699898</v>
      </c>
      <c r="H14" s="110">
        <f>AVERAGE([5]AFA_000kmPerVeh_AFA!$E$5:$K$5)</f>
        <v>20.285714285714299</v>
      </c>
      <c r="I14" s="119">
        <f>AVERAGE([5]Occupancy_ACTFLO_CAP2ACT!$D$5:$J$5)</f>
        <v>21.973761148770802</v>
      </c>
      <c r="J14" s="134">
        <f>J13</f>
        <v>135</v>
      </c>
      <c r="K14" s="133">
        <f t="shared" si="2"/>
        <v>168.75</v>
      </c>
      <c r="L14" s="85">
        <f>2.2*1.35</f>
        <v>2.97</v>
      </c>
      <c r="M14" s="85">
        <f t="shared" si="3"/>
        <v>128.25</v>
      </c>
      <c r="N14" s="135">
        <f t="shared" si="4"/>
        <v>160.3125</v>
      </c>
      <c r="O14" s="85">
        <f t="shared" si="5"/>
        <v>2.8214999999999999</v>
      </c>
      <c r="P14" s="85">
        <f t="shared" si="6"/>
        <v>121.5</v>
      </c>
      <c r="Q14" s="135">
        <f t="shared" si="7"/>
        <v>151.875</v>
      </c>
      <c r="R14" s="85">
        <f t="shared" si="0"/>
        <v>2.673</v>
      </c>
      <c r="S14">
        <v>1E-3</v>
      </c>
      <c r="T14" s="136">
        <f t="shared" si="1"/>
        <v>15</v>
      </c>
      <c r="AB14" s="155"/>
      <c r="AC14" s="155"/>
      <c r="AD14" s="10" t="s">
        <v>219</v>
      </c>
      <c r="AE14" s="156"/>
      <c r="AF14" s="154" t="s">
        <v>214</v>
      </c>
      <c r="AG14" s="154" t="s">
        <v>215</v>
      </c>
      <c r="AH14" s="40"/>
      <c r="AI14" s="155" t="s">
        <v>216</v>
      </c>
      <c r="AJ14" s="155"/>
      <c r="BF14" s="171"/>
      <c r="BG14" s="171"/>
      <c r="BH14" s="171"/>
      <c r="BI14" s="171"/>
      <c r="BJ14" s="171"/>
      <c r="BK14" s="171"/>
      <c r="BL14" s="171"/>
      <c r="BM14" s="171"/>
      <c r="BN14" s="171"/>
      <c r="BO14" s="171"/>
    </row>
    <row r="15" spans="1:67">
      <c r="C15" s="10" t="s">
        <v>225</v>
      </c>
      <c r="D15" s="10" t="s">
        <v>212</v>
      </c>
      <c r="E15" t="s">
        <v>223</v>
      </c>
      <c r="F15" s="102">
        <v>2021</v>
      </c>
      <c r="G15" s="108">
        <f>[5]mvkmPerTJ_EFF!$C$28</f>
        <v>6.3850842403632105E-2</v>
      </c>
      <c r="H15" s="110">
        <f>AVERAGE([5]AFA_000kmPerVeh_AFA!$E$8:$K$8)</f>
        <v>39.857142857142897</v>
      </c>
      <c r="I15" s="119">
        <f>AVERAGE([5]Occupancy_ACTFLO_CAP2ACT!$D$8:$J$8)</f>
        <v>11.9384348573679</v>
      </c>
      <c r="J15" s="134">
        <f>500*1.35</f>
        <v>675</v>
      </c>
      <c r="K15" s="133">
        <f t="shared" si="2"/>
        <v>168.75</v>
      </c>
      <c r="L15" s="85">
        <f>L13</f>
        <v>2.97</v>
      </c>
      <c r="M15" s="85">
        <f t="shared" si="3"/>
        <v>641.25</v>
      </c>
      <c r="N15" s="135">
        <f t="shared" si="4"/>
        <v>160.3125</v>
      </c>
      <c r="O15" s="85">
        <f t="shared" si="5"/>
        <v>2.8214999999999999</v>
      </c>
      <c r="P15" s="85">
        <f t="shared" si="6"/>
        <v>607.5</v>
      </c>
      <c r="Q15" s="135">
        <f t="shared" si="7"/>
        <v>151.875</v>
      </c>
      <c r="R15" s="85">
        <f t="shared" si="0"/>
        <v>2.673</v>
      </c>
      <c r="S15">
        <v>1E-3</v>
      </c>
      <c r="T15" s="136">
        <f t="shared" si="1"/>
        <v>15</v>
      </c>
      <c r="AB15" s="40"/>
      <c r="AC15" s="40"/>
      <c r="AD15" s="10" t="s">
        <v>222</v>
      </c>
      <c r="AE15" s="39"/>
      <c r="AF15" s="154" t="s">
        <v>214</v>
      </c>
      <c r="AG15" s="154" t="s">
        <v>215</v>
      </c>
      <c r="AH15" s="40"/>
      <c r="AI15" s="40" t="s">
        <v>216</v>
      </c>
      <c r="AJ15" s="40"/>
      <c r="BF15" s="171"/>
      <c r="BG15" s="171"/>
      <c r="BH15" s="171"/>
      <c r="BI15" s="171"/>
      <c r="BJ15" s="171"/>
      <c r="BK15" s="171"/>
      <c r="BL15" s="171"/>
      <c r="BM15" s="171"/>
      <c r="BN15" s="171"/>
      <c r="BO15" s="171"/>
    </row>
    <row r="16" spans="1:67">
      <c r="C16" s="10" t="s">
        <v>226</v>
      </c>
      <c r="D16" s="10" t="s">
        <v>200</v>
      </c>
      <c r="E16" t="s">
        <v>223</v>
      </c>
      <c r="F16" s="102">
        <v>2021</v>
      </c>
      <c r="G16" s="108">
        <f>[5]mvkmPerTJ_EFF!$C$27</f>
        <v>6.3850842403632105E-2</v>
      </c>
      <c r="H16" s="110">
        <f>AVERAGE([5]AFA_000kmPerVeh_AFA!$E$7:$K$7)</f>
        <v>39.857142857142897</v>
      </c>
      <c r="I16" s="119">
        <f>AVERAGE([5]Occupancy_ACTFLO_CAP2ACT!$D$7:$J$7)</f>
        <v>11.9384348573679</v>
      </c>
      <c r="J16" s="134">
        <f>500*1.35</f>
        <v>675</v>
      </c>
      <c r="K16" s="133">
        <f t="shared" si="2"/>
        <v>168.75</v>
      </c>
      <c r="L16" s="85">
        <f>L14</f>
        <v>2.97</v>
      </c>
      <c r="M16" s="85">
        <f t="shared" si="3"/>
        <v>641.25</v>
      </c>
      <c r="N16" s="135">
        <f t="shared" si="4"/>
        <v>160.3125</v>
      </c>
      <c r="O16" s="85">
        <f t="shared" si="5"/>
        <v>2.8214999999999999</v>
      </c>
      <c r="P16" s="85">
        <f t="shared" si="6"/>
        <v>607.5</v>
      </c>
      <c r="Q16" s="135">
        <f t="shared" si="7"/>
        <v>151.875</v>
      </c>
      <c r="R16" s="85">
        <f t="shared" si="0"/>
        <v>2.673</v>
      </c>
      <c r="S16">
        <v>1E-3</v>
      </c>
      <c r="T16" s="136">
        <f t="shared" si="1"/>
        <v>15</v>
      </c>
      <c r="AB16" s="40"/>
      <c r="AC16" s="40"/>
      <c r="AD16" s="10" t="s">
        <v>224</v>
      </c>
      <c r="AE16" s="39"/>
      <c r="AF16" s="154" t="s">
        <v>214</v>
      </c>
      <c r="AG16" s="154" t="s">
        <v>215</v>
      </c>
      <c r="AH16" s="40"/>
      <c r="AI16" s="40" t="s">
        <v>216</v>
      </c>
      <c r="AJ16" s="40"/>
      <c r="BF16" s="171"/>
      <c r="BG16" s="171"/>
      <c r="BH16" s="171"/>
      <c r="BI16" s="171"/>
      <c r="BJ16" s="171"/>
      <c r="BK16" s="171"/>
      <c r="BL16" s="171"/>
      <c r="BM16" s="171"/>
      <c r="BN16" s="171"/>
      <c r="BO16" s="171"/>
    </row>
    <row r="17" spans="3:67">
      <c r="C17" s="10" t="s">
        <v>227</v>
      </c>
      <c r="D17" s="10" t="s">
        <v>212</v>
      </c>
      <c r="E17" t="s">
        <v>223</v>
      </c>
      <c r="F17" s="102">
        <v>2021</v>
      </c>
      <c r="G17" s="108">
        <f>[5]mvkmPerTJ_EFF!$C$30</f>
        <v>0.14665517879393999</v>
      </c>
      <c r="H17" s="110">
        <f>AVERAGE([5]AFA_000kmPerVeh_AFA!$E$10:$K$10)</f>
        <v>33.714285714285701</v>
      </c>
      <c r="I17" s="119">
        <f>AVERAGE([5]Occupancy_ACTFLO_CAP2ACT!$D$10:$J$10)</f>
        <v>16.112766725874099</v>
      </c>
      <c r="J17" s="134">
        <f>500*1.35</f>
        <v>675</v>
      </c>
      <c r="K17" s="133">
        <f t="shared" si="2"/>
        <v>168.75</v>
      </c>
      <c r="L17" s="85">
        <f>1.4*1.35</f>
        <v>1.89</v>
      </c>
      <c r="M17" s="85">
        <f t="shared" si="3"/>
        <v>641.25</v>
      </c>
      <c r="N17" s="135">
        <f t="shared" si="4"/>
        <v>160.3125</v>
      </c>
      <c r="O17" s="85">
        <f t="shared" si="5"/>
        <v>1.7955000000000001</v>
      </c>
      <c r="P17" s="85">
        <f t="shared" si="6"/>
        <v>607.5</v>
      </c>
      <c r="Q17" s="135">
        <f t="shared" si="7"/>
        <v>151.875</v>
      </c>
      <c r="R17" s="85">
        <f t="shared" si="0"/>
        <v>1.7010000000000001</v>
      </c>
      <c r="S17">
        <v>1E-3</v>
      </c>
      <c r="T17" s="136">
        <f t="shared" si="1"/>
        <v>15</v>
      </c>
      <c r="AB17" s="40"/>
      <c r="AC17" s="40"/>
      <c r="AD17" s="10" t="s">
        <v>225</v>
      </c>
      <c r="AE17" s="39"/>
      <c r="AF17" s="154" t="s">
        <v>214</v>
      </c>
      <c r="AG17" s="154" t="s">
        <v>215</v>
      </c>
      <c r="AH17" s="40"/>
      <c r="AI17" s="40" t="s">
        <v>216</v>
      </c>
      <c r="AJ17" s="40"/>
      <c r="BF17" s="171"/>
      <c r="BG17" s="171"/>
      <c r="BH17" s="171"/>
      <c r="BI17" s="171"/>
      <c r="BJ17" s="171"/>
      <c r="BK17" s="171"/>
      <c r="BL17" s="171"/>
      <c r="BM17" s="171"/>
      <c r="BN17" s="171"/>
      <c r="BO17" s="171"/>
    </row>
    <row r="18" spans="3:67">
      <c r="C18" s="10" t="s">
        <v>228</v>
      </c>
      <c r="D18" s="10" t="s">
        <v>200</v>
      </c>
      <c r="E18" t="s">
        <v>223</v>
      </c>
      <c r="F18" s="102">
        <v>2021</v>
      </c>
      <c r="G18" s="108">
        <f>[5]mvkmPerTJ_EFF!$C$29</f>
        <v>0.14665517879393999</v>
      </c>
      <c r="H18" s="110">
        <f>AVERAGE([5]AFA_000kmPerVeh_AFA!$E$9:$K$9)</f>
        <v>33.714285714285701</v>
      </c>
      <c r="I18" s="119">
        <f>AVERAGE([5]Occupancy_ACTFLO_CAP2ACT!$D$9:$J$9)</f>
        <v>16.112766725874099</v>
      </c>
      <c r="J18" s="134">
        <f>500*1.35</f>
        <v>675</v>
      </c>
      <c r="K18" s="133">
        <f t="shared" si="2"/>
        <v>168.75</v>
      </c>
      <c r="L18" s="85">
        <f>1.4*1.35</f>
        <v>1.89</v>
      </c>
      <c r="M18" s="85">
        <f t="shared" si="3"/>
        <v>641.25</v>
      </c>
      <c r="N18" s="135">
        <f t="shared" si="4"/>
        <v>160.3125</v>
      </c>
      <c r="O18" s="85">
        <f t="shared" si="5"/>
        <v>1.7955000000000001</v>
      </c>
      <c r="P18" s="85">
        <f t="shared" si="6"/>
        <v>607.5</v>
      </c>
      <c r="Q18" s="135">
        <f t="shared" si="7"/>
        <v>151.875</v>
      </c>
      <c r="R18" s="85">
        <f t="shared" si="0"/>
        <v>1.7010000000000001</v>
      </c>
      <c r="S18">
        <v>1E-3</v>
      </c>
      <c r="T18" s="136">
        <f t="shared" si="1"/>
        <v>15</v>
      </c>
      <c r="AB18" s="40"/>
      <c r="AC18" s="40"/>
      <c r="AD18" s="10" t="s">
        <v>226</v>
      </c>
      <c r="AE18" s="39"/>
      <c r="AF18" s="154" t="s">
        <v>214</v>
      </c>
      <c r="AG18" s="154" t="s">
        <v>215</v>
      </c>
      <c r="AH18" s="40"/>
      <c r="AI18" s="40" t="s">
        <v>216</v>
      </c>
      <c r="AJ18" s="40"/>
      <c r="BF18" s="171"/>
      <c r="BG18" s="171"/>
      <c r="BH18" s="171"/>
      <c r="BI18" s="171"/>
      <c r="BJ18" s="171"/>
      <c r="BK18" s="171"/>
      <c r="BL18" s="171"/>
      <c r="BM18" s="171"/>
      <c r="BN18" s="171"/>
      <c r="BO18" s="171"/>
    </row>
    <row r="19" spans="3:67">
      <c r="C19" s="111" t="s">
        <v>229</v>
      </c>
      <c r="D19" s="111" t="s">
        <v>200</v>
      </c>
      <c r="E19" s="111" t="s">
        <v>230</v>
      </c>
      <c r="F19" s="62">
        <v>2021</v>
      </c>
      <c r="G19" s="69">
        <f>[5]mvkmPerTJ_EFF!$C$37</f>
        <v>0.36116907686775102</v>
      </c>
      <c r="H19" s="112">
        <f>AVERAGE([5]AFA_000kmPerVeh_AFA!$E$17:$K$17)</f>
        <v>13.005857142857099</v>
      </c>
      <c r="I19" s="115">
        <f>AVERAGE([5]Occupancy_ACTFLO_CAP2ACT!$D$17:$J$17)</f>
        <v>1.58589639888736</v>
      </c>
      <c r="J19" s="134">
        <f>22.8*1.35</f>
        <v>30.78</v>
      </c>
      <c r="K19" s="133">
        <f t="shared" si="2"/>
        <v>168.75</v>
      </c>
      <c r="L19" s="137">
        <f>1.533*1.35</f>
        <v>2.06955</v>
      </c>
      <c r="M19" s="137">
        <f t="shared" si="3"/>
        <v>29.241</v>
      </c>
      <c r="N19" s="135">
        <f t="shared" si="4"/>
        <v>160.3125</v>
      </c>
      <c r="O19" s="85">
        <f t="shared" si="5"/>
        <v>1.9660724999999999</v>
      </c>
      <c r="P19" s="85">
        <f t="shared" si="6"/>
        <v>27.702000000000002</v>
      </c>
      <c r="Q19" s="135">
        <f t="shared" si="7"/>
        <v>151.875</v>
      </c>
      <c r="R19" s="85">
        <f t="shared" si="0"/>
        <v>1.862595</v>
      </c>
      <c r="S19" s="144">
        <v>1E-3</v>
      </c>
      <c r="T19" s="85">
        <f t="shared" si="1"/>
        <v>15</v>
      </c>
      <c r="AB19" s="40"/>
      <c r="AC19" s="40"/>
      <c r="AD19" s="10" t="s">
        <v>227</v>
      </c>
      <c r="AE19" s="39"/>
      <c r="AF19" s="154" t="s">
        <v>214</v>
      </c>
      <c r="AG19" s="154" t="s">
        <v>215</v>
      </c>
      <c r="AH19" s="40"/>
      <c r="AI19" s="40" t="s">
        <v>216</v>
      </c>
      <c r="AJ19" s="40"/>
      <c r="BF19" s="171"/>
      <c r="BG19" s="171"/>
      <c r="BH19" s="171"/>
      <c r="BI19" s="171"/>
      <c r="BJ19" s="171"/>
      <c r="BK19" s="171"/>
      <c r="BL19" s="171"/>
      <c r="BM19" s="171"/>
      <c r="BN19" s="171"/>
      <c r="BO19" s="171"/>
    </row>
    <row r="20" spans="3:67">
      <c r="C20" s="111" t="s">
        <v>231</v>
      </c>
      <c r="D20" s="111" t="s">
        <v>212</v>
      </c>
      <c r="E20" s="111" t="s">
        <v>230</v>
      </c>
      <c r="F20" s="62">
        <v>2021</v>
      </c>
      <c r="G20" s="69">
        <f>[5]mvkmPerTJ_EFF!$C$38</f>
        <v>0.36135614783700698</v>
      </c>
      <c r="H20" s="112">
        <f>AVERAGE([5]AFA_000kmPerVeh_AFA!$E$18:$K$18)</f>
        <v>13.005857142857099</v>
      </c>
      <c r="I20" s="115">
        <f>AVERAGE([5]Occupancy_ACTFLO_CAP2ACT!$D$18:$J$18)</f>
        <v>1.58589639888736</v>
      </c>
      <c r="J20" s="134">
        <f>22.8*1.35</f>
        <v>30.78</v>
      </c>
      <c r="K20" s="133">
        <f t="shared" si="2"/>
        <v>168.75</v>
      </c>
      <c r="L20" s="134">
        <f>1.533*1.35</f>
        <v>2.06955</v>
      </c>
      <c r="M20" s="134">
        <f t="shared" si="3"/>
        <v>29.241</v>
      </c>
      <c r="N20" s="135">
        <f t="shared" si="4"/>
        <v>160.3125</v>
      </c>
      <c r="O20" s="85">
        <f t="shared" si="5"/>
        <v>1.9660724999999999</v>
      </c>
      <c r="P20" s="85">
        <f t="shared" si="6"/>
        <v>27.702000000000002</v>
      </c>
      <c r="Q20" s="135">
        <f t="shared" si="7"/>
        <v>151.875</v>
      </c>
      <c r="R20" s="85">
        <f t="shared" si="0"/>
        <v>1.862595</v>
      </c>
      <c r="S20" s="144">
        <v>1E-3</v>
      </c>
      <c r="T20" s="85">
        <f t="shared" si="1"/>
        <v>15</v>
      </c>
      <c r="AB20" s="40"/>
      <c r="AC20" s="40"/>
      <c r="AD20" s="10" t="s">
        <v>228</v>
      </c>
      <c r="AE20" s="39"/>
      <c r="AF20" s="154" t="s">
        <v>214</v>
      </c>
      <c r="AG20" s="154" t="s">
        <v>215</v>
      </c>
      <c r="AH20" s="40"/>
      <c r="AI20" s="40" t="s">
        <v>216</v>
      </c>
      <c r="AJ20" s="40"/>
      <c r="BF20" s="171"/>
      <c r="BG20" s="171"/>
      <c r="BH20" s="171"/>
      <c r="BI20" s="171"/>
      <c r="BJ20" s="171"/>
      <c r="BK20" s="171"/>
      <c r="BL20" s="171"/>
      <c r="BM20" s="171"/>
      <c r="BN20" s="171"/>
      <c r="BO20" s="171"/>
    </row>
    <row r="21" spans="3:67">
      <c r="C21" s="113" t="s">
        <v>232</v>
      </c>
      <c r="D21" s="111" t="s">
        <v>233</v>
      </c>
      <c r="E21" s="111" t="s">
        <v>230</v>
      </c>
      <c r="F21" s="62">
        <v>2021</v>
      </c>
      <c r="G21" s="114">
        <f>AVERAGE([5]Electric_vehecle!$D$72:$J$72)</f>
        <v>1.77</v>
      </c>
      <c r="H21" s="115">
        <f>AVERAGE([5]Electric_vehecle!$D$49:$J$49)</f>
        <v>13.3333333333333</v>
      </c>
      <c r="I21" s="115">
        <f>AVERAGE([5]Occupancy_ACTFLO_CAP2ACT!$D$19:$J$19)</f>
        <v>1.58589639888736</v>
      </c>
      <c r="J21" s="134">
        <f>31.5*1.35</f>
        <v>42.524999999999999</v>
      </c>
      <c r="K21" s="133">
        <f>(0.1/1.6)*(10^9/1)*1.35/10^6</f>
        <v>84.375</v>
      </c>
      <c r="L21" s="134">
        <f>L19</f>
        <v>2.06955</v>
      </c>
      <c r="M21" s="134">
        <f t="shared" si="3"/>
        <v>40.39875</v>
      </c>
      <c r="N21" s="135">
        <f t="shared" si="4"/>
        <v>80.15625</v>
      </c>
      <c r="O21" s="85">
        <f t="shared" si="5"/>
        <v>1.9660724999999999</v>
      </c>
      <c r="P21" s="85">
        <f t="shared" si="6"/>
        <v>38.272500000000001</v>
      </c>
      <c r="Q21" s="135">
        <f t="shared" si="7"/>
        <v>75.9375</v>
      </c>
      <c r="R21" s="85">
        <f t="shared" si="0"/>
        <v>1.862595</v>
      </c>
      <c r="S21" s="85">
        <v>1E-3</v>
      </c>
      <c r="T21" s="85">
        <v>15</v>
      </c>
      <c r="U21" s="145">
        <v>1</v>
      </c>
      <c r="W21" s="102"/>
      <c r="AD21" s="10" t="s">
        <v>229</v>
      </c>
      <c r="AF21" s="154" t="s">
        <v>214</v>
      </c>
      <c r="AG21" s="154" t="s">
        <v>215</v>
      </c>
      <c r="AH21" s="40"/>
      <c r="AI21" s="40" t="s">
        <v>216</v>
      </c>
    </row>
    <row r="22" spans="3:67">
      <c r="C22" s="113" t="s">
        <v>234</v>
      </c>
      <c r="D22" s="111" t="s">
        <v>233</v>
      </c>
      <c r="E22" s="111" t="s">
        <v>230</v>
      </c>
      <c r="F22" s="62">
        <v>2021</v>
      </c>
      <c r="G22" s="114">
        <f>AVERAGE([5]Electric_vehecle!$D$73:$J$73)</f>
        <v>1.2390000000000001</v>
      </c>
      <c r="H22" s="115">
        <f>AVERAGE([5]Electric_vehecle!$D$50:$J$50)</f>
        <v>13.3333333333333</v>
      </c>
      <c r="I22" s="115">
        <f>AVERAGE([5]Occupancy_ACTFLO_CAP2ACT!$D$20:$J$20)</f>
        <v>1.58589639888736</v>
      </c>
      <c r="J22" s="134">
        <f>25.3*1.35</f>
        <v>34.155000000000001</v>
      </c>
      <c r="K22" s="133">
        <f>K21</f>
        <v>84.375</v>
      </c>
      <c r="L22" s="134">
        <f>L21</f>
        <v>2.06955</v>
      </c>
      <c r="M22" s="134">
        <f t="shared" si="3"/>
        <v>32.447249999999997</v>
      </c>
      <c r="N22" s="135">
        <f t="shared" si="4"/>
        <v>80.15625</v>
      </c>
      <c r="O22" s="85">
        <f t="shared" si="5"/>
        <v>1.9660724999999999</v>
      </c>
      <c r="P22" s="85">
        <f t="shared" si="6"/>
        <v>30.7395</v>
      </c>
      <c r="Q22" s="135">
        <f t="shared" si="7"/>
        <v>75.9375</v>
      </c>
      <c r="R22" s="85">
        <f t="shared" si="0"/>
        <v>1.862595</v>
      </c>
      <c r="S22" s="134">
        <v>1E-3</v>
      </c>
      <c r="T22" s="85">
        <v>15</v>
      </c>
      <c r="U22" s="145">
        <f>[5]Electric_vehecle!$D$94</f>
        <v>0.4</v>
      </c>
      <c r="AD22" s="10" t="s">
        <v>231</v>
      </c>
      <c r="AF22" s="154" t="s">
        <v>214</v>
      </c>
      <c r="AG22" s="154" t="s">
        <v>215</v>
      </c>
      <c r="AH22" s="40"/>
      <c r="AI22" s="40" t="s">
        <v>216</v>
      </c>
    </row>
    <row r="23" spans="3:67">
      <c r="C23" s="113"/>
      <c r="D23" s="111" t="s">
        <v>200</v>
      </c>
      <c r="E23" s="111"/>
      <c r="F23" s="62"/>
      <c r="G23" s="116"/>
      <c r="H23" s="115"/>
      <c r="I23" s="95"/>
      <c r="J23" s="58"/>
      <c r="K23" s="58"/>
      <c r="L23" s="138"/>
      <c r="M23" s="138"/>
      <c r="N23" s="138"/>
      <c r="O23" s="85"/>
      <c r="P23" s="85"/>
      <c r="Q23" s="85"/>
      <c r="R23" s="85"/>
      <c r="S23" s="58"/>
      <c r="T23" s="62"/>
      <c r="U23" s="146">
        <f>1-U22</f>
        <v>0.6</v>
      </c>
      <c r="AD23" s="117" t="s">
        <v>232</v>
      </c>
      <c r="AF23" s="154" t="s">
        <v>214</v>
      </c>
      <c r="AG23" s="154" t="s">
        <v>215</v>
      </c>
      <c r="AI23" s="40" t="s">
        <v>216</v>
      </c>
      <c r="AL23" s="40" t="s">
        <v>235</v>
      </c>
    </row>
    <row r="24" spans="3:67">
      <c r="C24" s="113" t="s">
        <v>236</v>
      </c>
      <c r="D24" s="111" t="s">
        <v>233</v>
      </c>
      <c r="E24" s="111" t="s">
        <v>230</v>
      </c>
      <c r="F24" s="62">
        <v>2021</v>
      </c>
      <c r="G24" s="114">
        <f>AVERAGE([5]Electric_vehecle!$D$75:$J$75)</f>
        <v>1.1505000000000001</v>
      </c>
      <c r="H24" s="115">
        <f>AVERAGE([5]Electric_vehecle!$D$52:$J$52)</f>
        <v>13.3333333333333</v>
      </c>
      <c r="I24" s="115">
        <f>AVERAGE([5]Occupancy_ACTFLO_CAP2ACT!$D$21:$J$21)</f>
        <v>1.58589639888736</v>
      </c>
      <c r="J24" s="134">
        <f>J22</f>
        <v>34.155000000000001</v>
      </c>
      <c r="K24" s="133">
        <f>K22</f>
        <v>84.375</v>
      </c>
      <c r="L24" s="134">
        <f>L22</f>
        <v>2.06955</v>
      </c>
      <c r="M24" s="134">
        <f t="shared" si="3"/>
        <v>32.447249999999997</v>
      </c>
      <c r="N24" s="135">
        <f t="shared" ref="N24:N29" si="8">K24*0.95</f>
        <v>80.15625</v>
      </c>
      <c r="O24" s="85">
        <f t="shared" si="5"/>
        <v>1.9660724999999999</v>
      </c>
      <c r="P24" s="85">
        <f t="shared" si="6"/>
        <v>30.7395</v>
      </c>
      <c r="Q24" s="135">
        <f t="shared" ref="Q24:Q29" si="9">K24*0.9</f>
        <v>75.9375</v>
      </c>
      <c r="R24" s="85">
        <f>R22</f>
        <v>1.862595</v>
      </c>
      <c r="S24" s="134">
        <v>1E-3</v>
      </c>
      <c r="T24" s="85">
        <v>15</v>
      </c>
      <c r="U24" s="145">
        <v>0.3</v>
      </c>
      <c r="AD24" s="117" t="s">
        <v>234</v>
      </c>
      <c r="AF24" s="154" t="s">
        <v>214</v>
      </c>
      <c r="AG24" s="154" t="s">
        <v>215</v>
      </c>
      <c r="AI24" s="40" t="s">
        <v>216</v>
      </c>
      <c r="AL24" s="40" t="s">
        <v>235</v>
      </c>
    </row>
    <row r="25" spans="3:67">
      <c r="C25" s="117"/>
      <c r="D25" s="10" t="s">
        <v>200</v>
      </c>
      <c r="E25" s="10"/>
      <c r="G25" s="118"/>
      <c r="H25" s="119"/>
      <c r="I25" s="41"/>
      <c r="L25" s="17"/>
      <c r="M25" s="17"/>
      <c r="N25" s="17"/>
      <c r="O25" s="17"/>
      <c r="P25" s="17"/>
      <c r="Q25" s="17"/>
      <c r="R25" s="17"/>
      <c r="T25" s="102"/>
      <c r="U25" s="146">
        <f>1-U24</f>
        <v>0.7</v>
      </c>
      <c r="AD25" s="117" t="s">
        <v>236</v>
      </c>
      <c r="AF25" s="154" t="s">
        <v>214</v>
      </c>
      <c r="AG25" s="154" t="s">
        <v>215</v>
      </c>
      <c r="AI25" s="40" t="s">
        <v>216</v>
      </c>
      <c r="AL25" s="40" t="s">
        <v>235</v>
      </c>
    </row>
    <row r="26" spans="3:67">
      <c r="C26" s="117" t="s">
        <v>237</v>
      </c>
      <c r="D26" s="10" t="s">
        <v>233</v>
      </c>
      <c r="E26" s="10" t="s">
        <v>201</v>
      </c>
      <c r="F26" s="102">
        <v>2021</v>
      </c>
      <c r="G26" s="120">
        <f>AVERAGE([5]Electric_vehecle!$D$77)</f>
        <v>0.69</v>
      </c>
      <c r="H26" s="119">
        <f>AVERAGE([5]Electric_vehecle!$D$54:$J$54)</f>
        <v>13.3333333333333</v>
      </c>
      <c r="I26" s="108">
        <f>AVERAGE([5]Occupancy_ACTFLO_CAP2ACT!$D$22:$J$22)</f>
        <v>1.7136975206890199</v>
      </c>
      <c r="J26" s="85">
        <f>44.3*1.35</f>
        <v>59.805</v>
      </c>
      <c r="K26" s="133">
        <f>(0.1/1.6)*(10^9/1)*1.35/10^6</f>
        <v>84.375</v>
      </c>
      <c r="L26" s="85">
        <f>L7</f>
        <v>2.33955</v>
      </c>
      <c r="M26" s="85">
        <f t="shared" si="3"/>
        <v>56.814749999999997</v>
      </c>
      <c r="N26" s="135">
        <f t="shared" si="8"/>
        <v>80.15625</v>
      </c>
      <c r="O26" s="85">
        <f t="shared" si="5"/>
        <v>2.2225725000000001</v>
      </c>
      <c r="P26" s="85">
        <f t="shared" si="6"/>
        <v>53.8245</v>
      </c>
      <c r="Q26" s="135">
        <f t="shared" si="9"/>
        <v>75.9375</v>
      </c>
      <c r="R26" s="85">
        <f>R7</f>
        <v>2.1055950000000001</v>
      </c>
      <c r="S26" s="85">
        <v>1E-3</v>
      </c>
      <c r="T26" s="85">
        <v>15</v>
      </c>
      <c r="U26" s="145">
        <v>1</v>
      </c>
      <c r="AD26" s="117" t="s">
        <v>237</v>
      </c>
      <c r="AF26" s="154" t="s">
        <v>214</v>
      </c>
      <c r="AG26" s="154" t="s">
        <v>215</v>
      </c>
      <c r="AI26" s="40" t="s">
        <v>216</v>
      </c>
      <c r="AL26" s="40" t="s">
        <v>235</v>
      </c>
    </row>
    <row r="27" spans="3:67">
      <c r="C27" s="117" t="s">
        <v>238</v>
      </c>
      <c r="D27" s="10" t="s">
        <v>233</v>
      </c>
      <c r="E27" s="10" t="s">
        <v>201</v>
      </c>
      <c r="F27" s="102">
        <v>2021</v>
      </c>
      <c r="G27" s="120">
        <f>AVERAGE([5]Electric_vehecle!$D$78)</f>
        <v>0.48299999999999998</v>
      </c>
      <c r="H27" s="119">
        <f>AVERAGE([5]Electric_vehecle!$D$55:$J$55)</f>
        <v>13.3333333333333</v>
      </c>
      <c r="I27" s="108">
        <f>AVERAGE([5]Occupancy_ACTFLO_CAP2ACT!$D$23:$J$23)</f>
        <v>1.7136975206890199</v>
      </c>
      <c r="J27" s="85">
        <f>30.5*1.35</f>
        <v>41.174999999999997</v>
      </c>
      <c r="K27" s="133">
        <f>K26</f>
        <v>84.375</v>
      </c>
      <c r="L27" s="85">
        <f>L8</f>
        <v>2.33955</v>
      </c>
      <c r="M27" s="85">
        <f t="shared" si="3"/>
        <v>39.116250000000001</v>
      </c>
      <c r="N27" s="135">
        <f t="shared" si="8"/>
        <v>80.15625</v>
      </c>
      <c r="O27" s="85">
        <f t="shared" si="5"/>
        <v>2.2225725000000001</v>
      </c>
      <c r="P27" s="85">
        <f t="shared" si="6"/>
        <v>37.057499999999997</v>
      </c>
      <c r="Q27" s="135">
        <f t="shared" si="9"/>
        <v>75.9375</v>
      </c>
      <c r="R27" s="85">
        <f>R8</f>
        <v>2.1055950000000001</v>
      </c>
      <c r="S27" s="85">
        <v>1E-3</v>
      </c>
      <c r="T27" s="85">
        <v>15</v>
      </c>
      <c r="U27" s="145">
        <f>[5]Electric_vehecle!$D$94</f>
        <v>0.4</v>
      </c>
      <c r="AD27" s="117" t="s">
        <v>238</v>
      </c>
      <c r="AF27" s="154" t="s">
        <v>214</v>
      </c>
      <c r="AG27" s="154" t="s">
        <v>215</v>
      </c>
      <c r="AI27" s="40" t="s">
        <v>216</v>
      </c>
      <c r="AL27" s="40" t="s">
        <v>235</v>
      </c>
    </row>
    <row r="28" spans="3:67">
      <c r="C28" s="117"/>
      <c r="D28" s="10" t="s">
        <v>200</v>
      </c>
      <c r="E28" s="10"/>
      <c r="G28" s="120"/>
      <c r="H28" s="119"/>
      <c r="I28" s="139"/>
      <c r="J28" s="85"/>
      <c r="K28" s="85"/>
      <c r="L28" s="85"/>
      <c r="M28" s="85"/>
      <c r="N28" s="85"/>
      <c r="O28" s="85"/>
      <c r="P28" s="85"/>
      <c r="Q28" s="85"/>
      <c r="R28" s="85"/>
      <c r="S28" s="85"/>
      <c r="T28" s="85"/>
      <c r="U28" s="146">
        <f>1-U27</f>
        <v>0.6</v>
      </c>
      <c r="AD28" s="117" t="s">
        <v>239</v>
      </c>
      <c r="AF28" s="154" t="s">
        <v>214</v>
      </c>
      <c r="AG28" s="154" t="s">
        <v>215</v>
      </c>
      <c r="AI28" s="40" t="s">
        <v>216</v>
      </c>
      <c r="AL28" s="40" t="s">
        <v>235</v>
      </c>
    </row>
    <row r="29" spans="3:67">
      <c r="C29" s="117" t="s">
        <v>239</v>
      </c>
      <c r="D29" s="10" t="s">
        <v>233</v>
      </c>
      <c r="E29" s="10" t="s">
        <v>201</v>
      </c>
      <c r="F29" s="102">
        <v>2021</v>
      </c>
      <c r="G29" s="120">
        <f>AVERAGE([5]Electric_vehecle!$D$80)</f>
        <v>0.44850000000000001</v>
      </c>
      <c r="H29" s="119">
        <f>AVERAGE([5]Electric_vehecle!$D$57:$J$57)</f>
        <v>13.3333333333333</v>
      </c>
      <c r="I29" s="108">
        <f>AVERAGE([5]Occupancy_ACTFLO_CAP2ACT!$D$24:$J$24)</f>
        <v>1.7136975206890199</v>
      </c>
      <c r="J29" s="85">
        <f>J27</f>
        <v>41.174999999999997</v>
      </c>
      <c r="K29" s="133">
        <f>K27</f>
        <v>84.375</v>
      </c>
      <c r="L29" s="85">
        <f>L9</f>
        <v>2.33955</v>
      </c>
      <c r="M29" s="85">
        <f t="shared" si="3"/>
        <v>39.116250000000001</v>
      </c>
      <c r="N29" s="135">
        <f t="shared" si="8"/>
        <v>80.15625</v>
      </c>
      <c r="O29" s="85">
        <f t="shared" si="5"/>
        <v>2.2225725000000001</v>
      </c>
      <c r="P29" s="85">
        <f t="shared" si="6"/>
        <v>37.057499999999997</v>
      </c>
      <c r="Q29" s="135">
        <f t="shared" si="9"/>
        <v>75.9375</v>
      </c>
      <c r="R29" s="85">
        <f>R9</f>
        <v>2.1055950000000001</v>
      </c>
      <c r="S29" s="85">
        <v>1E-3</v>
      </c>
      <c r="T29" s="85">
        <v>15</v>
      </c>
      <c r="U29" s="145">
        <v>0.3</v>
      </c>
      <c r="AD29" s="10" t="s">
        <v>240</v>
      </c>
      <c r="AE29" s="154"/>
      <c r="AF29" s="154" t="s">
        <v>214</v>
      </c>
      <c r="AG29" s="154" t="s">
        <v>215</v>
      </c>
      <c r="AI29" s="40" t="s">
        <v>216</v>
      </c>
      <c r="AL29" s="40" t="s">
        <v>235</v>
      </c>
    </row>
    <row r="30" spans="3:67">
      <c r="D30" s="10" t="s">
        <v>200</v>
      </c>
      <c r="G30" s="41"/>
      <c r="H30" s="41"/>
      <c r="I30" s="41"/>
      <c r="M30" s="17"/>
      <c r="N30" s="17"/>
      <c r="O30" s="17"/>
      <c r="T30" s="102"/>
      <c r="U30" s="146">
        <f>1-U29</f>
        <v>0.7</v>
      </c>
      <c r="Y30" s="157"/>
      <c r="AD30" s="10" t="s">
        <v>241</v>
      </c>
      <c r="AE30" s="154"/>
      <c r="AF30" s="154" t="s">
        <v>214</v>
      </c>
      <c r="AG30" s="154" t="s">
        <v>215</v>
      </c>
      <c r="AI30" s="40" t="s">
        <v>216</v>
      </c>
      <c r="AL30" s="40" t="s">
        <v>235</v>
      </c>
    </row>
    <row r="31" spans="3:67">
      <c r="C31" s="10" t="s">
        <v>240</v>
      </c>
      <c r="D31" t="s">
        <v>233</v>
      </c>
      <c r="E31" t="s">
        <v>223</v>
      </c>
      <c r="F31">
        <v>2021</v>
      </c>
      <c r="G31" s="121">
        <f>AVERAGE([5]mvkmPerTJ_EFF!$G$5:$M$6)*2</f>
        <v>0.26668626339979701</v>
      </c>
      <c r="H31" s="122">
        <f>AVERAGE([5]AFA_000kmPerVeh_AFA!$E$5:$K$10)</f>
        <v>31.285714285714299</v>
      </c>
      <c r="I31" s="139">
        <f>TRA!I13</f>
        <v>21.973761148770802</v>
      </c>
      <c r="J31" s="71">
        <f>250*1.35</f>
        <v>337.5</v>
      </c>
      <c r="K31" s="133">
        <f>(0.1/1.6)*(10^9)*1.35/10^6</f>
        <v>84.375</v>
      </c>
      <c r="L31" s="85">
        <f>L13</f>
        <v>2.97</v>
      </c>
      <c r="M31" s="85">
        <f t="shared" ref="M31:M34" si="10">J31*95%</f>
        <v>320.625</v>
      </c>
      <c r="N31" s="135">
        <f>K31*0.95</f>
        <v>80.15625</v>
      </c>
      <c r="O31" s="85">
        <f t="shared" si="5"/>
        <v>2.8214999999999999</v>
      </c>
      <c r="P31" s="85">
        <f>J31*90%</f>
        <v>303.75</v>
      </c>
      <c r="Q31" s="135">
        <f t="shared" ref="Q31:R34" si="11">K31*0.9</f>
        <v>75.9375</v>
      </c>
      <c r="R31" s="85">
        <f t="shared" si="11"/>
        <v>2.673</v>
      </c>
      <c r="S31" s="85">
        <v>1E-3</v>
      </c>
      <c r="T31" s="102">
        <v>15</v>
      </c>
      <c r="U31" s="102"/>
      <c r="AD31" s="10" t="s">
        <v>242</v>
      </c>
      <c r="AF31" s="154" t="s">
        <v>214</v>
      </c>
      <c r="AG31" s="154" t="s">
        <v>215</v>
      </c>
      <c r="AI31" s="40" t="s">
        <v>216</v>
      </c>
      <c r="AL31" s="40" t="s">
        <v>235</v>
      </c>
    </row>
    <row r="32" spans="3:67">
      <c r="C32" s="10" t="s">
        <v>241</v>
      </c>
      <c r="D32" t="s">
        <v>233</v>
      </c>
      <c r="E32" t="s">
        <v>223</v>
      </c>
      <c r="F32">
        <v>2021</v>
      </c>
      <c r="G32" s="121">
        <f>AVERAGE([5]mvkmPerTJ_EFF!$G$7:$M$8)*3</f>
        <v>0.191552527210896</v>
      </c>
      <c r="H32" s="122">
        <f>AVERAGE([5]AFA_000kmPerVeh_AFA!$E$5:$K$10)</f>
        <v>31.285714285714299</v>
      </c>
      <c r="I32" s="139">
        <f>I15</f>
        <v>11.9384348573679</v>
      </c>
      <c r="J32" s="71">
        <f>668*1.35</f>
        <v>901.8</v>
      </c>
      <c r="K32" s="133">
        <f>(0.1/1.6)*(10^9)*1.35/10^6</f>
        <v>84.375</v>
      </c>
      <c r="L32" s="85">
        <f>L15</f>
        <v>2.97</v>
      </c>
      <c r="M32" s="85">
        <f t="shared" si="10"/>
        <v>856.71</v>
      </c>
      <c r="N32" s="135">
        <f>K32*0.95</f>
        <v>80.15625</v>
      </c>
      <c r="O32" s="85">
        <f t="shared" si="5"/>
        <v>2.8214999999999999</v>
      </c>
      <c r="P32" s="85">
        <f>J32*90%</f>
        <v>811.62</v>
      </c>
      <c r="Q32" s="135">
        <f t="shared" si="11"/>
        <v>75.9375</v>
      </c>
      <c r="R32" s="85">
        <f t="shared" si="11"/>
        <v>2.673</v>
      </c>
      <c r="S32" s="85">
        <v>1E-3</v>
      </c>
      <c r="T32" s="102">
        <v>15</v>
      </c>
      <c r="AD32" s="10" t="s">
        <v>243</v>
      </c>
      <c r="AF32" s="154" t="s">
        <v>214</v>
      </c>
      <c r="AG32" s="154" t="s">
        <v>215</v>
      </c>
      <c r="AI32" s="40" t="s">
        <v>216</v>
      </c>
      <c r="AL32" s="40" t="s">
        <v>235</v>
      </c>
    </row>
    <row r="33" spans="3:38">
      <c r="C33" s="10" t="s">
        <v>242</v>
      </c>
      <c r="D33" t="s">
        <v>233</v>
      </c>
      <c r="E33" t="s">
        <v>223</v>
      </c>
      <c r="F33">
        <v>2021</v>
      </c>
      <c r="G33" s="121">
        <f>AVERAGE([5]mvkmPerTJ_EFF!$G$9:$M$10)*2</f>
        <v>0.29331035758787899</v>
      </c>
      <c r="H33" s="122">
        <f>AVERAGE([5]AFA_000kmPerVeh_AFA!$E$5:$K$10)</f>
        <v>31.285714285714299</v>
      </c>
      <c r="I33" s="139">
        <f>I17</f>
        <v>16.112766725874099</v>
      </c>
      <c r="J33" s="71">
        <f>676*1.35</f>
        <v>912.6</v>
      </c>
      <c r="K33" s="133">
        <f>(0.1/1.6)*(10^9)*1.35/10^6</f>
        <v>84.375</v>
      </c>
      <c r="L33" s="85">
        <f>L17</f>
        <v>1.89</v>
      </c>
      <c r="M33" s="85">
        <f t="shared" si="10"/>
        <v>866.97</v>
      </c>
      <c r="N33" s="135">
        <f>K33*0.95</f>
        <v>80.15625</v>
      </c>
      <c r="O33" s="85">
        <f t="shared" si="5"/>
        <v>1.7955000000000001</v>
      </c>
      <c r="P33" s="85">
        <f>J33*90%</f>
        <v>821.34</v>
      </c>
      <c r="Q33" s="135">
        <f t="shared" si="11"/>
        <v>75.9375</v>
      </c>
      <c r="R33" s="85">
        <f t="shared" si="11"/>
        <v>1.7010000000000001</v>
      </c>
      <c r="S33" s="85">
        <v>1E-3</v>
      </c>
      <c r="T33" s="102">
        <v>15</v>
      </c>
      <c r="AD33" s="102" t="str">
        <f>C35</f>
        <v>TRA_Tru_PLT_hydrogen</v>
      </c>
      <c r="AE33" s="102"/>
      <c r="AF33" s="102" t="str">
        <f>AF9</f>
        <v>BVkm</v>
      </c>
      <c r="AG33" s="153" t="s">
        <v>215</v>
      </c>
      <c r="AI33" s="40" t="s">
        <v>216</v>
      </c>
      <c r="AL33" s="40"/>
    </row>
    <row r="34" spans="3:38">
      <c r="C34" s="10" t="s">
        <v>243</v>
      </c>
      <c r="D34" t="s">
        <v>233</v>
      </c>
      <c r="E34" s="105" t="s">
        <v>220</v>
      </c>
      <c r="F34">
        <v>2021</v>
      </c>
      <c r="G34" s="123">
        <f>TRA!G12*3</f>
        <v>1.63564262078011</v>
      </c>
      <c r="H34" s="122">
        <f>TRA!H12</f>
        <v>4.0285714285714302</v>
      </c>
      <c r="I34" s="108">
        <f>TRA!I12</f>
        <v>1.1913302777819501</v>
      </c>
      <c r="J34" s="136">
        <f>15*1.35</f>
        <v>20.25</v>
      </c>
      <c r="K34" s="133">
        <f>(0.1/1.6)*(10^9)*1.35/10^6</f>
        <v>84.375</v>
      </c>
      <c r="L34" s="17">
        <f>J34/100</f>
        <v>0.20250000000000001</v>
      </c>
      <c r="M34" s="17">
        <f t="shared" si="10"/>
        <v>19.237500000000001</v>
      </c>
      <c r="N34" s="135">
        <f>K34*0.95</f>
        <v>80.15625</v>
      </c>
      <c r="O34" s="17">
        <f t="shared" si="5"/>
        <v>0.19237499999999999</v>
      </c>
      <c r="P34" s="17">
        <f>J34*0.9</f>
        <v>18.225000000000001</v>
      </c>
      <c r="Q34" s="135">
        <f t="shared" si="11"/>
        <v>75.9375</v>
      </c>
      <c r="R34">
        <f t="shared" si="11"/>
        <v>0.18225</v>
      </c>
      <c r="S34">
        <v>1E-3</v>
      </c>
      <c r="T34" s="102">
        <v>15</v>
      </c>
      <c r="AD34" s="102" t="str">
        <f t="shared" ref="AD34:AD40" si="12">C36</f>
        <v>TRA_Tru_FLT_hydrogen</v>
      </c>
      <c r="AE34" s="102"/>
      <c r="AF34" s="102" t="str">
        <f t="shared" ref="AF34:AF40" si="13">AF10</f>
        <v>BVkm</v>
      </c>
      <c r="AG34" s="153" t="s">
        <v>215</v>
      </c>
      <c r="AI34" s="40" t="s">
        <v>216</v>
      </c>
      <c r="AL34" s="40"/>
    </row>
    <row r="35" spans="3:38" s="102" customFormat="1">
      <c r="C35" s="102" t="s">
        <v>244</v>
      </c>
      <c r="D35" s="124" t="s">
        <v>245</v>
      </c>
      <c r="E35" s="102" t="str">
        <f>E10</f>
        <v>TRA_Tru</v>
      </c>
      <c r="F35" s="102">
        <v>2021</v>
      </c>
      <c r="G35" s="102">
        <f>2*AVERAGE([5]mvkmPerTJ_EFF!$G$11:$M$12)</f>
        <v>0.52298393631351803</v>
      </c>
      <c r="H35" s="125">
        <f>H19</f>
        <v>13.005857142857099</v>
      </c>
      <c r="I35" s="140">
        <f>I7</f>
        <v>1.7136975206890199</v>
      </c>
      <c r="J35" s="102">
        <f>93*1.35</f>
        <v>125.55</v>
      </c>
      <c r="K35" s="141">
        <f>(0.1/1.6)*(10^9)*1.35/10^6</f>
        <v>84.375</v>
      </c>
      <c r="L35" s="102">
        <f>L7</f>
        <v>2.33955</v>
      </c>
      <c r="M35" s="136">
        <f t="shared" ref="M35:M42" si="14">J35*95%</f>
        <v>119.27249999999999</v>
      </c>
      <c r="N35" s="142">
        <f t="shared" ref="N35:N42" si="15">K35*0.95</f>
        <v>80.15625</v>
      </c>
      <c r="O35" s="136">
        <f t="shared" ref="O35:O42" si="16">L35*0.95</f>
        <v>2.2225725000000001</v>
      </c>
      <c r="P35" s="136">
        <f t="shared" ref="P35:P42" si="17">J35*0.9</f>
        <v>112.995</v>
      </c>
      <c r="Q35" s="142">
        <f t="shared" ref="Q35:Q42" si="18">K35*0.9</f>
        <v>75.9375</v>
      </c>
      <c r="R35" s="102">
        <f t="shared" ref="R35:R42" si="19">L35*0.9</f>
        <v>2.1055950000000001</v>
      </c>
      <c r="S35" s="102">
        <f t="shared" ref="S35:S42" si="20">S34</f>
        <v>1E-3</v>
      </c>
      <c r="T35" s="102">
        <f t="shared" ref="T35:T42" si="21">T34</f>
        <v>15</v>
      </c>
      <c r="AD35" s="102" t="str">
        <f t="shared" si="12"/>
        <v>TRA_Tru_MT_hydrogen</v>
      </c>
      <c r="AF35" s="102" t="str">
        <f t="shared" si="13"/>
        <v>BVkm</v>
      </c>
      <c r="AG35" s="153" t="s">
        <v>215</v>
      </c>
      <c r="AI35" s="158" t="s">
        <v>216</v>
      </c>
      <c r="AL35" s="40"/>
    </row>
    <row r="36" spans="3:38" s="102" customFormat="1">
      <c r="C36" s="102" t="s">
        <v>246</v>
      </c>
      <c r="D36" s="124" t="str">
        <f>D35</f>
        <v>TRASYNH2CT</v>
      </c>
      <c r="E36" s="124" t="str">
        <f>E35</f>
        <v>TRA_Tru</v>
      </c>
      <c r="F36" s="124">
        <f>F35</f>
        <v>2021</v>
      </c>
      <c r="G36" s="102">
        <f>G35</f>
        <v>0.52298393631351803</v>
      </c>
      <c r="H36" s="125">
        <f>H35</f>
        <v>13.005857142857099</v>
      </c>
      <c r="I36" s="141">
        <f>I9</f>
        <v>0.55986165464205995</v>
      </c>
      <c r="J36" s="102">
        <f>J35</f>
        <v>125.55</v>
      </c>
      <c r="K36" s="141">
        <f t="shared" ref="K36:K42" si="22">(0.1/1.6)*(10^9)*1.35/10^6</f>
        <v>84.375</v>
      </c>
      <c r="L36" s="102">
        <f>L9</f>
        <v>2.33955</v>
      </c>
      <c r="M36" s="136">
        <f t="shared" si="14"/>
        <v>119.27249999999999</v>
      </c>
      <c r="N36" s="142">
        <f t="shared" si="15"/>
        <v>80.15625</v>
      </c>
      <c r="O36" s="136">
        <f t="shared" si="16"/>
        <v>2.2225725000000001</v>
      </c>
      <c r="P36" s="136">
        <f t="shared" si="17"/>
        <v>112.995</v>
      </c>
      <c r="Q36" s="142">
        <f t="shared" si="18"/>
        <v>75.9375</v>
      </c>
      <c r="R36" s="102">
        <f t="shared" si="19"/>
        <v>2.1055950000000001</v>
      </c>
      <c r="S36" s="102">
        <f t="shared" si="20"/>
        <v>1E-3</v>
      </c>
      <c r="T36" s="102">
        <f t="shared" si="21"/>
        <v>15</v>
      </c>
      <c r="AD36" s="102" t="str">
        <f t="shared" si="12"/>
        <v>TRA_Tru_HT_hydrogen</v>
      </c>
      <c r="AF36" s="102" t="str">
        <f t="shared" si="13"/>
        <v>BVkm</v>
      </c>
      <c r="AG36" s="153" t="s">
        <v>215</v>
      </c>
      <c r="AI36" s="158" t="s">
        <v>216</v>
      </c>
      <c r="AL36" s="40"/>
    </row>
    <row r="37" spans="3:38" s="102" customFormat="1">
      <c r="C37" s="102" t="s">
        <v>247</v>
      </c>
      <c r="D37" s="124" t="str">
        <f t="shared" ref="D37:F38" si="23">D36</f>
        <v>TRASYNH2CT</v>
      </c>
      <c r="E37" s="124" t="str">
        <f t="shared" si="23"/>
        <v>TRA_Tru</v>
      </c>
      <c r="F37" s="124">
        <f t="shared" si="23"/>
        <v>2021</v>
      </c>
      <c r="G37" s="102">
        <f>2*AVERAGE([5]mvkmPerTJ_EFF!$G$14:$M$15)</f>
        <v>0.353645986173803</v>
      </c>
      <c r="H37" s="125">
        <f t="shared" ref="H37:H42" si="24">H36</f>
        <v>13.005857142857099</v>
      </c>
      <c r="I37" s="141">
        <f>I10</f>
        <v>1.01179998747686</v>
      </c>
      <c r="J37" s="102">
        <f>181*1.35</f>
        <v>244.35</v>
      </c>
      <c r="K37" s="141">
        <f t="shared" si="22"/>
        <v>84.375</v>
      </c>
      <c r="L37" s="42">
        <f>L10</f>
        <v>2.33955</v>
      </c>
      <c r="M37" s="136">
        <f t="shared" si="14"/>
        <v>232.13249999999999</v>
      </c>
      <c r="N37" s="142">
        <f t="shared" si="15"/>
        <v>80.15625</v>
      </c>
      <c r="O37" s="136">
        <f t="shared" si="16"/>
        <v>2.2225725000000001</v>
      </c>
      <c r="P37" s="136">
        <f t="shared" si="17"/>
        <v>219.91499999999999</v>
      </c>
      <c r="Q37" s="142">
        <f t="shared" si="18"/>
        <v>75.9375</v>
      </c>
      <c r="R37" s="102">
        <f t="shared" si="19"/>
        <v>2.1055950000000001</v>
      </c>
      <c r="S37" s="102">
        <f t="shared" si="20"/>
        <v>1E-3</v>
      </c>
      <c r="T37" s="102">
        <f t="shared" si="21"/>
        <v>15</v>
      </c>
      <c r="AD37" s="102" t="str">
        <f t="shared" si="12"/>
        <v>TRA_Bus_SB_hydrogen</v>
      </c>
      <c r="AF37" s="102" t="str">
        <f t="shared" si="13"/>
        <v>BVkm</v>
      </c>
      <c r="AG37" s="153" t="s">
        <v>215</v>
      </c>
      <c r="AI37" s="158" t="s">
        <v>216</v>
      </c>
      <c r="AL37" s="40"/>
    </row>
    <row r="38" spans="3:38" s="102" customFormat="1">
      <c r="C38" s="102" t="s">
        <v>248</v>
      </c>
      <c r="D38" s="124" t="str">
        <f t="shared" si="23"/>
        <v>TRASYNH2CT</v>
      </c>
      <c r="E38" s="124" t="str">
        <f t="shared" si="23"/>
        <v>TRA_Tru</v>
      </c>
      <c r="F38" s="124">
        <f t="shared" si="23"/>
        <v>2021</v>
      </c>
      <c r="G38" s="102">
        <f>1.5*AVERAGE([5]mvkmPerTJ_EFF!$G$16:$M$16)</f>
        <v>3.22757961871035</v>
      </c>
      <c r="H38" s="125">
        <f t="shared" si="24"/>
        <v>13.005857142857099</v>
      </c>
      <c r="I38" s="141">
        <f>I11</f>
        <v>0.31897029261652499</v>
      </c>
      <c r="J38" s="42">
        <f>473*1.35</f>
        <v>638.54999999999995</v>
      </c>
      <c r="K38" s="141">
        <f t="shared" si="22"/>
        <v>84.375</v>
      </c>
      <c r="L38" s="42">
        <f>L11</f>
        <v>2.33955</v>
      </c>
      <c r="M38" s="136">
        <f t="shared" si="14"/>
        <v>606.62249999999995</v>
      </c>
      <c r="N38" s="142">
        <f t="shared" si="15"/>
        <v>80.15625</v>
      </c>
      <c r="O38" s="136">
        <f t="shared" si="16"/>
        <v>2.2225725000000001</v>
      </c>
      <c r="P38" s="136">
        <f t="shared" si="17"/>
        <v>574.69500000000005</v>
      </c>
      <c r="Q38" s="142">
        <f t="shared" si="18"/>
        <v>75.9375</v>
      </c>
      <c r="R38" s="102">
        <f t="shared" si="19"/>
        <v>2.1055950000000001</v>
      </c>
      <c r="S38" s="102">
        <f t="shared" si="20"/>
        <v>1E-3</v>
      </c>
      <c r="T38" s="102">
        <f t="shared" si="21"/>
        <v>15</v>
      </c>
      <c r="AD38" s="102" t="str">
        <f t="shared" si="12"/>
        <v>TRA_Bus_UT_hydrogen</v>
      </c>
      <c r="AF38" s="102" t="str">
        <f t="shared" si="13"/>
        <v>BVkm</v>
      </c>
      <c r="AG38" s="153" t="s">
        <v>215</v>
      </c>
      <c r="AI38" s="158" t="s">
        <v>216</v>
      </c>
      <c r="AL38" s="40"/>
    </row>
    <row r="39" spans="3:38" s="102" customFormat="1">
      <c r="C39" s="102" t="s">
        <v>249</v>
      </c>
      <c r="D39" s="102" t="str">
        <f>D35</f>
        <v>TRASYNH2CT</v>
      </c>
      <c r="E39" s="102" t="str">
        <f>E13</f>
        <v>TRA_Bus</v>
      </c>
      <c r="F39" s="102">
        <v>2021</v>
      </c>
      <c r="G39" s="121">
        <f>AVERAGE([5]mvkmPerTJ_EFF!$G$5:$M$6)*1.5</f>
        <v>0.20001469754984699</v>
      </c>
      <c r="H39" s="125">
        <f t="shared" si="24"/>
        <v>13.005857142857099</v>
      </c>
      <c r="I39" s="102">
        <f>I13</f>
        <v>21.973761148770802</v>
      </c>
      <c r="J39" s="102">
        <f>261*1.35</f>
        <v>352.35</v>
      </c>
      <c r="K39" s="141">
        <f t="shared" si="22"/>
        <v>84.375</v>
      </c>
      <c r="L39" s="102">
        <f>L13</f>
        <v>2.97</v>
      </c>
      <c r="M39" s="136">
        <f t="shared" si="14"/>
        <v>334.73250000000002</v>
      </c>
      <c r="N39" s="142">
        <f t="shared" si="15"/>
        <v>80.15625</v>
      </c>
      <c r="O39" s="136">
        <f t="shared" si="16"/>
        <v>2.8214999999999999</v>
      </c>
      <c r="P39" s="136">
        <f t="shared" si="17"/>
        <v>317.11500000000001</v>
      </c>
      <c r="Q39" s="142">
        <f t="shared" si="18"/>
        <v>75.9375</v>
      </c>
      <c r="R39" s="102">
        <f t="shared" si="19"/>
        <v>2.673</v>
      </c>
      <c r="S39" s="102">
        <f t="shared" si="20"/>
        <v>1E-3</v>
      </c>
      <c r="T39" s="102">
        <f t="shared" si="21"/>
        <v>15</v>
      </c>
      <c r="AD39" s="102" t="str">
        <f t="shared" si="12"/>
        <v>TRA_Bus_IC_hydrogen</v>
      </c>
      <c r="AF39" s="102" t="str">
        <f t="shared" si="13"/>
        <v>BVkm</v>
      </c>
      <c r="AG39" s="153" t="s">
        <v>215</v>
      </c>
      <c r="AI39" s="158" t="s">
        <v>216</v>
      </c>
      <c r="AL39" s="40"/>
    </row>
    <row r="40" spans="3:38" s="102" customFormat="1">
      <c r="C40" s="102" t="s">
        <v>250</v>
      </c>
      <c r="D40" s="102" t="str">
        <f t="shared" ref="D40:F41" si="25">D39</f>
        <v>TRASYNH2CT</v>
      </c>
      <c r="E40" s="102" t="str">
        <f t="shared" si="25"/>
        <v>TRA_Bus</v>
      </c>
      <c r="F40" s="102">
        <f t="shared" si="25"/>
        <v>2021</v>
      </c>
      <c r="G40" s="121">
        <f>AVERAGE([5]mvkmPerTJ_EFF!$G$7:$M$8)*2</f>
        <v>0.12770168480726399</v>
      </c>
      <c r="H40" s="125">
        <f t="shared" si="24"/>
        <v>13.005857142857099</v>
      </c>
      <c r="I40" s="102">
        <f>I15</f>
        <v>11.9384348573679</v>
      </c>
      <c r="J40" s="102">
        <f>664*1.35</f>
        <v>896.4</v>
      </c>
      <c r="K40" s="141">
        <f t="shared" si="22"/>
        <v>84.375</v>
      </c>
      <c r="L40" s="102">
        <f>L15</f>
        <v>2.97</v>
      </c>
      <c r="M40" s="136">
        <f t="shared" si="14"/>
        <v>851.58</v>
      </c>
      <c r="N40" s="142">
        <f t="shared" si="15"/>
        <v>80.15625</v>
      </c>
      <c r="O40" s="136">
        <f t="shared" si="16"/>
        <v>2.8214999999999999</v>
      </c>
      <c r="P40" s="136">
        <f t="shared" si="17"/>
        <v>806.76</v>
      </c>
      <c r="Q40" s="142">
        <f t="shared" si="18"/>
        <v>75.9375</v>
      </c>
      <c r="R40" s="102">
        <f t="shared" si="19"/>
        <v>2.673</v>
      </c>
      <c r="S40" s="102">
        <f t="shared" si="20"/>
        <v>1E-3</v>
      </c>
      <c r="T40" s="102">
        <f t="shared" si="21"/>
        <v>15</v>
      </c>
      <c r="AD40" s="102" t="str">
        <f t="shared" si="12"/>
        <v>TRA_Car_hydrogen</v>
      </c>
      <c r="AF40" s="102" t="str">
        <f t="shared" si="13"/>
        <v>BVkm</v>
      </c>
      <c r="AG40" s="153" t="s">
        <v>215</v>
      </c>
      <c r="AI40" s="158" t="s">
        <v>216</v>
      </c>
      <c r="AL40" s="40"/>
    </row>
    <row r="41" spans="3:38" s="102" customFormat="1">
      <c r="C41" s="102" t="s">
        <v>251</v>
      </c>
      <c r="D41" s="102" t="str">
        <f t="shared" si="25"/>
        <v>TRASYNH2CT</v>
      </c>
      <c r="E41" s="102" t="str">
        <f t="shared" si="25"/>
        <v>TRA_Bus</v>
      </c>
      <c r="F41" s="102">
        <f t="shared" si="25"/>
        <v>2021</v>
      </c>
      <c r="G41" s="121">
        <f>AVERAGE([5]mvkmPerTJ_EFF!$G$9:$M$10)*1.5</f>
        <v>0.21998276819090901</v>
      </c>
      <c r="H41" s="125">
        <f t="shared" si="24"/>
        <v>13.005857142857099</v>
      </c>
      <c r="I41" s="102">
        <f>I17</f>
        <v>16.112766725874099</v>
      </c>
      <c r="J41" s="102">
        <f>666*1.35</f>
        <v>899.1</v>
      </c>
      <c r="K41" s="141">
        <f t="shared" si="22"/>
        <v>84.375</v>
      </c>
      <c r="L41" s="102">
        <f>L17</f>
        <v>1.89</v>
      </c>
      <c r="M41" s="136">
        <f t="shared" si="14"/>
        <v>854.14499999999998</v>
      </c>
      <c r="N41" s="142">
        <f t="shared" si="15"/>
        <v>80.15625</v>
      </c>
      <c r="O41" s="136">
        <f t="shared" si="16"/>
        <v>1.7955000000000001</v>
      </c>
      <c r="P41" s="136">
        <f t="shared" si="17"/>
        <v>809.19</v>
      </c>
      <c r="Q41" s="142">
        <f t="shared" si="18"/>
        <v>75.9375</v>
      </c>
      <c r="R41" s="102">
        <f t="shared" si="19"/>
        <v>1.7010000000000001</v>
      </c>
      <c r="S41" s="102">
        <f t="shared" si="20"/>
        <v>1E-3</v>
      </c>
      <c r="T41" s="102">
        <f t="shared" si="21"/>
        <v>15</v>
      </c>
    </row>
    <row r="42" spans="3:38" s="102" customFormat="1">
      <c r="C42" s="102" t="s">
        <v>252</v>
      </c>
      <c r="D42" s="102" t="str">
        <f>D39</f>
        <v>TRASYNH2CT</v>
      </c>
      <c r="E42" s="102" t="str">
        <f>E19</f>
        <v>TRA_Car</v>
      </c>
      <c r="F42" s="102">
        <v>2021</v>
      </c>
      <c r="G42" s="102">
        <f>AVERAGE([5]mvkmPerTJ_EFF!$G$18:$M$18)*2</f>
        <v>0.72233815373550303</v>
      </c>
      <c r="H42" s="125">
        <f t="shared" si="24"/>
        <v>13.005857142857099</v>
      </c>
      <c r="I42" s="102">
        <f>I19</f>
        <v>1.58589639888736</v>
      </c>
      <c r="J42" s="42">
        <f>48.2*1.35</f>
        <v>65.069999999999993</v>
      </c>
      <c r="K42" s="141">
        <f t="shared" si="22"/>
        <v>84.375</v>
      </c>
      <c r="L42" s="102">
        <f>L19</f>
        <v>2.06955</v>
      </c>
      <c r="M42" s="136">
        <f t="shared" si="14"/>
        <v>61.816499999999998</v>
      </c>
      <c r="N42" s="142">
        <f t="shared" si="15"/>
        <v>80.15625</v>
      </c>
      <c r="O42" s="136">
        <f t="shared" si="16"/>
        <v>1.9660724999999999</v>
      </c>
      <c r="P42" s="136">
        <f t="shared" si="17"/>
        <v>58.563000000000002</v>
      </c>
      <c r="Q42" s="142">
        <f t="shared" si="18"/>
        <v>75.9375</v>
      </c>
      <c r="R42" s="102">
        <f t="shared" si="19"/>
        <v>1.862595</v>
      </c>
      <c r="S42" s="102">
        <f t="shared" si="20"/>
        <v>1E-3</v>
      </c>
      <c r="T42" s="102">
        <f t="shared" si="21"/>
        <v>15</v>
      </c>
    </row>
    <row r="43" spans="3:38">
      <c r="C43" s="126" t="s">
        <v>199</v>
      </c>
      <c r="D43" s="127" t="s">
        <v>253</v>
      </c>
    </row>
    <row r="44" spans="3:38">
      <c r="C44" s="126" t="s">
        <v>211</v>
      </c>
      <c r="D44" s="127" t="s">
        <v>253</v>
      </c>
    </row>
    <row r="45" spans="3:38">
      <c r="C45" s="128" t="s">
        <v>213</v>
      </c>
      <c r="D45" s="127" t="s">
        <v>253</v>
      </c>
    </row>
    <row r="46" spans="3:38">
      <c r="C46" s="128" t="s">
        <v>217</v>
      </c>
      <c r="D46" s="127" t="s">
        <v>253</v>
      </c>
    </row>
    <row r="47" spans="3:38">
      <c r="C47" s="128" t="s">
        <v>218</v>
      </c>
      <c r="D47" s="127" t="s">
        <v>253</v>
      </c>
    </row>
    <row r="48" spans="3:38">
      <c r="C48" s="128" t="s">
        <v>219</v>
      </c>
      <c r="D48" s="127" t="s">
        <v>253</v>
      </c>
    </row>
    <row r="49" spans="3:4">
      <c r="C49" s="128" t="s">
        <v>222</v>
      </c>
      <c r="D49" s="127" t="s">
        <v>253</v>
      </c>
    </row>
    <row r="50" spans="3:4">
      <c r="C50" s="128" t="s">
        <v>224</v>
      </c>
      <c r="D50" s="127" t="s">
        <v>253</v>
      </c>
    </row>
    <row r="51" spans="3:4">
      <c r="C51" s="128" t="s">
        <v>225</v>
      </c>
      <c r="D51" s="127" t="s">
        <v>253</v>
      </c>
    </row>
    <row r="52" spans="3:4">
      <c r="C52" s="128" t="s">
        <v>226</v>
      </c>
      <c r="D52" s="127" t="s">
        <v>253</v>
      </c>
    </row>
    <row r="53" spans="3:4">
      <c r="C53" s="128" t="s">
        <v>227</v>
      </c>
      <c r="D53" s="127" t="s">
        <v>253</v>
      </c>
    </row>
    <row r="54" spans="3:4">
      <c r="C54" s="128" t="s">
        <v>228</v>
      </c>
      <c r="D54" s="127" t="s">
        <v>253</v>
      </c>
    </row>
    <row r="55" spans="3:4">
      <c r="C55" s="129" t="s">
        <v>229</v>
      </c>
      <c r="D55" s="127" t="s">
        <v>253</v>
      </c>
    </row>
    <row r="56" spans="3:4">
      <c r="C56" s="129" t="s">
        <v>231</v>
      </c>
      <c r="D56" s="127" t="s">
        <v>253</v>
      </c>
    </row>
  </sheetData>
  <autoFilter ref="AS1:AS56" xr:uid="{00000000-0009-0000-0000-000001000000}"/>
  <hyperlinks>
    <hyperlink ref="B2" r:id="rId1" xr:uid="{00000000-0004-0000-0100-000000000000}"/>
    <hyperlink ref="B3" r:id="rId2"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xr:uid="{00000000-0004-0000-0100-000001000000}"/>
  </hyperlinks>
  <pageMargins left="0.7" right="0.7" top="0.75" bottom="0.75" header="0.3" footer="0.3"/>
  <pageSetup orientation="portrait"/>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L339"/>
  <sheetViews>
    <sheetView tabSelected="1" topLeftCell="J119" zoomScale="40" zoomScaleNormal="39" workbookViewId="0">
      <selection activeCell="AJ131" sqref="AJ131"/>
    </sheetView>
  </sheetViews>
  <sheetFormatPr defaultColWidth="9" defaultRowHeight="14.5"/>
  <cols>
    <col min="2" max="2" width="23.81640625" style="58" customWidth="1"/>
    <col min="3" max="4" width="9" style="58"/>
    <col min="5" max="5" width="17.36328125" style="58" customWidth="1"/>
    <col min="6" max="6" width="9" style="58"/>
    <col min="7" max="9" width="12.81640625" style="59"/>
    <col min="10" max="11" width="12.81640625" style="60"/>
    <col min="12" max="12" width="14" style="60" customWidth="1"/>
    <col min="13" max="13" width="11.6328125" style="60" customWidth="1"/>
    <col min="14" max="15" width="9" style="58"/>
    <col min="16" max="16" width="10.453125" style="58" customWidth="1"/>
    <col min="18" max="18" width="9" style="61"/>
    <col min="19" max="19" width="9" style="3"/>
    <col min="21" max="21" width="24.81640625" customWidth="1"/>
    <col min="22" max="22" width="9.26953125" customWidth="1"/>
    <col min="31" max="31" width="18.54296875" customWidth="1"/>
    <col min="36" max="36" width="12.81640625"/>
  </cols>
  <sheetData>
    <row r="1" spans="2:38">
      <c r="B1" s="62" t="s">
        <v>254</v>
      </c>
      <c r="G1" s="60"/>
      <c r="H1" s="60"/>
      <c r="I1" s="60"/>
    </row>
    <row r="2" spans="2:38">
      <c r="B2" s="62" t="s">
        <v>255</v>
      </c>
      <c r="G2" s="60"/>
      <c r="H2" s="60"/>
      <c r="I2" s="60"/>
    </row>
    <row r="3" spans="2:38">
      <c r="B3" s="62" t="s">
        <v>256</v>
      </c>
      <c r="G3" s="60"/>
      <c r="H3" s="60"/>
      <c r="I3" s="60"/>
    </row>
    <row r="4" spans="2:38">
      <c r="E4" s="63" t="s">
        <v>10</v>
      </c>
      <c r="G4" s="60"/>
      <c r="H4" s="60"/>
      <c r="I4" s="60"/>
      <c r="T4" s="20" t="s">
        <v>11</v>
      </c>
      <c r="U4" s="20"/>
      <c r="V4" s="76"/>
      <c r="W4" s="76"/>
      <c r="X4" s="76"/>
      <c r="Y4" s="76"/>
      <c r="Z4" s="76"/>
      <c r="AA4" s="76"/>
      <c r="AH4" s="12" t="s">
        <v>10</v>
      </c>
      <c r="AJ4" s="81"/>
      <c r="AK4" s="81"/>
      <c r="AL4" s="81"/>
    </row>
    <row r="5" spans="2:38" ht="26">
      <c r="B5" s="64" t="s">
        <v>12</v>
      </c>
      <c r="C5" s="64" t="s">
        <v>13</v>
      </c>
      <c r="D5" s="65" t="s">
        <v>18</v>
      </c>
      <c r="E5" s="64" t="s">
        <v>15</v>
      </c>
      <c r="F5" s="66" t="s">
        <v>16</v>
      </c>
      <c r="G5" s="67" t="s">
        <v>17</v>
      </c>
      <c r="H5" s="67" t="s">
        <v>18</v>
      </c>
      <c r="I5" s="67" t="s">
        <v>19</v>
      </c>
      <c r="J5" s="67" t="s">
        <v>20</v>
      </c>
      <c r="K5" s="67" t="s">
        <v>21</v>
      </c>
      <c r="L5" s="67" t="s">
        <v>24</v>
      </c>
      <c r="M5" s="67" t="s">
        <v>25</v>
      </c>
      <c r="N5" s="72" t="s">
        <v>26</v>
      </c>
      <c r="O5" s="73" t="s">
        <v>27</v>
      </c>
      <c r="P5" s="50" t="s">
        <v>28</v>
      </c>
      <c r="R5" s="77" t="s">
        <v>26</v>
      </c>
      <c r="S5" s="78"/>
      <c r="T5" s="79" t="s">
        <v>29</v>
      </c>
      <c r="U5" s="79" t="s">
        <v>12</v>
      </c>
      <c r="V5" s="79" t="s">
        <v>30</v>
      </c>
      <c r="W5" s="79" t="s">
        <v>31</v>
      </c>
      <c r="X5" s="79" t="s">
        <v>32</v>
      </c>
      <c r="Y5" s="79" t="s">
        <v>33</v>
      </c>
      <c r="Z5" s="79" t="s">
        <v>34</v>
      </c>
      <c r="AA5" s="79" t="s">
        <v>198</v>
      </c>
      <c r="AE5" s="13" t="s">
        <v>12</v>
      </c>
      <c r="AF5" s="13" t="s">
        <v>18</v>
      </c>
      <c r="AG5" s="43" t="s">
        <v>18</v>
      </c>
      <c r="AH5" s="13" t="s">
        <v>18</v>
      </c>
      <c r="AI5" s="14" t="s">
        <v>16</v>
      </c>
      <c r="AJ5" s="45" t="s">
        <v>19</v>
      </c>
      <c r="AK5" s="82" t="s">
        <v>18</v>
      </c>
    </row>
    <row r="6" spans="2:38" ht="175">
      <c r="B6" s="68" t="s">
        <v>257</v>
      </c>
      <c r="C6" s="68" t="s">
        <v>258</v>
      </c>
      <c r="D6" s="68"/>
      <c r="E6" s="68" t="s">
        <v>259</v>
      </c>
      <c r="F6" s="58">
        <v>2021</v>
      </c>
      <c r="G6" s="69">
        <f>RSD!H121</f>
        <v>0.69568463418715298</v>
      </c>
      <c r="H6" s="69"/>
      <c r="I6" s="69">
        <f>RSD!J121</f>
        <v>5.8565106387802497E-2</v>
      </c>
      <c r="J6" s="69">
        <f>RSD!K121</f>
        <v>936.91051674829305</v>
      </c>
      <c r="K6" s="69">
        <f>RSD!L121</f>
        <v>23.698648760568499</v>
      </c>
      <c r="L6" s="69">
        <f>RSD!M121</f>
        <v>926.30352928862396</v>
      </c>
      <c r="M6" s="69">
        <f>RSD!N121</f>
        <v>23.698648760568499</v>
      </c>
      <c r="N6" s="69">
        <f>RSD!Q121</f>
        <v>15.5</v>
      </c>
      <c r="O6" s="58">
        <v>31.54</v>
      </c>
      <c r="R6" s="61">
        <v>22</v>
      </c>
      <c r="T6" t="s">
        <v>38</v>
      </c>
      <c r="U6" s="80" t="s">
        <v>257</v>
      </c>
      <c r="W6" s="80" t="s">
        <v>39</v>
      </c>
      <c r="X6" s="80" t="s">
        <v>40</v>
      </c>
      <c r="AE6" t="str">
        <f>B146</f>
        <v>WST-SpHeat_ELE1</v>
      </c>
      <c r="AJ6">
        <v>0.19848365442079791</v>
      </c>
      <c r="AK6" s="57" t="s">
        <v>182</v>
      </c>
    </row>
    <row r="7" spans="2:38" ht="175">
      <c r="B7" s="68" t="s">
        <v>260</v>
      </c>
      <c r="C7" s="68" t="s">
        <v>258</v>
      </c>
      <c r="D7" s="68"/>
      <c r="E7" s="68" t="s">
        <v>261</v>
      </c>
      <c r="F7" s="58">
        <v>2021</v>
      </c>
      <c r="G7" s="70">
        <f>G6</f>
        <v>0.69568463418715298</v>
      </c>
      <c r="H7" s="70"/>
      <c r="I7" s="70">
        <f t="shared" ref="I7:N7" si="0">I6</f>
        <v>5.8565106387802497E-2</v>
      </c>
      <c r="J7" s="70">
        <f t="shared" si="0"/>
        <v>936.91051674829305</v>
      </c>
      <c r="K7" s="70">
        <f t="shared" si="0"/>
        <v>23.698648760568499</v>
      </c>
      <c r="L7" s="70">
        <f t="shared" si="0"/>
        <v>926.30352928862396</v>
      </c>
      <c r="M7" s="70">
        <f t="shared" si="0"/>
        <v>23.698648760568499</v>
      </c>
      <c r="N7" s="74">
        <f t="shared" si="0"/>
        <v>15.5</v>
      </c>
      <c r="O7" s="58">
        <v>31.54</v>
      </c>
      <c r="R7" s="61">
        <f>R6</f>
        <v>22</v>
      </c>
      <c r="U7" s="80" t="s">
        <v>260</v>
      </c>
      <c r="W7" s="80" t="s">
        <v>39</v>
      </c>
      <c r="X7" s="80" t="s">
        <v>40</v>
      </c>
      <c r="AE7" t="str">
        <f t="shared" ref="AE7:AE36" si="1">B147</f>
        <v>WST-SpHeat_GAS1</v>
      </c>
      <c r="AJ7">
        <v>0.4694684934038334</v>
      </c>
      <c r="AK7" s="57" t="s">
        <v>182</v>
      </c>
    </row>
    <row r="8" spans="2:38" ht="175">
      <c r="B8" s="68" t="s">
        <v>262</v>
      </c>
      <c r="C8" s="68" t="s">
        <v>258</v>
      </c>
      <c r="D8" s="68"/>
      <c r="E8" s="68" t="s">
        <v>263</v>
      </c>
      <c r="F8" s="58">
        <v>2021</v>
      </c>
      <c r="G8" s="70">
        <f t="shared" ref="G8:G15" si="2">G7</f>
        <v>0.69568463418715298</v>
      </c>
      <c r="H8" s="70"/>
      <c r="I8" s="70">
        <f t="shared" ref="I8:I15" si="3">I7</f>
        <v>5.8565106387802497E-2</v>
      </c>
      <c r="J8" s="70">
        <f t="shared" ref="J8:J15" si="4">J7</f>
        <v>936.91051674829305</v>
      </c>
      <c r="K8" s="70">
        <f t="shared" ref="K8:K15" si="5">K7</f>
        <v>23.698648760568499</v>
      </c>
      <c r="L8" s="70">
        <f t="shared" ref="L8:L15" si="6">L7</f>
        <v>926.30352928862396</v>
      </c>
      <c r="M8" s="70">
        <f t="shared" ref="M8:N15" si="7">M7</f>
        <v>23.698648760568499</v>
      </c>
      <c r="N8" s="74">
        <f t="shared" si="7"/>
        <v>15.5</v>
      </c>
      <c r="O8" s="58">
        <v>31.54</v>
      </c>
      <c r="R8" s="61">
        <f t="shared" ref="R8:R15" si="8">R7</f>
        <v>22</v>
      </c>
      <c r="U8" s="80" t="s">
        <v>262</v>
      </c>
      <c r="W8" s="80" t="s">
        <v>39</v>
      </c>
      <c r="X8" s="80" t="s">
        <v>40</v>
      </c>
      <c r="AE8" t="str">
        <f t="shared" si="1"/>
        <v>WST-SpHeat_LFO1</v>
      </c>
      <c r="AJ8">
        <v>0.18361570890563317</v>
      </c>
      <c r="AK8" s="57" t="s">
        <v>182</v>
      </c>
    </row>
    <row r="9" spans="2:38" ht="175">
      <c r="B9" s="68" t="s">
        <v>264</v>
      </c>
      <c r="C9" s="68" t="s">
        <v>258</v>
      </c>
      <c r="D9" s="68"/>
      <c r="E9" s="68" t="s">
        <v>265</v>
      </c>
      <c r="F9" s="58">
        <v>2021</v>
      </c>
      <c r="G9" s="70">
        <f t="shared" si="2"/>
        <v>0.69568463418715298</v>
      </c>
      <c r="H9" s="70"/>
      <c r="I9" s="70">
        <f t="shared" si="3"/>
        <v>5.8565106387802497E-2</v>
      </c>
      <c r="J9" s="70">
        <f t="shared" si="4"/>
        <v>936.91051674829305</v>
      </c>
      <c r="K9" s="70">
        <f t="shared" si="5"/>
        <v>23.698648760568499</v>
      </c>
      <c r="L9" s="70">
        <f t="shared" si="6"/>
        <v>926.30352928862396</v>
      </c>
      <c r="M9" s="70">
        <f t="shared" si="7"/>
        <v>23.698648760568499</v>
      </c>
      <c r="N9" s="74">
        <f t="shared" si="7"/>
        <v>15.5</v>
      </c>
      <c r="O9" s="58">
        <v>31.54</v>
      </c>
      <c r="R9" s="61">
        <f t="shared" si="8"/>
        <v>22</v>
      </c>
      <c r="U9" s="80" t="s">
        <v>264</v>
      </c>
      <c r="W9" s="80" t="s">
        <v>39</v>
      </c>
      <c r="X9" s="80" t="s">
        <v>40</v>
      </c>
      <c r="AE9" t="str">
        <f t="shared" si="1"/>
        <v>WST-SpHeat_HFO1</v>
      </c>
      <c r="AJ9">
        <v>0.18361570890563317</v>
      </c>
      <c r="AK9" s="57" t="s">
        <v>182</v>
      </c>
    </row>
    <row r="10" spans="2:38" ht="175">
      <c r="B10" s="68" t="s">
        <v>266</v>
      </c>
      <c r="C10" s="68" t="s">
        <v>258</v>
      </c>
      <c r="D10" s="68"/>
      <c r="E10" s="68" t="s">
        <v>267</v>
      </c>
      <c r="F10" s="58">
        <v>2021</v>
      </c>
      <c r="G10" s="70">
        <f t="shared" si="2"/>
        <v>0.69568463418715298</v>
      </c>
      <c r="H10" s="70"/>
      <c r="I10" s="70">
        <f t="shared" si="3"/>
        <v>5.8565106387802497E-2</v>
      </c>
      <c r="J10" s="70">
        <f t="shared" si="4"/>
        <v>936.91051674829305</v>
      </c>
      <c r="K10" s="70">
        <f t="shared" si="5"/>
        <v>23.698648760568499</v>
      </c>
      <c r="L10" s="70">
        <f t="shared" si="6"/>
        <v>926.30352928862396</v>
      </c>
      <c r="M10" s="70">
        <f t="shared" si="7"/>
        <v>23.698648760568499</v>
      </c>
      <c r="N10" s="74">
        <f t="shared" si="7"/>
        <v>15.5</v>
      </c>
      <c r="O10" s="58">
        <v>31.54</v>
      </c>
      <c r="R10" s="61">
        <f t="shared" si="8"/>
        <v>22</v>
      </c>
      <c r="U10" s="80" t="s">
        <v>266</v>
      </c>
      <c r="W10" s="80" t="s">
        <v>39</v>
      </c>
      <c r="X10" s="80" t="s">
        <v>40</v>
      </c>
      <c r="AE10" t="str">
        <f t="shared" si="1"/>
        <v>WST-SpHeat_STE1</v>
      </c>
      <c r="AJ10">
        <v>0.29415379576205714</v>
      </c>
      <c r="AK10" s="57" t="s">
        <v>182</v>
      </c>
    </row>
    <row r="11" spans="2:38" ht="175">
      <c r="B11" s="68" t="s">
        <v>268</v>
      </c>
      <c r="C11" s="68" t="s">
        <v>258</v>
      </c>
      <c r="D11" s="68"/>
      <c r="E11" s="68" t="s">
        <v>269</v>
      </c>
      <c r="F11" s="58">
        <v>2021</v>
      </c>
      <c r="G11" s="70">
        <f t="shared" si="2"/>
        <v>0.69568463418715298</v>
      </c>
      <c r="H11" s="70"/>
      <c r="I11" s="70">
        <f t="shared" si="3"/>
        <v>5.8565106387802497E-2</v>
      </c>
      <c r="J11" s="70">
        <f t="shared" si="4"/>
        <v>936.91051674829305</v>
      </c>
      <c r="K11" s="70">
        <f t="shared" si="5"/>
        <v>23.698648760568499</v>
      </c>
      <c r="L11" s="70">
        <f t="shared" si="6"/>
        <v>926.30352928862396</v>
      </c>
      <c r="M11" s="70">
        <f t="shared" si="7"/>
        <v>23.698648760568499</v>
      </c>
      <c r="N11" s="74">
        <f t="shared" si="7"/>
        <v>15.5</v>
      </c>
      <c r="O11" s="58">
        <v>31.54</v>
      </c>
      <c r="R11" s="61">
        <f t="shared" si="8"/>
        <v>22</v>
      </c>
      <c r="U11" s="80" t="s">
        <v>268</v>
      </c>
      <c r="W11" s="80" t="s">
        <v>39</v>
      </c>
      <c r="X11" s="80" t="s">
        <v>40</v>
      </c>
      <c r="AE11" t="str">
        <f t="shared" si="1"/>
        <v>WST-SpHeat_COA1</v>
      </c>
      <c r="AJ11">
        <v>0.61920112208002076</v>
      </c>
      <c r="AK11" s="57" t="s">
        <v>182</v>
      </c>
    </row>
    <row r="12" spans="2:38" ht="175">
      <c r="B12" s="68" t="s">
        <v>270</v>
      </c>
      <c r="C12" s="68" t="s">
        <v>258</v>
      </c>
      <c r="D12" s="68"/>
      <c r="E12" s="68" t="s">
        <v>271</v>
      </c>
      <c r="F12" s="58">
        <v>2021</v>
      </c>
      <c r="G12" s="70">
        <f t="shared" si="2"/>
        <v>0.69568463418715298</v>
      </c>
      <c r="H12" s="70"/>
      <c r="I12" s="70">
        <f t="shared" si="3"/>
        <v>5.8565106387802497E-2</v>
      </c>
      <c r="J12" s="70">
        <f t="shared" si="4"/>
        <v>936.91051674829305</v>
      </c>
      <c r="K12" s="70">
        <f t="shared" si="5"/>
        <v>23.698648760568499</v>
      </c>
      <c r="L12" s="70">
        <f t="shared" si="6"/>
        <v>926.30352928862396</v>
      </c>
      <c r="M12" s="70">
        <f t="shared" si="7"/>
        <v>23.698648760568499</v>
      </c>
      <c r="N12" s="74">
        <f t="shared" si="7"/>
        <v>15.5</v>
      </c>
      <c r="O12" s="58">
        <v>31.54</v>
      </c>
      <c r="R12" s="61">
        <f t="shared" si="8"/>
        <v>22</v>
      </c>
      <c r="U12" s="80" t="s">
        <v>270</v>
      </c>
      <c r="W12" s="80" t="s">
        <v>39</v>
      </c>
      <c r="X12" s="80" t="s">
        <v>40</v>
      </c>
      <c r="AE12" t="str">
        <f t="shared" si="1"/>
        <v>RTS-SpHeat_ELE1</v>
      </c>
      <c r="AJ12">
        <f t="shared" ref="AJ12:AJ17" si="9">AJ6</f>
        <v>0.19848365442079791</v>
      </c>
      <c r="AK12" s="57" t="s">
        <v>182</v>
      </c>
    </row>
    <row r="13" spans="2:38" ht="175">
      <c r="B13" s="68" t="s">
        <v>272</v>
      </c>
      <c r="C13" s="68" t="s">
        <v>258</v>
      </c>
      <c r="D13" s="68"/>
      <c r="E13" s="68" t="s">
        <v>273</v>
      </c>
      <c r="F13" s="58">
        <v>2021</v>
      </c>
      <c r="G13" s="70">
        <f t="shared" si="2"/>
        <v>0.69568463418715298</v>
      </c>
      <c r="H13" s="70"/>
      <c r="I13" s="70">
        <f t="shared" si="3"/>
        <v>5.8565106387802497E-2</v>
      </c>
      <c r="J13" s="70">
        <f t="shared" si="4"/>
        <v>936.91051674829305</v>
      </c>
      <c r="K13" s="70">
        <f t="shared" si="5"/>
        <v>23.698648760568499</v>
      </c>
      <c r="L13" s="70">
        <f t="shared" si="6"/>
        <v>926.30352928862396</v>
      </c>
      <c r="M13" s="70">
        <f t="shared" si="7"/>
        <v>23.698648760568499</v>
      </c>
      <c r="N13" s="74">
        <f t="shared" si="7"/>
        <v>15.5</v>
      </c>
      <c r="O13" s="58">
        <v>31.54</v>
      </c>
      <c r="R13" s="61">
        <f t="shared" si="8"/>
        <v>22</v>
      </c>
      <c r="U13" s="80" t="s">
        <v>272</v>
      </c>
      <c r="W13" s="80" t="s">
        <v>39</v>
      </c>
      <c r="X13" s="80" t="s">
        <v>40</v>
      </c>
      <c r="AE13" t="str">
        <f t="shared" si="1"/>
        <v>RTS-SpHeat_GAS1</v>
      </c>
      <c r="AJ13">
        <f t="shared" si="9"/>
        <v>0.4694684934038334</v>
      </c>
      <c r="AK13" s="57" t="s">
        <v>182</v>
      </c>
    </row>
    <row r="14" spans="2:38" ht="175">
      <c r="B14" s="68" t="s">
        <v>274</v>
      </c>
      <c r="C14" s="68" t="s">
        <v>258</v>
      </c>
      <c r="D14" s="68"/>
      <c r="E14" s="68" t="s">
        <v>275</v>
      </c>
      <c r="F14" s="58">
        <v>2021</v>
      </c>
      <c r="G14" s="70">
        <f t="shared" si="2"/>
        <v>0.69568463418715298</v>
      </c>
      <c r="H14" s="70"/>
      <c r="I14" s="70">
        <f t="shared" si="3"/>
        <v>5.8565106387802497E-2</v>
      </c>
      <c r="J14" s="70">
        <f t="shared" si="4"/>
        <v>936.91051674829305</v>
      </c>
      <c r="K14" s="70">
        <f t="shared" si="5"/>
        <v>23.698648760568499</v>
      </c>
      <c r="L14" s="70">
        <f t="shared" si="6"/>
        <v>926.30352928862396</v>
      </c>
      <c r="M14" s="70">
        <f t="shared" si="7"/>
        <v>23.698648760568499</v>
      </c>
      <c r="N14" s="74">
        <f t="shared" si="7"/>
        <v>15.5</v>
      </c>
      <c r="O14" s="58">
        <v>31.54</v>
      </c>
      <c r="R14" s="61">
        <f t="shared" si="8"/>
        <v>22</v>
      </c>
      <c r="U14" s="80" t="s">
        <v>274</v>
      </c>
      <c r="W14" s="80" t="s">
        <v>39</v>
      </c>
      <c r="X14" s="80" t="s">
        <v>40</v>
      </c>
      <c r="AE14" t="str">
        <f t="shared" si="1"/>
        <v>RTS-SpHeat_LFO1</v>
      </c>
      <c r="AJ14">
        <f t="shared" si="9"/>
        <v>0.18361570890563317</v>
      </c>
      <c r="AK14" s="57" t="s">
        <v>182</v>
      </c>
    </row>
    <row r="15" spans="2:38" ht="175">
      <c r="B15" s="68" t="s">
        <v>276</v>
      </c>
      <c r="C15" s="68" t="s">
        <v>258</v>
      </c>
      <c r="D15" s="68"/>
      <c r="E15" s="68" t="s">
        <v>277</v>
      </c>
      <c r="F15" s="58">
        <v>2021</v>
      </c>
      <c r="G15" s="70">
        <f t="shared" si="2"/>
        <v>0.69568463418715298</v>
      </c>
      <c r="H15" s="70"/>
      <c r="I15" s="70">
        <f t="shared" si="3"/>
        <v>5.8565106387802497E-2</v>
      </c>
      <c r="J15" s="70">
        <f t="shared" si="4"/>
        <v>936.91051674829305</v>
      </c>
      <c r="K15" s="70">
        <f t="shared" si="5"/>
        <v>23.698648760568499</v>
      </c>
      <c r="L15" s="70">
        <f t="shared" si="6"/>
        <v>926.30352928862396</v>
      </c>
      <c r="M15" s="70">
        <f t="shared" si="7"/>
        <v>23.698648760568499</v>
      </c>
      <c r="N15" s="74">
        <f t="shared" si="7"/>
        <v>15.5</v>
      </c>
      <c r="O15" s="58">
        <v>31.54</v>
      </c>
      <c r="R15" s="61">
        <f t="shared" si="8"/>
        <v>22</v>
      </c>
      <c r="U15" s="80" t="s">
        <v>276</v>
      </c>
      <c r="W15" s="80" t="s">
        <v>39</v>
      </c>
      <c r="X15" s="80" t="s">
        <v>40</v>
      </c>
      <c r="AE15" t="str">
        <f t="shared" si="1"/>
        <v>RTS-SpHeat_HFO1</v>
      </c>
      <c r="AJ15">
        <f t="shared" si="9"/>
        <v>0.18361570890563317</v>
      </c>
      <c r="AK15" s="57" t="s">
        <v>182</v>
      </c>
    </row>
    <row r="16" spans="2:38" ht="175">
      <c r="B16" s="68" t="s">
        <v>278</v>
      </c>
      <c r="C16" s="68" t="s">
        <v>258</v>
      </c>
      <c r="D16" s="68"/>
      <c r="E16" s="68" t="s">
        <v>279</v>
      </c>
      <c r="F16" s="58">
        <v>2021</v>
      </c>
      <c r="G16" s="71">
        <v>1</v>
      </c>
      <c r="H16" s="71"/>
      <c r="I16" s="71">
        <f>[6]TechAuxiliaryMot!$N$43</f>
        <v>1</v>
      </c>
      <c r="J16" s="71">
        <f t="shared" ref="J16:O16" si="10">J206</f>
        <v>450.00488888888901</v>
      </c>
      <c r="K16" s="71">
        <f t="shared" si="10"/>
        <v>14.0271111111111</v>
      </c>
      <c r="L16" s="71">
        <f t="shared" si="10"/>
        <v>450.00488888888901</v>
      </c>
      <c r="M16" s="71">
        <f t="shared" si="10"/>
        <v>14.0271111111111</v>
      </c>
      <c r="N16" s="71">
        <f t="shared" si="10"/>
        <v>21</v>
      </c>
      <c r="O16" s="71">
        <f t="shared" si="10"/>
        <v>31.54</v>
      </c>
      <c r="R16" s="61">
        <v>10</v>
      </c>
      <c r="U16" s="80" t="s">
        <v>278</v>
      </c>
      <c r="W16" s="80" t="s">
        <v>39</v>
      </c>
      <c r="X16" s="80" t="s">
        <v>40</v>
      </c>
      <c r="AE16" t="str">
        <f t="shared" si="1"/>
        <v>RTS-SpHeat_STE1</v>
      </c>
      <c r="AJ16">
        <f t="shared" si="9"/>
        <v>0.29415379576205714</v>
      </c>
      <c r="AK16" s="57" t="s">
        <v>182</v>
      </c>
    </row>
    <row r="17" spans="2:37" ht="175">
      <c r="B17" s="68" t="s">
        <v>280</v>
      </c>
      <c r="C17" s="68" t="s">
        <v>258</v>
      </c>
      <c r="D17" s="68"/>
      <c r="E17" s="68" t="s">
        <v>281</v>
      </c>
      <c r="F17" s="58">
        <v>2021</v>
      </c>
      <c r="G17" s="71">
        <f>G16</f>
        <v>1</v>
      </c>
      <c r="H17" s="71"/>
      <c r="I17" s="71">
        <f t="shared" ref="I17:O17" si="11">I16</f>
        <v>1</v>
      </c>
      <c r="J17" s="71">
        <f t="shared" si="11"/>
        <v>450.00488888888901</v>
      </c>
      <c r="K17" s="71">
        <f t="shared" si="11"/>
        <v>14.0271111111111</v>
      </c>
      <c r="L17" s="71">
        <f t="shared" si="11"/>
        <v>450.00488888888901</v>
      </c>
      <c r="M17" s="71">
        <f t="shared" si="11"/>
        <v>14.0271111111111</v>
      </c>
      <c r="N17" s="71">
        <f t="shared" si="11"/>
        <v>21</v>
      </c>
      <c r="O17" s="71">
        <f t="shared" si="11"/>
        <v>31.54</v>
      </c>
      <c r="R17" s="61">
        <v>10</v>
      </c>
      <c r="U17" s="80" t="s">
        <v>280</v>
      </c>
      <c r="W17" s="80" t="s">
        <v>39</v>
      </c>
      <c r="X17" s="80" t="s">
        <v>40</v>
      </c>
      <c r="AE17" t="str">
        <f t="shared" si="1"/>
        <v>RTS-SpHeat_COA1</v>
      </c>
      <c r="AJ17">
        <f t="shared" si="9"/>
        <v>0.61920112208002076</v>
      </c>
      <c r="AK17" s="57" t="s">
        <v>182</v>
      </c>
    </row>
    <row r="18" spans="2:37" ht="175">
      <c r="B18" s="68" t="s">
        <v>282</v>
      </c>
      <c r="C18" s="68" t="s">
        <v>258</v>
      </c>
      <c r="D18" s="68"/>
      <c r="E18" s="68" t="s">
        <v>283</v>
      </c>
      <c r="F18" s="58">
        <v>2021</v>
      </c>
      <c r="G18" s="71">
        <f t="shared" ref="G18:G25" si="12">G17</f>
        <v>1</v>
      </c>
      <c r="H18" s="71"/>
      <c r="I18" s="71">
        <f t="shared" ref="I18:I25" si="13">I17</f>
        <v>1</v>
      </c>
      <c r="J18" s="71">
        <f t="shared" ref="J18:J25" si="14">J17</f>
        <v>450.00488888888901</v>
      </c>
      <c r="K18" s="71">
        <f t="shared" ref="K18:K25" si="15">K17</f>
        <v>14.0271111111111</v>
      </c>
      <c r="L18" s="71">
        <f t="shared" ref="L18:L25" si="16">L17</f>
        <v>450.00488888888901</v>
      </c>
      <c r="M18" s="71">
        <f t="shared" ref="M18:M25" si="17">M17</f>
        <v>14.0271111111111</v>
      </c>
      <c r="N18" s="71">
        <f t="shared" ref="N18:N25" si="18">N17</f>
        <v>21</v>
      </c>
      <c r="O18" s="71">
        <f t="shared" ref="O18:O25" si="19">O17</f>
        <v>31.54</v>
      </c>
      <c r="R18" s="61">
        <v>10</v>
      </c>
      <c r="U18" s="80" t="s">
        <v>282</v>
      </c>
      <c r="W18" s="80" t="s">
        <v>39</v>
      </c>
      <c r="X18" s="80" t="s">
        <v>40</v>
      </c>
      <c r="AE18" t="str">
        <f t="shared" si="1"/>
        <v>TWS-SpHeat_ELE1</v>
      </c>
      <c r="AJ18">
        <f t="shared" ref="AJ18:AJ65" si="20">AJ12</f>
        <v>0.19848365442079791</v>
      </c>
      <c r="AK18" s="57" t="s">
        <v>182</v>
      </c>
    </row>
    <row r="19" spans="2:37" ht="175">
      <c r="B19" s="68" t="s">
        <v>284</v>
      </c>
      <c r="C19" s="68" t="s">
        <v>258</v>
      </c>
      <c r="D19" s="68"/>
      <c r="E19" s="68" t="s">
        <v>285</v>
      </c>
      <c r="F19" s="58">
        <v>2021</v>
      </c>
      <c r="G19" s="71">
        <f t="shared" si="12"/>
        <v>1</v>
      </c>
      <c r="H19" s="71"/>
      <c r="I19" s="71">
        <f t="shared" si="13"/>
        <v>1</v>
      </c>
      <c r="J19" s="71">
        <f t="shared" si="14"/>
        <v>450.00488888888901</v>
      </c>
      <c r="K19" s="71">
        <f t="shared" si="15"/>
        <v>14.0271111111111</v>
      </c>
      <c r="L19" s="71">
        <f t="shared" si="16"/>
        <v>450.00488888888901</v>
      </c>
      <c r="M19" s="71">
        <f t="shared" si="17"/>
        <v>14.0271111111111</v>
      </c>
      <c r="N19" s="71">
        <f t="shared" si="18"/>
        <v>21</v>
      </c>
      <c r="O19" s="71">
        <f t="shared" si="19"/>
        <v>31.54</v>
      </c>
      <c r="R19" s="61">
        <v>10</v>
      </c>
      <c r="U19" s="80" t="s">
        <v>284</v>
      </c>
      <c r="W19" s="80" t="s">
        <v>39</v>
      </c>
      <c r="X19" s="80" t="s">
        <v>40</v>
      </c>
      <c r="AE19" t="str">
        <f t="shared" si="1"/>
        <v>TWS-SpHeat_GAS1</v>
      </c>
      <c r="AJ19">
        <f t="shared" si="20"/>
        <v>0.4694684934038334</v>
      </c>
      <c r="AK19" s="57" t="s">
        <v>182</v>
      </c>
    </row>
    <row r="20" spans="2:37" ht="175">
      <c r="B20" s="68" t="s">
        <v>286</v>
      </c>
      <c r="C20" s="68" t="s">
        <v>258</v>
      </c>
      <c r="D20" s="68"/>
      <c r="E20" s="68" t="s">
        <v>287</v>
      </c>
      <c r="F20" s="58">
        <v>2021</v>
      </c>
      <c r="G20" s="71">
        <f t="shared" si="12"/>
        <v>1</v>
      </c>
      <c r="H20" s="71"/>
      <c r="I20" s="71">
        <f t="shared" si="13"/>
        <v>1</v>
      </c>
      <c r="J20" s="71">
        <f t="shared" si="14"/>
        <v>450.00488888888901</v>
      </c>
      <c r="K20" s="71">
        <f t="shared" si="15"/>
        <v>14.0271111111111</v>
      </c>
      <c r="L20" s="71">
        <f t="shared" si="16"/>
        <v>450.00488888888901</v>
      </c>
      <c r="M20" s="71">
        <f t="shared" si="17"/>
        <v>14.0271111111111</v>
      </c>
      <c r="N20" s="71">
        <f t="shared" si="18"/>
        <v>21</v>
      </c>
      <c r="O20" s="71">
        <f t="shared" si="19"/>
        <v>31.54</v>
      </c>
      <c r="R20" s="61">
        <v>10</v>
      </c>
      <c r="U20" s="80" t="s">
        <v>286</v>
      </c>
      <c r="W20" s="80" t="s">
        <v>39</v>
      </c>
      <c r="X20" s="80" t="s">
        <v>40</v>
      </c>
      <c r="AE20" t="str">
        <f t="shared" si="1"/>
        <v>TWS-SpHeat_LFO1</v>
      </c>
      <c r="AJ20">
        <f t="shared" si="20"/>
        <v>0.18361570890563317</v>
      </c>
      <c r="AK20" s="57" t="s">
        <v>182</v>
      </c>
    </row>
    <row r="21" spans="2:37" ht="175">
      <c r="B21" s="68" t="s">
        <v>288</v>
      </c>
      <c r="C21" s="68" t="s">
        <v>258</v>
      </c>
      <c r="D21" s="68"/>
      <c r="E21" s="68" t="s">
        <v>289</v>
      </c>
      <c r="F21" s="58">
        <v>2021</v>
      </c>
      <c r="G21" s="71">
        <f t="shared" si="12"/>
        <v>1</v>
      </c>
      <c r="H21" s="71"/>
      <c r="I21" s="71">
        <f t="shared" si="13"/>
        <v>1</v>
      </c>
      <c r="J21" s="71">
        <f t="shared" si="14"/>
        <v>450.00488888888901</v>
      </c>
      <c r="K21" s="71">
        <f t="shared" si="15"/>
        <v>14.0271111111111</v>
      </c>
      <c r="L21" s="71">
        <f t="shared" si="16"/>
        <v>450.00488888888901</v>
      </c>
      <c r="M21" s="71">
        <f t="shared" si="17"/>
        <v>14.0271111111111</v>
      </c>
      <c r="N21" s="71">
        <f t="shared" si="18"/>
        <v>21</v>
      </c>
      <c r="O21" s="71">
        <f t="shared" si="19"/>
        <v>31.54</v>
      </c>
      <c r="R21" s="61">
        <v>10</v>
      </c>
      <c r="U21" s="80" t="s">
        <v>288</v>
      </c>
      <c r="W21" s="80" t="s">
        <v>39</v>
      </c>
      <c r="X21" s="80" t="s">
        <v>40</v>
      </c>
      <c r="AE21" t="str">
        <f t="shared" si="1"/>
        <v>TWS-SpHeat_HFO1</v>
      </c>
      <c r="AJ21">
        <f t="shared" si="20"/>
        <v>0.18361570890563317</v>
      </c>
      <c r="AK21" s="57" t="s">
        <v>182</v>
      </c>
    </row>
    <row r="22" spans="2:37" ht="175">
      <c r="B22" s="68" t="s">
        <v>290</v>
      </c>
      <c r="C22" s="68" t="s">
        <v>258</v>
      </c>
      <c r="D22" s="68"/>
      <c r="E22" s="68" t="s">
        <v>291</v>
      </c>
      <c r="F22" s="58">
        <v>2021</v>
      </c>
      <c r="G22" s="71">
        <f t="shared" si="12"/>
        <v>1</v>
      </c>
      <c r="H22" s="71"/>
      <c r="I22" s="71">
        <f t="shared" si="13"/>
        <v>1</v>
      </c>
      <c r="J22" s="71">
        <f t="shared" si="14"/>
        <v>450.00488888888901</v>
      </c>
      <c r="K22" s="71">
        <f t="shared" si="15"/>
        <v>14.0271111111111</v>
      </c>
      <c r="L22" s="71">
        <f t="shared" si="16"/>
        <v>450.00488888888901</v>
      </c>
      <c r="M22" s="71">
        <f t="shared" si="17"/>
        <v>14.0271111111111</v>
      </c>
      <c r="N22" s="71">
        <f t="shared" si="18"/>
        <v>21</v>
      </c>
      <c r="O22" s="71">
        <f t="shared" si="19"/>
        <v>31.54</v>
      </c>
      <c r="R22" s="61">
        <v>10</v>
      </c>
      <c r="U22" s="80" t="s">
        <v>290</v>
      </c>
      <c r="W22" s="80" t="s">
        <v>39</v>
      </c>
      <c r="X22" s="80" t="s">
        <v>40</v>
      </c>
      <c r="AE22" t="str">
        <f t="shared" si="1"/>
        <v>TWS-SpHeat_STE1</v>
      </c>
      <c r="AJ22">
        <f t="shared" si="20"/>
        <v>0.29415379576205714</v>
      </c>
      <c r="AK22" s="57" t="s">
        <v>182</v>
      </c>
    </row>
    <row r="23" spans="2:37" ht="175">
      <c r="B23" s="68" t="s">
        <v>292</v>
      </c>
      <c r="C23" s="68" t="s">
        <v>258</v>
      </c>
      <c r="D23" s="68"/>
      <c r="E23" s="68" t="s">
        <v>293</v>
      </c>
      <c r="F23" s="58">
        <v>2021</v>
      </c>
      <c r="G23" s="71">
        <f t="shared" si="12"/>
        <v>1</v>
      </c>
      <c r="H23" s="71"/>
      <c r="I23" s="71">
        <f t="shared" si="13"/>
        <v>1</v>
      </c>
      <c r="J23" s="71">
        <f t="shared" si="14"/>
        <v>450.00488888888901</v>
      </c>
      <c r="K23" s="71">
        <f t="shared" si="15"/>
        <v>14.0271111111111</v>
      </c>
      <c r="L23" s="71">
        <f t="shared" si="16"/>
        <v>450.00488888888901</v>
      </c>
      <c r="M23" s="71">
        <f t="shared" si="17"/>
        <v>14.0271111111111</v>
      </c>
      <c r="N23" s="71">
        <f t="shared" si="18"/>
        <v>21</v>
      </c>
      <c r="O23" s="71">
        <f t="shared" si="19"/>
        <v>31.54</v>
      </c>
      <c r="R23" s="61">
        <v>10</v>
      </c>
      <c r="U23" s="80" t="s">
        <v>292</v>
      </c>
      <c r="W23" s="80" t="s">
        <v>39</v>
      </c>
      <c r="X23" s="80" t="s">
        <v>40</v>
      </c>
      <c r="AE23" t="str">
        <f t="shared" si="1"/>
        <v>TWS-SpHeat_COA1</v>
      </c>
      <c r="AJ23">
        <f t="shared" si="20"/>
        <v>0.61920112208002076</v>
      </c>
      <c r="AK23" s="57" t="s">
        <v>182</v>
      </c>
    </row>
    <row r="24" spans="2:37" ht="175">
      <c r="B24" s="68" t="s">
        <v>294</v>
      </c>
      <c r="C24" s="68" t="s">
        <v>258</v>
      </c>
      <c r="D24" s="68"/>
      <c r="E24" s="68" t="s">
        <v>295</v>
      </c>
      <c r="F24" s="58">
        <v>2021</v>
      </c>
      <c r="G24" s="71">
        <f t="shared" si="12"/>
        <v>1</v>
      </c>
      <c r="H24" s="71"/>
      <c r="I24" s="71">
        <f t="shared" si="13"/>
        <v>1</v>
      </c>
      <c r="J24" s="71">
        <f t="shared" si="14"/>
        <v>450.00488888888901</v>
      </c>
      <c r="K24" s="71">
        <f t="shared" si="15"/>
        <v>14.0271111111111</v>
      </c>
      <c r="L24" s="71">
        <f t="shared" si="16"/>
        <v>450.00488888888901</v>
      </c>
      <c r="M24" s="71">
        <f t="shared" si="17"/>
        <v>14.0271111111111</v>
      </c>
      <c r="N24" s="71">
        <f t="shared" si="18"/>
        <v>21</v>
      </c>
      <c r="O24" s="71">
        <f t="shared" si="19"/>
        <v>31.54</v>
      </c>
      <c r="R24" s="61">
        <v>10</v>
      </c>
      <c r="U24" s="80" t="s">
        <v>294</v>
      </c>
      <c r="W24" s="80" t="s">
        <v>39</v>
      </c>
      <c r="X24" s="80" t="s">
        <v>40</v>
      </c>
      <c r="AE24" t="str">
        <f t="shared" si="1"/>
        <v>ICS-SpHeat_ELE1</v>
      </c>
      <c r="AJ24">
        <f t="shared" si="20"/>
        <v>0.19848365442079791</v>
      </c>
      <c r="AK24" s="57" t="s">
        <v>182</v>
      </c>
    </row>
    <row r="25" spans="2:37" ht="175">
      <c r="B25" s="68" t="s">
        <v>296</v>
      </c>
      <c r="C25" s="68" t="s">
        <v>258</v>
      </c>
      <c r="D25" s="68"/>
      <c r="E25" s="68" t="s">
        <v>297</v>
      </c>
      <c r="F25" s="58">
        <v>2021</v>
      </c>
      <c r="G25" s="71">
        <f t="shared" si="12"/>
        <v>1</v>
      </c>
      <c r="H25" s="71"/>
      <c r="I25" s="71">
        <f t="shared" si="13"/>
        <v>1</v>
      </c>
      <c r="J25" s="71">
        <f t="shared" si="14"/>
        <v>450.00488888888901</v>
      </c>
      <c r="K25" s="71">
        <f t="shared" si="15"/>
        <v>14.0271111111111</v>
      </c>
      <c r="L25" s="71">
        <f t="shared" si="16"/>
        <v>450.00488888888901</v>
      </c>
      <c r="M25" s="71">
        <f t="shared" si="17"/>
        <v>14.0271111111111</v>
      </c>
      <c r="N25" s="71">
        <f t="shared" si="18"/>
        <v>21</v>
      </c>
      <c r="O25" s="71">
        <f t="shared" si="19"/>
        <v>31.54</v>
      </c>
      <c r="R25" s="61">
        <v>10</v>
      </c>
      <c r="U25" s="80" t="s">
        <v>296</v>
      </c>
      <c r="W25" s="80" t="s">
        <v>39</v>
      </c>
      <c r="X25" s="80" t="s">
        <v>40</v>
      </c>
      <c r="AE25" t="str">
        <f t="shared" si="1"/>
        <v>ICS-SpHeat_GAS1</v>
      </c>
      <c r="AJ25">
        <f t="shared" si="20"/>
        <v>0.4694684934038334</v>
      </c>
      <c r="AK25" s="57" t="s">
        <v>182</v>
      </c>
    </row>
    <row r="26" spans="2:37" ht="175">
      <c r="B26" s="68" t="s">
        <v>298</v>
      </c>
      <c r="C26" s="68" t="s">
        <v>258</v>
      </c>
      <c r="D26" s="68"/>
      <c r="E26" s="68" t="s">
        <v>299</v>
      </c>
      <c r="F26" s="58">
        <v>2021</v>
      </c>
      <c r="G26" s="71">
        <f>G86</f>
        <v>0.98</v>
      </c>
      <c r="H26" s="71"/>
      <c r="I26" s="71">
        <f>[6]TechAuxiliaryEquipment!$O$199</f>
        <v>1</v>
      </c>
      <c r="J26" s="71">
        <f t="shared" ref="J26:N26" si="21">J86</f>
        <v>260.555555555556</v>
      </c>
      <c r="K26" s="71">
        <f t="shared" si="21"/>
        <v>2.7777777777777799</v>
      </c>
      <c r="L26" s="71">
        <f t="shared" si="21"/>
        <v>260.555555555556</v>
      </c>
      <c r="M26" s="71">
        <f t="shared" si="21"/>
        <v>2.7777777777777799</v>
      </c>
      <c r="N26" s="71">
        <f t="shared" si="21"/>
        <v>12</v>
      </c>
      <c r="O26" s="75">
        <v>31.54</v>
      </c>
      <c r="R26" s="61">
        <v>15</v>
      </c>
      <c r="U26" s="80" t="s">
        <v>298</v>
      </c>
      <c r="W26" s="80" t="s">
        <v>39</v>
      </c>
      <c r="X26" s="80" t="s">
        <v>40</v>
      </c>
      <c r="AE26" t="str">
        <f t="shared" si="1"/>
        <v>ICS-SpHeat_LFO1</v>
      </c>
      <c r="AJ26">
        <f t="shared" si="20"/>
        <v>0.18361570890563317</v>
      </c>
      <c r="AK26" s="57" t="s">
        <v>182</v>
      </c>
    </row>
    <row r="27" spans="2:37" ht="175">
      <c r="B27" s="68" t="s">
        <v>300</v>
      </c>
      <c r="C27" s="68" t="s">
        <v>301</v>
      </c>
      <c r="D27" s="68"/>
      <c r="E27" s="68" t="s">
        <v>299</v>
      </c>
      <c r="F27" s="58">
        <v>2021</v>
      </c>
      <c r="G27" s="71">
        <f t="shared" ref="G27:G31" si="22">G87</f>
        <v>0.8</v>
      </c>
      <c r="H27" s="71"/>
      <c r="I27" s="71">
        <f>[6]TechAuxiliaryEquipment!$O$200</f>
        <v>1</v>
      </c>
      <c r="J27" s="71">
        <f t="shared" ref="J27:N27" si="23">J87</f>
        <v>116.81034482758599</v>
      </c>
      <c r="K27" s="71">
        <f t="shared" si="23"/>
        <v>5.5172413793103496</v>
      </c>
      <c r="L27" s="71">
        <f t="shared" si="23"/>
        <v>116.81034482758599</v>
      </c>
      <c r="M27" s="71">
        <f t="shared" si="23"/>
        <v>5.5172413793103496</v>
      </c>
      <c r="N27" s="71">
        <f t="shared" si="23"/>
        <v>10</v>
      </c>
      <c r="O27" s="75">
        <v>31.54</v>
      </c>
      <c r="R27" s="61">
        <v>15</v>
      </c>
      <c r="U27" s="80" t="s">
        <v>300</v>
      </c>
      <c r="W27" s="80" t="s">
        <v>39</v>
      </c>
      <c r="X27" s="80" t="s">
        <v>40</v>
      </c>
      <c r="AE27" t="str">
        <f t="shared" si="1"/>
        <v>ICS-SpHeat_HFO1</v>
      </c>
      <c r="AJ27">
        <f t="shared" si="20"/>
        <v>0.18361570890563317</v>
      </c>
      <c r="AK27" s="57" t="s">
        <v>182</v>
      </c>
    </row>
    <row r="28" spans="2:37" ht="175">
      <c r="B28" s="68" t="s">
        <v>302</v>
      </c>
      <c r="C28" s="68" t="s">
        <v>303</v>
      </c>
      <c r="D28" s="68"/>
      <c r="E28" s="68" t="s">
        <v>299</v>
      </c>
      <c r="F28" s="58">
        <v>2021</v>
      </c>
      <c r="G28" s="71">
        <f t="shared" si="22"/>
        <v>0.8</v>
      </c>
      <c r="H28" s="71"/>
      <c r="I28" s="71">
        <f>[6]TechAuxiliaryEquipment!$O$201</f>
        <v>1</v>
      </c>
      <c r="J28" s="71">
        <f t="shared" ref="J28:N28" si="24">J88</f>
        <v>69.545454545454504</v>
      </c>
      <c r="K28" s="71">
        <f t="shared" si="24"/>
        <v>2.2727272727272698</v>
      </c>
      <c r="L28" s="71">
        <f t="shared" si="24"/>
        <v>69.545454545454504</v>
      </c>
      <c r="M28" s="71">
        <f t="shared" si="24"/>
        <v>2.2727272727272698</v>
      </c>
      <c r="N28" s="71">
        <f t="shared" si="24"/>
        <v>13</v>
      </c>
      <c r="O28" s="75">
        <v>31.54</v>
      </c>
      <c r="R28" s="61">
        <v>15</v>
      </c>
      <c r="U28" s="80" t="s">
        <v>302</v>
      </c>
      <c r="W28" s="80" t="s">
        <v>39</v>
      </c>
      <c r="X28" s="80" t="s">
        <v>40</v>
      </c>
      <c r="AE28" t="str">
        <f t="shared" si="1"/>
        <v>ICS-SpHeat_STE1</v>
      </c>
      <c r="AJ28">
        <f t="shared" si="20"/>
        <v>0.29415379576205714</v>
      </c>
      <c r="AK28" s="57" t="s">
        <v>182</v>
      </c>
    </row>
    <row r="29" spans="2:37" ht="175">
      <c r="B29" s="68" t="s">
        <v>304</v>
      </c>
      <c r="C29" s="68" t="s">
        <v>305</v>
      </c>
      <c r="D29" s="68"/>
      <c r="E29" s="68" t="s">
        <v>299</v>
      </c>
      <c r="F29" s="58">
        <v>2021</v>
      </c>
      <c r="G29" s="71">
        <f t="shared" si="22"/>
        <v>0.8</v>
      </c>
      <c r="H29" s="71"/>
      <c r="I29" s="71">
        <f>[6]TechAuxiliaryEquipment!$O$202</f>
        <v>1</v>
      </c>
      <c r="J29" s="71">
        <f t="shared" ref="J29:N29" si="25">J89</f>
        <v>69.545454545454504</v>
      </c>
      <c r="K29" s="71">
        <f t="shared" si="25"/>
        <v>2.2727272727272698</v>
      </c>
      <c r="L29" s="71">
        <f t="shared" si="25"/>
        <v>69.545454545454504</v>
      </c>
      <c r="M29" s="71">
        <f t="shared" si="25"/>
        <v>2.2727272727272698</v>
      </c>
      <c r="N29" s="71">
        <f t="shared" si="25"/>
        <v>13</v>
      </c>
      <c r="O29" s="75">
        <v>31.54</v>
      </c>
      <c r="R29" s="61">
        <v>15</v>
      </c>
      <c r="U29" s="80" t="s">
        <v>304</v>
      </c>
      <c r="W29" s="80" t="s">
        <v>39</v>
      </c>
      <c r="X29" s="80" t="s">
        <v>40</v>
      </c>
      <c r="AE29" t="str">
        <f t="shared" si="1"/>
        <v>ICS-SpHeat_COA1</v>
      </c>
      <c r="AJ29">
        <f t="shared" si="20"/>
        <v>0.61920112208002076</v>
      </c>
      <c r="AK29" s="57" t="s">
        <v>182</v>
      </c>
    </row>
    <row r="30" spans="2:37" ht="175">
      <c r="B30" s="68" t="s">
        <v>306</v>
      </c>
      <c r="C30" s="68" t="s">
        <v>307</v>
      </c>
      <c r="D30" s="68"/>
      <c r="E30" s="68" t="s">
        <v>299</v>
      </c>
      <c r="F30" s="58">
        <v>2021</v>
      </c>
      <c r="G30" s="71">
        <f t="shared" si="22"/>
        <v>0.98</v>
      </c>
      <c r="H30" s="71"/>
      <c r="I30" s="71">
        <f>[6]TechAuxiliaryEquipment!$O$203</f>
        <v>1</v>
      </c>
      <c r="J30" s="71">
        <f t="shared" ref="J30:N30" si="26">J90</f>
        <v>72.424242424242394</v>
      </c>
      <c r="K30" s="71">
        <f t="shared" si="26"/>
        <v>0.78787878787878796</v>
      </c>
      <c r="L30" s="71">
        <f t="shared" si="26"/>
        <v>72.424242424242394</v>
      </c>
      <c r="M30" s="71">
        <f t="shared" si="26"/>
        <v>0.78787878787878796</v>
      </c>
      <c r="N30" s="71">
        <f t="shared" si="26"/>
        <v>15</v>
      </c>
      <c r="O30" s="75">
        <v>31.54</v>
      </c>
      <c r="R30" s="61">
        <v>15</v>
      </c>
      <c r="U30" s="80" t="s">
        <v>306</v>
      </c>
      <c r="W30" s="80" t="s">
        <v>39</v>
      </c>
      <c r="X30" s="80" t="s">
        <v>40</v>
      </c>
      <c r="AE30" t="str">
        <f t="shared" si="1"/>
        <v>OS-SpHeat_ELE1</v>
      </c>
      <c r="AJ30">
        <f t="shared" si="20"/>
        <v>0.19848365442079791</v>
      </c>
      <c r="AK30" s="57" t="s">
        <v>182</v>
      </c>
    </row>
    <row r="31" spans="2:37" ht="175">
      <c r="B31" s="68" t="s">
        <v>308</v>
      </c>
      <c r="C31" s="68" t="s">
        <v>309</v>
      </c>
      <c r="D31" s="68"/>
      <c r="E31" s="68" t="s">
        <v>299</v>
      </c>
      <c r="F31" s="58">
        <v>2021</v>
      </c>
      <c r="G31" s="71">
        <f t="shared" si="22"/>
        <v>0.872</v>
      </c>
      <c r="H31" s="71"/>
      <c r="I31" s="71">
        <f>[6]TechAuxiliaryEquipment!$O$204</f>
        <v>1</v>
      </c>
      <c r="J31" s="71">
        <f t="shared" ref="J31:N31" si="27">J91</f>
        <v>117.77621037965901</v>
      </c>
      <c r="K31" s="71">
        <f t="shared" si="27"/>
        <v>2.7256704980842899</v>
      </c>
      <c r="L31" s="71">
        <f t="shared" si="27"/>
        <v>117.77621037965901</v>
      </c>
      <c r="M31" s="71">
        <f t="shared" si="27"/>
        <v>2.7256704980842899</v>
      </c>
      <c r="N31" s="71">
        <f t="shared" si="27"/>
        <v>12.6</v>
      </c>
      <c r="O31" s="75">
        <v>31.54</v>
      </c>
      <c r="R31" s="61">
        <v>15</v>
      </c>
      <c r="U31" s="80" t="s">
        <v>308</v>
      </c>
      <c r="W31" s="80" t="s">
        <v>39</v>
      </c>
      <c r="X31" s="80" t="s">
        <v>40</v>
      </c>
      <c r="AE31" t="str">
        <f t="shared" si="1"/>
        <v>OS-SpHeat_GAS1</v>
      </c>
      <c r="AJ31">
        <f t="shared" si="20"/>
        <v>0.4694684934038334</v>
      </c>
      <c r="AK31" s="57" t="s">
        <v>182</v>
      </c>
    </row>
    <row r="32" spans="2:37" ht="175">
      <c r="B32" s="68" t="s">
        <v>310</v>
      </c>
      <c r="C32" s="68" t="s">
        <v>258</v>
      </c>
      <c r="D32" s="68"/>
      <c r="E32" s="68" t="s">
        <v>311</v>
      </c>
      <c r="F32" s="58">
        <v>2021</v>
      </c>
      <c r="G32" s="71">
        <f>G26</f>
        <v>0.98</v>
      </c>
      <c r="H32" s="71"/>
      <c r="I32" s="71">
        <f t="shared" ref="I32:N32" si="28">I26</f>
        <v>1</v>
      </c>
      <c r="J32" s="71">
        <f t="shared" si="28"/>
        <v>260.555555555556</v>
      </c>
      <c r="K32" s="71">
        <f t="shared" si="28"/>
        <v>2.7777777777777799</v>
      </c>
      <c r="L32" s="71">
        <f t="shared" si="28"/>
        <v>260.555555555556</v>
      </c>
      <c r="M32" s="71">
        <f t="shared" si="28"/>
        <v>2.7777777777777799</v>
      </c>
      <c r="N32" s="71">
        <f t="shared" si="28"/>
        <v>12</v>
      </c>
      <c r="O32" s="75">
        <v>31.54</v>
      </c>
      <c r="R32" s="61">
        <v>15</v>
      </c>
      <c r="U32" s="80" t="s">
        <v>310</v>
      </c>
      <c r="W32" s="80" t="s">
        <v>39</v>
      </c>
      <c r="X32" s="80" t="s">
        <v>40</v>
      </c>
      <c r="AE32" t="str">
        <f t="shared" si="1"/>
        <v>OS-SpHeat_LFO1</v>
      </c>
      <c r="AJ32">
        <f t="shared" si="20"/>
        <v>0.18361570890563317</v>
      </c>
      <c r="AK32" s="57" t="s">
        <v>182</v>
      </c>
    </row>
    <row r="33" spans="2:37" ht="175">
      <c r="B33" s="68" t="s">
        <v>312</v>
      </c>
      <c r="C33" s="68" t="s">
        <v>301</v>
      </c>
      <c r="D33" s="68"/>
      <c r="E33" s="68" t="s">
        <v>311</v>
      </c>
      <c r="F33" s="58">
        <v>2021</v>
      </c>
      <c r="G33" s="71">
        <f t="shared" ref="G33:N33" si="29">G27</f>
        <v>0.8</v>
      </c>
      <c r="H33" s="71"/>
      <c r="I33" s="71">
        <f t="shared" si="29"/>
        <v>1</v>
      </c>
      <c r="J33" s="71">
        <f t="shared" si="29"/>
        <v>116.81034482758599</v>
      </c>
      <c r="K33" s="71">
        <f t="shared" si="29"/>
        <v>5.5172413793103496</v>
      </c>
      <c r="L33" s="71">
        <f t="shared" si="29"/>
        <v>116.81034482758599</v>
      </c>
      <c r="M33" s="71">
        <f t="shared" si="29"/>
        <v>5.5172413793103496</v>
      </c>
      <c r="N33" s="71">
        <f t="shared" si="29"/>
        <v>10</v>
      </c>
      <c r="O33" s="75">
        <v>31.54</v>
      </c>
      <c r="R33" s="61">
        <v>15</v>
      </c>
      <c r="U33" s="80" t="s">
        <v>312</v>
      </c>
      <c r="W33" s="80" t="s">
        <v>39</v>
      </c>
      <c r="X33" s="80" t="s">
        <v>40</v>
      </c>
      <c r="AE33" t="str">
        <f t="shared" si="1"/>
        <v>OS-SpHeat_HFO1</v>
      </c>
      <c r="AJ33">
        <f t="shared" si="20"/>
        <v>0.18361570890563317</v>
      </c>
      <c r="AK33" s="57" t="s">
        <v>182</v>
      </c>
    </row>
    <row r="34" spans="2:37" ht="175">
      <c r="B34" s="68" t="s">
        <v>313</v>
      </c>
      <c r="C34" s="68" t="s">
        <v>303</v>
      </c>
      <c r="D34" s="68"/>
      <c r="E34" s="68" t="s">
        <v>311</v>
      </c>
      <c r="F34" s="58">
        <v>2021</v>
      </c>
      <c r="G34" s="71">
        <f t="shared" ref="G34:N34" si="30">G28</f>
        <v>0.8</v>
      </c>
      <c r="H34" s="71"/>
      <c r="I34" s="71">
        <f t="shared" si="30"/>
        <v>1</v>
      </c>
      <c r="J34" s="71">
        <f t="shared" si="30"/>
        <v>69.545454545454504</v>
      </c>
      <c r="K34" s="71">
        <f t="shared" si="30"/>
        <v>2.2727272727272698</v>
      </c>
      <c r="L34" s="71">
        <f t="shared" si="30"/>
        <v>69.545454545454504</v>
      </c>
      <c r="M34" s="71">
        <f t="shared" si="30"/>
        <v>2.2727272727272698</v>
      </c>
      <c r="N34" s="71">
        <f t="shared" si="30"/>
        <v>13</v>
      </c>
      <c r="O34" s="75">
        <v>31.54</v>
      </c>
      <c r="R34" s="61">
        <v>15</v>
      </c>
      <c r="U34" s="80" t="s">
        <v>313</v>
      </c>
      <c r="W34" s="80" t="s">
        <v>39</v>
      </c>
      <c r="X34" s="80" t="s">
        <v>40</v>
      </c>
      <c r="AE34" t="str">
        <f t="shared" si="1"/>
        <v>OS-SpHeat_STE1</v>
      </c>
      <c r="AJ34">
        <f t="shared" si="20"/>
        <v>0.29415379576205714</v>
      </c>
      <c r="AK34" s="57" t="s">
        <v>182</v>
      </c>
    </row>
    <row r="35" spans="2:37" ht="175">
      <c r="B35" s="68" t="s">
        <v>314</v>
      </c>
      <c r="C35" s="68" t="s">
        <v>305</v>
      </c>
      <c r="D35" s="68"/>
      <c r="E35" s="68" t="s">
        <v>311</v>
      </c>
      <c r="F35" s="58">
        <v>2021</v>
      </c>
      <c r="G35" s="71">
        <f t="shared" ref="G35:N35" si="31">G29</f>
        <v>0.8</v>
      </c>
      <c r="H35" s="71"/>
      <c r="I35" s="71">
        <f t="shared" si="31"/>
        <v>1</v>
      </c>
      <c r="J35" s="71">
        <f t="shared" si="31"/>
        <v>69.545454545454504</v>
      </c>
      <c r="K35" s="71">
        <f t="shared" si="31"/>
        <v>2.2727272727272698</v>
      </c>
      <c r="L35" s="71">
        <f t="shared" si="31"/>
        <v>69.545454545454504</v>
      </c>
      <c r="M35" s="71">
        <f t="shared" si="31"/>
        <v>2.2727272727272698</v>
      </c>
      <c r="N35" s="71">
        <f t="shared" si="31"/>
        <v>13</v>
      </c>
      <c r="O35" s="75">
        <v>31.54</v>
      </c>
      <c r="R35" s="61">
        <v>15</v>
      </c>
      <c r="U35" s="80" t="s">
        <v>314</v>
      </c>
      <c r="W35" s="80" t="s">
        <v>39</v>
      </c>
      <c r="X35" s="80" t="s">
        <v>40</v>
      </c>
      <c r="AE35" t="str">
        <f t="shared" si="1"/>
        <v>OS-SpHeat_COA1</v>
      </c>
      <c r="AJ35">
        <f t="shared" si="20"/>
        <v>0.61920112208002076</v>
      </c>
      <c r="AK35" s="57" t="s">
        <v>182</v>
      </c>
    </row>
    <row r="36" spans="2:37" ht="175">
      <c r="B36" s="68" t="s">
        <v>315</v>
      </c>
      <c r="C36" s="68" t="s">
        <v>307</v>
      </c>
      <c r="D36" s="68"/>
      <c r="E36" s="68" t="s">
        <v>311</v>
      </c>
      <c r="F36" s="58">
        <v>2021</v>
      </c>
      <c r="G36" s="71">
        <f t="shared" ref="G36:N36" si="32">G30</f>
        <v>0.98</v>
      </c>
      <c r="H36" s="71"/>
      <c r="I36" s="71">
        <f t="shared" si="32"/>
        <v>1</v>
      </c>
      <c r="J36" s="71">
        <f t="shared" si="32"/>
        <v>72.424242424242394</v>
      </c>
      <c r="K36" s="71">
        <f t="shared" si="32"/>
        <v>0.78787878787878796</v>
      </c>
      <c r="L36" s="71">
        <f t="shared" si="32"/>
        <v>72.424242424242394</v>
      </c>
      <c r="M36" s="71">
        <f t="shared" si="32"/>
        <v>0.78787878787878796</v>
      </c>
      <c r="N36" s="71">
        <f t="shared" si="32"/>
        <v>15</v>
      </c>
      <c r="O36" s="75">
        <v>31.54</v>
      </c>
      <c r="R36" s="61">
        <v>15</v>
      </c>
      <c r="U36" s="80" t="s">
        <v>315</v>
      </c>
      <c r="W36" s="80" t="s">
        <v>39</v>
      </c>
      <c r="X36" s="80" t="s">
        <v>40</v>
      </c>
      <c r="AE36" t="str">
        <f t="shared" si="1"/>
        <v>EDU-SpHeat_ELE1</v>
      </c>
      <c r="AJ36">
        <f t="shared" si="20"/>
        <v>0.19848365442079791</v>
      </c>
      <c r="AK36" s="57" t="s">
        <v>182</v>
      </c>
    </row>
    <row r="37" spans="2:37" ht="175">
      <c r="B37" s="68" t="s">
        <v>316</v>
      </c>
      <c r="C37" s="68" t="s">
        <v>309</v>
      </c>
      <c r="D37" s="68"/>
      <c r="E37" s="68" t="s">
        <v>311</v>
      </c>
      <c r="F37" s="58">
        <v>2021</v>
      </c>
      <c r="G37" s="71">
        <f t="shared" ref="G37:N37" si="33">G31</f>
        <v>0.872</v>
      </c>
      <c r="H37" s="71"/>
      <c r="I37" s="71">
        <f t="shared" si="33"/>
        <v>1</v>
      </c>
      <c r="J37" s="71">
        <f t="shared" si="33"/>
        <v>117.77621037965901</v>
      </c>
      <c r="K37" s="71">
        <f t="shared" si="33"/>
        <v>2.7256704980842899</v>
      </c>
      <c r="L37" s="71">
        <f t="shared" si="33"/>
        <v>117.77621037965901</v>
      </c>
      <c r="M37" s="71">
        <f t="shared" si="33"/>
        <v>2.7256704980842899</v>
      </c>
      <c r="N37" s="71">
        <f t="shared" si="33"/>
        <v>12.6</v>
      </c>
      <c r="O37" s="75">
        <v>31.54</v>
      </c>
      <c r="R37" s="61">
        <v>15</v>
      </c>
      <c r="U37" s="80" t="s">
        <v>316</v>
      </c>
      <c r="W37" s="80" t="s">
        <v>39</v>
      </c>
      <c r="X37" s="80" t="s">
        <v>40</v>
      </c>
      <c r="AE37" t="str">
        <f t="shared" ref="AE37:AE55" si="34">B177</f>
        <v>EDU-SpHeat_GAS1</v>
      </c>
      <c r="AJ37">
        <f t="shared" si="20"/>
        <v>0.4694684934038334</v>
      </c>
      <c r="AK37" s="57" t="s">
        <v>182</v>
      </c>
    </row>
    <row r="38" spans="2:37" ht="175">
      <c r="B38" s="68" t="s">
        <v>317</v>
      </c>
      <c r="C38" s="68" t="s">
        <v>258</v>
      </c>
      <c r="D38" s="68"/>
      <c r="E38" s="68" t="s">
        <v>318</v>
      </c>
      <c r="F38" s="58">
        <v>2021</v>
      </c>
      <c r="G38" s="71">
        <f t="shared" ref="G38:N38" si="35">G32</f>
        <v>0.98</v>
      </c>
      <c r="H38" s="71"/>
      <c r="I38" s="71">
        <f t="shared" si="35"/>
        <v>1</v>
      </c>
      <c r="J38" s="71">
        <f t="shared" si="35"/>
        <v>260.555555555556</v>
      </c>
      <c r="K38" s="71">
        <f t="shared" si="35"/>
        <v>2.7777777777777799</v>
      </c>
      <c r="L38" s="71">
        <f t="shared" si="35"/>
        <v>260.555555555556</v>
      </c>
      <c r="M38" s="71">
        <f t="shared" si="35"/>
        <v>2.7777777777777799</v>
      </c>
      <c r="N38" s="71">
        <f t="shared" si="35"/>
        <v>12</v>
      </c>
      <c r="O38" s="75">
        <v>31.54</v>
      </c>
      <c r="R38" s="61">
        <v>15</v>
      </c>
      <c r="U38" s="80" t="s">
        <v>317</v>
      </c>
      <c r="W38" s="80" t="s">
        <v>39</v>
      </c>
      <c r="X38" s="80" t="s">
        <v>40</v>
      </c>
      <c r="AE38" t="str">
        <f t="shared" si="34"/>
        <v>EDU-SpHeat_LFO1</v>
      </c>
      <c r="AJ38">
        <f t="shared" si="20"/>
        <v>0.18361570890563317</v>
      </c>
      <c r="AK38" s="57" t="s">
        <v>182</v>
      </c>
    </row>
    <row r="39" spans="2:37" ht="175">
      <c r="B39" s="68" t="s">
        <v>319</v>
      </c>
      <c r="C39" s="68" t="s">
        <v>301</v>
      </c>
      <c r="D39" s="68"/>
      <c r="E39" s="68" t="s">
        <v>318</v>
      </c>
      <c r="F39" s="58">
        <v>2021</v>
      </c>
      <c r="G39" s="71">
        <f t="shared" ref="G39:N39" si="36">G33</f>
        <v>0.8</v>
      </c>
      <c r="H39" s="71"/>
      <c r="I39" s="71">
        <f t="shared" si="36"/>
        <v>1</v>
      </c>
      <c r="J39" s="71">
        <f t="shared" si="36"/>
        <v>116.81034482758599</v>
      </c>
      <c r="K39" s="71">
        <f t="shared" si="36"/>
        <v>5.5172413793103496</v>
      </c>
      <c r="L39" s="71">
        <f t="shared" si="36"/>
        <v>116.81034482758599</v>
      </c>
      <c r="M39" s="71">
        <f t="shared" si="36"/>
        <v>5.5172413793103496</v>
      </c>
      <c r="N39" s="71">
        <f t="shared" si="36"/>
        <v>10</v>
      </c>
      <c r="O39" s="75">
        <v>31.54</v>
      </c>
      <c r="R39" s="61">
        <v>15</v>
      </c>
      <c r="U39" s="80" t="s">
        <v>319</v>
      </c>
      <c r="W39" s="80" t="s">
        <v>39</v>
      </c>
      <c r="X39" s="80" t="s">
        <v>40</v>
      </c>
      <c r="AE39" t="str">
        <f t="shared" si="34"/>
        <v>EDU-SpHeat_HFO1</v>
      </c>
      <c r="AJ39">
        <f t="shared" si="20"/>
        <v>0.18361570890563317</v>
      </c>
      <c r="AK39" s="57" t="s">
        <v>182</v>
      </c>
    </row>
    <row r="40" spans="2:37" ht="175">
      <c r="B40" s="68" t="s">
        <v>320</v>
      </c>
      <c r="C40" s="68" t="s">
        <v>303</v>
      </c>
      <c r="D40" s="68"/>
      <c r="E40" s="68" t="s">
        <v>318</v>
      </c>
      <c r="F40" s="58">
        <v>2021</v>
      </c>
      <c r="G40" s="71">
        <f t="shared" ref="G40:N40" si="37">G34</f>
        <v>0.8</v>
      </c>
      <c r="H40" s="71"/>
      <c r="I40" s="71">
        <f t="shared" si="37"/>
        <v>1</v>
      </c>
      <c r="J40" s="71">
        <f t="shared" si="37"/>
        <v>69.545454545454504</v>
      </c>
      <c r="K40" s="71">
        <f t="shared" si="37"/>
        <v>2.2727272727272698</v>
      </c>
      <c r="L40" s="71">
        <f t="shared" si="37"/>
        <v>69.545454545454504</v>
      </c>
      <c r="M40" s="71">
        <f t="shared" si="37"/>
        <v>2.2727272727272698</v>
      </c>
      <c r="N40" s="71">
        <f t="shared" si="37"/>
        <v>13</v>
      </c>
      <c r="O40" s="75">
        <v>31.54</v>
      </c>
      <c r="R40" s="61">
        <v>15</v>
      </c>
      <c r="U40" s="80" t="s">
        <v>320</v>
      </c>
      <c r="W40" s="80" t="s">
        <v>39</v>
      </c>
      <c r="X40" s="80" t="s">
        <v>40</v>
      </c>
      <c r="AE40" t="str">
        <f t="shared" si="34"/>
        <v>EDU-SpHeat_STE1</v>
      </c>
      <c r="AJ40">
        <f t="shared" si="20"/>
        <v>0.29415379576205714</v>
      </c>
      <c r="AK40" s="57" t="s">
        <v>182</v>
      </c>
    </row>
    <row r="41" spans="2:37" ht="175">
      <c r="B41" s="68" t="s">
        <v>321</v>
      </c>
      <c r="C41" s="68" t="s">
        <v>305</v>
      </c>
      <c r="D41" s="68"/>
      <c r="E41" s="68" t="s">
        <v>318</v>
      </c>
      <c r="F41" s="58">
        <v>2021</v>
      </c>
      <c r="G41" s="71">
        <f t="shared" ref="G41:N41" si="38">G35</f>
        <v>0.8</v>
      </c>
      <c r="H41" s="71"/>
      <c r="I41" s="71">
        <f t="shared" si="38"/>
        <v>1</v>
      </c>
      <c r="J41" s="71">
        <f t="shared" si="38"/>
        <v>69.545454545454504</v>
      </c>
      <c r="K41" s="71">
        <f t="shared" si="38"/>
        <v>2.2727272727272698</v>
      </c>
      <c r="L41" s="71">
        <f t="shared" si="38"/>
        <v>69.545454545454504</v>
      </c>
      <c r="M41" s="71">
        <f t="shared" si="38"/>
        <v>2.2727272727272698</v>
      </c>
      <c r="N41" s="71">
        <f t="shared" si="38"/>
        <v>13</v>
      </c>
      <c r="O41" s="75">
        <v>31.54</v>
      </c>
      <c r="R41" s="61">
        <v>15</v>
      </c>
      <c r="U41" s="80" t="s">
        <v>321</v>
      </c>
      <c r="W41" s="80" t="s">
        <v>39</v>
      </c>
      <c r="X41" s="80" t="s">
        <v>40</v>
      </c>
      <c r="AE41" t="str">
        <f t="shared" si="34"/>
        <v>EDU-SpHeat_COA1</v>
      </c>
      <c r="AJ41">
        <f t="shared" si="20"/>
        <v>0.61920112208002076</v>
      </c>
      <c r="AK41" s="57" t="s">
        <v>182</v>
      </c>
    </row>
    <row r="42" spans="2:37" ht="175">
      <c r="B42" s="68" t="s">
        <v>322</v>
      </c>
      <c r="C42" s="68" t="s">
        <v>307</v>
      </c>
      <c r="D42" s="68"/>
      <c r="E42" s="68" t="s">
        <v>318</v>
      </c>
      <c r="F42" s="58">
        <v>2021</v>
      </c>
      <c r="G42" s="71">
        <f t="shared" ref="G42:N42" si="39">G36</f>
        <v>0.98</v>
      </c>
      <c r="H42" s="71"/>
      <c r="I42" s="71">
        <f t="shared" si="39"/>
        <v>1</v>
      </c>
      <c r="J42" s="71">
        <f t="shared" si="39"/>
        <v>72.424242424242394</v>
      </c>
      <c r="K42" s="71">
        <f t="shared" si="39"/>
        <v>0.78787878787878796</v>
      </c>
      <c r="L42" s="71">
        <f t="shared" si="39"/>
        <v>72.424242424242394</v>
      </c>
      <c r="M42" s="71">
        <f t="shared" si="39"/>
        <v>0.78787878787878796</v>
      </c>
      <c r="N42" s="71">
        <f t="shared" si="39"/>
        <v>15</v>
      </c>
      <c r="O42" s="75">
        <v>31.54</v>
      </c>
      <c r="R42" s="61">
        <v>15</v>
      </c>
      <c r="U42" s="80" t="s">
        <v>322</v>
      </c>
      <c r="W42" s="80" t="s">
        <v>39</v>
      </c>
      <c r="X42" s="80" t="s">
        <v>40</v>
      </c>
      <c r="AE42" t="str">
        <f t="shared" si="34"/>
        <v>HSS-SpHeat_ELE1</v>
      </c>
      <c r="AJ42">
        <f t="shared" si="20"/>
        <v>0.19848365442079791</v>
      </c>
      <c r="AK42" s="57" t="s">
        <v>182</v>
      </c>
    </row>
    <row r="43" spans="2:37" ht="175">
      <c r="B43" s="68" t="s">
        <v>323</v>
      </c>
      <c r="C43" s="68" t="s">
        <v>309</v>
      </c>
      <c r="D43" s="68"/>
      <c r="E43" s="68" t="s">
        <v>318</v>
      </c>
      <c r="F43" s="58">
        <v>2021</v>
      </c>
      <c r="G43" s="71">
        <f t="shared" ref="G43:N43" si="40">G37</f>
        <v>0.872</v>
      </c>
      <c r="H43" s="71"/>
      <c r="I43" s="71">
        <f t="shared" si="40"/>
        <v>1</v>
      </c>
      <c r="J43" s="71">
        <f t="shared" si="40"/>
        <v>117.77621037965901</v>
      </c>
      <c r="K43" s="71">
        <f t="shared" si="40"/>
        <v>2.7256704980842899</v>
      </c>
      <c r="L43" s="71">
        <f t="shared" si="40"/>
        <v>117.77621037965901</v>
      </c>
      <c r="M43" s="71">
        <f t="shared" si="40"/>
        <v>2.7256704980842899</v>
      </c>
      <c r="N43" s="71">
        <f t="shared" si="40"/>
        <v>12.6</v>
      </c>
      <c r="O43" s="75">
        <v>31.54</v>
      </c>
      <c r="R43" s="61">
        <v>15</v>
      </c>
      <c r="U43" s="80" t="s">
        <v>323</v>
      </c>
      <c r="W43" s="80" t="s">
        <v>39</v>
      </c>
      <c r="X43" s="80" t="s">
        <v>40</v>
      </c>
      <c r="AE43" t="str">
        <f t="shared" si="34"/>
        <v>HSS-SpHeat_GAS1</v>
      </c>
      <c r="AJ43">
        <f t="shared" si="20"/>
        <v>0.4694684934038334</v>
      </c>
      <c r="AK43" s="57" t="s">
        <v>182</v>
      </c>
    </row>
    <row r="44" spans="2:37" ht="175">
      <c r="B44" s="68" t="s">
        <v>324</v>
      </c>
      <c r="C44" s="68" t="s">
        <v>258</v>
      </c>
      <c r="D44" s="68"/>
      <c r="E44" s="68" t="s">
        <v>325</v>
      </c>
      <c r="F44" s="58">
        <v>2021</v>
      </c>
      <c r="G44" s="71">
        <f t="shared" ref="G44:N44" si="41">G38</f>
        <v>0.98</v>
      </c>
      <c r="H44" s="71"/>
      <c r="I44" s="71">
        <f t="shared" si="41"/>
        <v>1</v>
      </c>
      <c r="J44" s="71">
        <f t="shared" si="41"/>
        <v>260.555555555556</v>
      </c>
      <c r="K44" s="71">
        <f t="shared" si="41"/>
        <v>2.7777777777777799</v>
      </c>
      <c r="L44" s="71">
        <f t="shared" si="41"/>
        <v>260.555555555556</v>
      </c>
      <c r="M44" s="71">
        <f t="shared" si="41"/>
        <v>2.7777777777777799</v>
      </c>
      <c r="N44" s="71">
        <f t="shared" si="41"/>
        <v>12</v>
      </c>
      <c r="O44" s="75">
        <v>31.54</v>
      </c>
      <c r="R44" s="61">
        <v>15</v>
      </c>
      <c r="U44" s="80" t="s">
        <v>324</v>
      </c>
      <c r="W44" s="80" t="s">
        <v>39</v>
      </c>
      <c r="X44" s="80" t="s">
        <v>40</v>
      </c>
      <c r="AE44" t="str">
        <f t="shared" si="34"/>
        <v>HSS-SpHeat_LFO1</v>
      </c>
      <c r="AJ44">
        <f t="shared" si="20"/>
        <v>0.18361570890563317</v>
      </c>
      <c r="AK44" s="57" t="s">
        <v>182</v>
      </c>
    </row>
    <row r="45" spans="2:37" ht="175">
      <c r="B45" s="68" t="s">
        <v>326</v>
      </c>
      <c r="C45" s="68" t="s">
        <v>301</v>
      </c>
      <c r="D45" s="68"/>
      <c r="E45" s="68" t="s">
        <v>325</v>
      </c>
      <c r="F45" s="58">
        <v>2021</v>
      </c>
      <c r="G45" s="71">
        <f t="shared" ref="G45:N45" si="42">G39</f>
        <v>0.8</v>
      </c>
      <c r="H45" s="71"/>
      <c r="I45" s="71">
        <f t="shared" si="42"/>
        <v>1</v>
      </c>
      <c r="J45" s="71">
        <f t="shared" si="42"/>
        <v>116.81034482758599</v>
      </c>
      <c r="K45" s="71">
        <f t="shared" si="42"/>
        <v>5.5172413793103496</v>
      </c>
      <c r="L45" s="71">
        <f t="shared" si="42"/>
        <v>116.81034482758599</v>
      </c>
      <c r="M45" s="71">
        <f t="shared" si="42"/>
        <v>5.5172413793103496</v>
      </c>
      <c r="N45" s="71">
        <f t="shared" si="42"/>
        <v>10</v>
      </c>
      <c r="O45" s="75">
        <v>31.54</v>
      </c>
      <c r="R45" s="61">
        <v>15</v>
      </c>
      <c r="U45" s="80" t="s">
        <v>326</v>
      </c>
      <c r="W45" s="80" t="s">
        <v>39</v>
      </c>
      <c r="X45" s="80" t="s">
        <v>40</v>
      </c>
      <c r="AE45" t="str">
        <f t="shared" si="34"/>
        <v>HSS-SpHeat_HFO1</v>
      </c>
      <c r="AJ45">
        <f t="shared" si="20"/>
        <v>0.18361570890563317</v>
      </c>
      <c r="AK45" s="57" t="s">
        <v>182</v>
      </c>
    </row>
    <row r="46" spans="2:37" ht="175">
      <c r="B46" s="68" t="s">
        <v>327</v>
      </c>
      <c r="C46" s="68" t="s">
        <v>303</v>
      </c>
      <c r="D46" s="68"/>
      <c r="E46" s="68" t="s">
        <v>325</v>
      </c>
      <c r="F46" s="58">
        <v>2021</v>
      </c>
      <c r="G46" s="71">
        <f t="shared" ref="G46:N46" si="43">G40</f>
        <v>0.8</v>
      </c>
      <c r="H46" s="71"/>
      <c r="I46" s="71">
        <f t="shared" si="43"/>
        <v>1</v>
      </c>
      <c r="J46" s="71">
        <f t="shared" si="43"/>
        <v>69.545454545454504</v>
      </c>
      <c r="K46" s="71">
        <f t="shared" si="43"/>
        <v>2.2727272727272698</v>
      </c>
      <c r="L46" s="71">
        <f t="shared" si="43"/>
        <v>69.545454545454504</v>
      </c>
      <c r="M46" s="71">
        <f t="shared" si="43"/>
        <v>2.2727272727272698</v>
      </c>
      <c r="N46" s="71">
        <f t="shared" si="43"/>
        <v>13</v>
      </c>
      <c r="O46" s="75">
        <v>31.54</v>
      </c>
      <c r="R46" s="61">
        <v>15</v>
      </c>
      <c r="U46" s="80" t="s">
        <v>327</v>
      </c>
      <c r="W46" s="80" t="s">
        <v>39</v>
      </c>
      <c r="X46" s="80" t="s">
        <v>40</v>
      </c>
      <c r="AE46" t="str">
        <f t="shared" si="34"/>
        <v>HSS-SpHeat_STE1</v>
      </c>
      <c r="AJ46">
        <f t="shared" si="20"/>
        <v>0.29415379576205714</v>
      </c>
      <c r="AK46" s="57" t="s">
        <v>182</v>
      </c>
    </row>
    <row r="47" spans="2:37" ht="175">
      <c r="B47" s="68" t="s">
        <v>328</v>
      </c>
      <c r="C47" s="68" t="s">
        <v>305</v>
      </c>
      <c r="D47" s="68"/>
      <c r="E47" s="68" t="s">
        <v>325</v>
      </c>
      <c r="F47" s="58">
        <v>2021</v>
      </c>
      <c r="G47" s="71">
        <f t="shared" ref="G47:N47" si="44">G41</f>
        <v>0.8</v>
      </c>
      <c r="H47" s="71"/>
      <c r="I47" s="71">
        <f t="shared" si="44"/>
        <v>1</v>
      </c>
      <c r="J47" s="71">
        <f t="shared" si="44"/>
        <v>69.545454545454504</v>
      </c>
      <c r="K47" s="71">
        <f t="shared" si="44"/>
        <v>2.2727272727272698</v>
      </c>
      <c r="L47" s="71">
        <f t="shared" si="44"/>
        <v>69.545454545454504</v>
      </c>
      <c r="M47" s="71">
        <f t="shared" si="44"/>
        <v>2.2727272727272698</v>
      </c>
      <c r="N47" s="71">
        <f t="shared" si="44"/>
        <v>13</v>
      </c>
      <c r="O47" s="75">
        <v>31.54</v>
      </c>
      <c r="R47" s="61">
        <v>15</v>
      </c>
      <c r="U47" s="80" t="s">
        <v>328</v>
      </c>
      <c r="W47" s="80" t="s">
        <v>39</v>
      </c>
      <c r="X47" s="80" t="s">
        <v>40</v>
      </c>
      <c r="AE47" t="str">
        <f t="shared" si="34"/>
        <v>HSS-SpHeat_COA1</v>
      </c>
      <c r="AJ47">
        <f t="shared" si="20"/>
        <v>0.61920112208002076</v>
      </c>
      <c r="AK47" s="57" t="s">
        <v>182</v>
      </c>
    </row>
    <row r="48" spans="2:37" ht="175">
      <c r="B48" s="68" t="s">
        <v>329</v>
      </c>
      <c r="C48" s="68" t="s">
        <v>307</v>
      </c>
      <c r="D48" s="68"/>
      <c r="E48" s="68" t="s">
        <v>325</v>
      </c>
      <c r="F48" s="58">
        <v>2021</v>
      </c>
      <c r="G48" s="71">
        <f t="shared" ref="G48:N48" si="45">G42</f>
        <v>0.98</v>
      </c>
      <c r="H48" s="71"/>
      <c r="I48" s="71">
        <f t="shared" si="45"/>
        <v>1</v>
      </c>
      <c r="J48" s="71">
        <f t="shared" si="45"/>
        <v>72.424242424242394</v>
      </c>
      <c r="K48" s="71">
        <f t="shared" si="45"/>
        <v>0.78787878787878796</v>
      </c>
      <c r="L48" s="71">
        <f t="shared" si="45"/>
        <v>72.424242424242394</v>
      </c>
      <c r="M48" s="71">
        <f t="shared" si="45"/>
        <v>0.78787878787878796</v>
      </c>
      <c r="N48" s="71">
        <f t="shared" si="45"/>
        <v>15</v>
      </c>
      <c r="O48" s="75">
        <v>31.54</v>
      </c>
      <c r="R48" s="61">
        <v>15</v>
      </c>
      <c r="U48" s="80" t="s">
        <v>329</v>
      </c>
      <c r="W48" s="80" t="s">
        <v>39</v>
      </c>
      <c r="X48" s="80" t="s">
        <v>40</v>
      </c>
      <c r="AE48" t="str">
        <f t="shared" si="34"/>
        <v>ART-SpHeat_ELE1</v>
      </c>
      <c r="AJ48">
        <f t="shared" si="20"/>
        <v>0.19848365442079791</v>
      </c>
      <c r="AK48" s="57" t="s">
        <v>182</v>
      </c>
    </row>
    <row r="49" spans="2:37" ht="175">
      <c r="B49" s="68" t="s">
        <v>330</v>
      </c>
      <c r="C49" s="68" t="s">
        <v>309</v>
      </c>
      <c r="D49" s="68"/>
      <c r="E49" s="68" t="s">
        <v>325</v>
      </c>
      <c r="F49" s="58">
        <v>2021</v>
      </c>
      <c r="G49" s="71">
        <f t="shared" ref="G49:N49" si="46">G43</f>
        <v>0.872</v>
      </c>
      <c r="H49" s="71"/>
      <c r="I49" s="71">
        <f t="shared" si="46"/>
        <v>1</v>
      </c>
      <c r="J49" s="71">
        <f t="shared" si="46"/>
        <v>117.77621037965901</v>
      </c>
      <c r="K49" s="71">
        <f t="shared" si="46"/>
        <v>2.7256704980842899</v>
      </c>
      <c r="L49" s="71">
        <f t="shared" si="46"/>
        <v>117.77621037965901</v>
      </c>
      <c r="M49" s="71">
        <f t="shared" si="46"/>
        <v>2.7256704980842899</v>
      </c>
      <c r="N49" s="71">
        <f t="shared" si="46"/>
        <v>12.6</v>
      </c>
      <c r="O49" s="75">
        <v>31.54</v>
      </c>
      <c r="R49" s="61">
        <v>15</v>
      </c>
      <c r="U49" s="80" t="s">
        <v>330</v>
      </c>
      <c r="W49" s="80" t="s">
        <v>39</v>
      </c>
      <c r="X49" s="80" t="s">
        <v>40</v>
      </c>
      <c r="AE49" t="str">
        <f t="shared" si="34"/>
        <v>ART-SpHeat_GAS1</v>
      </c>
      <c r="AJ49">
        <f t="shared" si="20"/>
        <v>0.4694684934038334</v>
      </c>
      <c r="AK49" s="57" t="s">
        <v>182</v>
      </c>
    </row>
    <row r="50" spans="2:37" ht="175">
      <c r="B50" s="68" t="s">
        <v>331</v>
      </c>
      <c r="C50" s="68" t="s">
        <v>258</v>
      </c>
      <c r="D50" s="68"/>
      <c r="E50" s="68" t="s">
        <v>332</v>
      </c>
      <c r="F50" s="58">
        <v>2021</v>
      </c>
      <c r="G50" s="71">
        <f t="shared" ref="G50:N50" si="47">G44</f>
        <v>0.98</v>
      </c>
      <c r="H50" s="71"/>
      <c r="I50" s="71">
        <f t="shared" si="47"/>
        <v>1</v>
      </c>
      <c r="J50" s="71">
        <f t="shared" si="47"/>
        <v>260.555555555556</v>
      </c>
      <c r="K50" s="71">
        <f t="shared" si="47"/>
        <v>2.7777777777777799</v>
      </c>
      <c r="L50" s="71">
        <f t="shared" si="47"/>
        <v>260.555555555556</v>
      </c>
      <c r="M50" s="71">
        <f t="shared" si="47"/>
        <v>2.7777777777777799</v>
      </c>
      <c r="N50" s="71">
        <f t="shared" si="47"/>
        <v>12</v>
      </c>
      <c r="O50" s="75">
        <v>31.54</v>
      </c>
      <c r="R50" s="61">
        <v>15</v>
      </c>
      <c r="U50" s="80" t="s">
        <v>331</v>
      </c>
      <c r="W50" s="80" t="s">
        <v>39</v>
      </c>
      <c r="X50" s="80" t="s">
        <v>40</v>
      </c>
      <c r="AE50" t="str">
        <f t="shared" si="34"/>
        <v>ART-SpHeat_LFO1</v>
      </c>
      <c r="AJ50">
        <f t="shared" si="20"/>
        <v>0.18361570890563317</v>
      </c>
      <c r="AK50" s="57" t="s">
        <v>182</v>
      </c>
    </row>
    <row r="51" spans="2:37" ht="175">
      <c r="B51" s="68" t="s">
        <v>333</v>
      </c>
      <c r="C51" s="68" t="s">
        <v>301</v>
      </c>
      <c r="D51" s="68"/>
      <c r="E51" s="68" t="s">
        <v>332</v>
      </c>
      <c r="F51" s="58">
        <v>2021</v>
      </c>
      <c r="G51" s="71">
        <f t="shared" ref="G51:N51" si="48">G45</f>
        <v>0.8</v>
      </c>
      <c r="H51" s="71"/>
      <c r="I51" s="71">
        <f t="shared" si="48"/>
        <v>1</v>
      </c>
      <c r="J51" s="71">
        <f t="shared" si="48"/>
        <v>116.81034482758599</v>
      </c>
      <c r="K51" s="71">
        <f t="shared" si="48"/>
        <v>5.5172413793103496</v>
      </c>
      <c r="L51" s="71">
        <f t="shared" si="48"/>
        <v>116.81034482758599</v>
      </c>
      <c r="M51" s="71">
        <f t="shared" si="48"/>
        <v>5.5172413793103496</v>
      </c>
      <c r="N51" s="71">
        <f t="shared" si="48"/>
        <v>10</v>
      </c>
      <c r="O51" s="75">
        <v>31.54</v>
      </c>
      <c r="R51" s="61">
        <v>15</v>
      </c>
      <c r="U51" s="80" t="s">
        <v>333</v>
      </c>
      <c r="W51" s="80" t="s">
        <v>39</v>
      </c>
      <c r="X51" s="80" t="s">
        <v>40</v>
      </c>
      <c r="AE51" t="str">
        <f t="shared" si="34"/>
        <v>ART-SpHeat_HFO1</v>
      </c>
      <c r="AJ51">
        <f t="shared" si="20"/>
        <v>0.18361570890563317</v>
      </c>
      <c r="AK51" s="57" t="s">
        <v>182</v>
      </c>
    </row>
    <row r="52" spans="2:37" ht="175">
      <c r="B52" s="68" t="s">
        <v>334</v>
      </c>
      <c r="C52" s="68" t="s">
        <v>303</v>
      </c>
      <c r="D52" s="68"/>
      <c r="E52" s="68" t="s">
        <v>332</v>
      </c>
      <c r="F52" s="58">
        <v>2021</v>
      </c>
      <c r="G52" s="71">
        <f t="shared" ref="G52:N52" si="49">G46</f>
        <v>0.8</v>
      </c>
      <c r="H52" s="71"/>
      <c r="I52" s="71">
        <f t="shared" si="49"/>
        <v>1</v>
      </c>
      <c r="J52" s="71">
        <f t="shared" si="49"/>
        <v>69.545454545454504</v>
      </c>
      <c r="K52" s="71">
        <f t="shared" si="49"/>
        <v>2.2727272727272698</v>
      </c>
      <c r="L52" s="71">
        <f t="shared" si="49"/>
        <v>69.545454545454504</v>
      </c>
      <c r="M52" s="71">
        <f t="shared" si="49"/>
        <v>2.2727272727272698</v>
      </c>
      <c r="N52" s="71">
        <f t="shared" si="49"/>
        <v>13</v>
      </c>
      <c r="O52" s="75">
        <v>31.54</v>
      </c>
      <c r="R52" s="61">
        <v>15</v>
      </c>
      <c r="U52" s="80" t="s">
        <v>334</v>
      </c>
      <c r="W52" s="80" t="s">
        <v>39</v>
      </c>
      <c r="X52" s="80" t="s">
        <v>40</v>
      </c>
      <c r="AE52" t="str">
        <f t="shared" si="34"/>
        <v>ART-SpHeat_STE1</v>
      </c>
      <c r="AJ52">
        <f t="shared" si="20"/>
        <v>0.29415379576205714</v>
      </c>
      <c r="AK52" s="57" t="s">
        <v>182</v>
      </c>
    </row>
    <row r="53" spans="2:37" ht="175">
      <c r="B53" s="68" t="s">
        <v>335</v>
      </c>
      <c r="C53" s="68" t="s">
        <v>305</v>
      </c>
      <c r="D53" s="68"/>
      <c r="E53" s="68" t="s">
        <v>332</v>
      </c>
      <c r="F53" s="58">
        <v>2021</v>
      </c>
      <c r="G53" s="71">
        <f t="shared" ref="G53:N53" si="50">G47</f>
        <v>0.8</v>
      </c>
      <c r="H53" s="71"/>
      <c r="I53" s="71">
        <f t="shared" si="50"/>
        <v>1</v>
      </c>
      <c r="J53" s="71">
        <f t="shared" si="50"/>
        <v>69.545454545454504</v>
      </c>
      <c r="K53" s="71">
        <f t="shared" si="50"/>
        <v>2.2727272727272698</v>
      </c>
      <c r="L53" s="71">
        <f t="shared" si="50"/>
        <v>69.545454545454504</v>
      </c>
      <c r="M53" s="71">
        <f t="shared" si="50"/>
        <v>2.2727272727272698</v>
      </c>
      <c r="N53" s="71">
        <f t="shared" si="50"/>
        <v>13</v>
      </c>
      <c r="O53" s="75">
        <v>31.54</v>
      </c>
      <c r="R53" s="61">
        <v>15</v>
      </c>
      <c r="U53" s="80" t="s">
        <v>335</v>
      </c>
      <c r="W53" s="80" t="s">
        <v>39</v>
      </c>
      <c r="X53" s="80" t="s">
        <v>40</v>
      </c>
      <c r="AE53" t="str">
        <f t="shared" si="34"/>
        <v>ART-SpHeat_COA1</v>
      </c>
      <c r="AJ53">
        <f t="shared" si="20"/>
        <v>0.61920112208002076</v>
      </c>
      <c r="AK53" s="57" t="s">
        <v>182</v>
      </c>
    </row>
    <row r="54" spans="2:37" ht="175">
      <c r="B54" s="68" t="s">
        <v>336</v>
      </c>
      <c r="C54" s="68" t="s">
        <v>307</v>
      </c>
      <c r="D54" s="68"/>
      <c r="E54" s="68" t="s">
        <v>332</v>
      </c>
      <c r="F54" s="58">
        <v>2021</v>
      </c>
      <c r="G54" s="71">
        <f t="shared" ref="G54:N54" si="51">G48</f>
        <v>0.98</v>
      </c>
      <c r="H54" s="71"/>
      <c r="I54" s="71">
        <f t="shared" si="51"/>
        <v>1</v>
      </c>
      <c r="J54" s="71">
        <f t="shared" si="51"/>
        <v>72.424242424242394</v>
      </c>
      <c r="K54" s="71">
        <f t="shared" si="51"/>
        <v>0.78787878787878796</v>
      </c>
      <c r="L54" s="71">
        <f t="shared" si="51"/>
        <v>72.424242424242394</v>
      </c>
      <c r="M54" s="71">
        <f t="shared" si="51"/>
        <v>0.78787878787878796</v>
      </c>
      <c r="N54" s="71">
        <f t="shared" si="51"/>
        <v>15</v>
      </c>
      <c r="O54" s="75">
        <v>31.54</v>
      </c>
      <c r="R54" s="61">
        <v>15</v>
      </c>
      <c r="U54" s="80" t="s">
        <v>336</v>
      </c>
      <c r="W54" s="80" t="s">
        <v>39</v>
      </c>
      <c r="X54" s="80" t="s">
        <v>40</v>
      </c>
      <c r="AE54" t="str">
        <f t="shared" si="34"/>
        <v>AFM-SpHeat_ELE1</v>
      </c>
      <c r="AJ54">
        <f t="shared" si="20"/>
        <v>0.19848365442079791</v>
      </c>
      <c r="AK54" s="57" t="s">
        <v>182</v>
      </c>
    </row>
    <row r="55" spans="2:37" ht="175">
      <c r="B55" s="68" t="s">
        <v>337</v>
      </c>
      <c r="C55" s="68" t="s">
        <v>309</v>
      </c>
      <c r="D55" s="68"/>
      <c r="E55" s="68" t="s">
        <v>332</v>
      </c>
      <c r="F55" s="58">
        <v>2021</v>
      </c>
      <c r="G55" s="71">
        <f t="shared" ref="G55:N55" si="52">G49</f>
        <v>0.872</v>
      </c>
      <c r="H55" s="71"/>
      <c r="I55" s="71">
        <f t="shared" si="52"/>
        <v>1</v>
      </c>
      <c r="J55" s="71">
        <f t="shared" si="52"/>
        <v>117.77621037965901</v>
      </c>
      <c r="K55" s="71">
        <f t="shared" si="52"/>
        <v>2.7256704980842899</v>
      </c>
      <c r="L55" s="71">
        <f t="shared" si="52"/>
        <v>117.77621037965901</v>
      </c>
      <c r="M55" s="71">
        <f t="shared" si="52"/>
        <v>2.7256704980842899</v>
      </c>
      <c r="N55" s="71">
        <f t="shared" si="52"/>
        <v>12.6</v>
      </c>
      <c r="O55" s="75">
        <v>31.54</v>
      </c>
      <c r="R55" s="61">
        <v>15</v>
      </c>
      <c r="U55" s="80" t="s">
        <v>337</v>
      </c>
      <c r="W55" s="80" t="s">
        <v>39</v>
      </c>
      <c r="X55" s="80" t="s">
        <v>40</v>
      </c>
      <c r="AE55" t="str">
        <f t="shared" si="34"/>
        <v>AFM-SpHeat_GAS1</v>
      </c>
      <c r="AJ55">
        <f t="shared" si="20"/>
        <v>0.4694684934038334</v>
      </c>
      <c r="AK55" s="57" t="s">
        <v>182</v>
      </c>
    </row>
    <row r="56" spans="2:37" ht="175">
      <c r="B56" s="68" t="s">
        <v>338</v>
      </c>
      <c r="C56" s="68" t="s">
        <v>258</v>
      </c>
      <c r="D56" s="68"/>
      <c r="E56" s="68" t="s">
        <v>339</v>
      </c>
      <c r="F56" s="58">
        <v>2021</v>
      </c>
      <c r="G56" s="71">
        <f t="shared" ref="G56:N56" si="53">G50</f>
        <v>0.98</v>
      </c>
      <c r="H56" s="71"/>
      <c r="I56" s="71">
        <f t="shared" si="53"/>
        <v>1</v>
      </c>
      <c r="J56" s="71">
        <f t="shared" si="53"/>
        <v>260.555555555556</v>
      </c>
      <c r="K56" s="71">
        <f t="shared" si="53"/>
        <v>2.7777777777777799</v>
      </c>
      <c r="L56" s="71">
        <f t="shared" si="53"/>
        <v>260.555555555556</v>
      </c>
      <c r="M56" s="71">
        <f t="shared" si="53"/>
        <v>2.7777777777777799</v>
      </c>
      <c r="N56" s="71">
        <f t="shared" si="53"/>
        <v>12</v>
      </c>
      <c r="O56" s="75">
        <v>31.54</v>
      </c>
      <c r="R56" s="61">
        <v>15</v>
      </c>
      <c r="U56" s="80" t="s">
        <v>338</v>
      </c>
      <c r="W56" s="80" t="s">
        <v>39</v>
      </c>
      <c r="X56" s="80" t="s">
        <v>40</v>
      </c>
      <c r="AE56" t="str">
        <f t="shared" ref="AE56:AE71" si="54">B196</f>
        <v>AFM-SpHeat_LFO1</v>
      </c>
      <c r="AJ56">
        <f t="shared" si="20"/>
        <v>0.18361570890563317</v>
      </c>
      <c r="AK56" s="57" t="s">
        <v>182</v>
      </c>
    </row>
    <row r="57" spans="2:37" ht="175">
      <c r="B57" s="68" t="s">
        <v>340</v>
      </c>
      <c r="C57" s="68" t="s">
        <v>301</v>
      </c>
      <c r="D57" s="68"/>
      <c r="E57" s="68" t="s">
        <v>339</v>
      </c>
      <c r="F57" s="58">
        <v>2021</v>
      </c>
      <c r="G57" s="71">
        <f t="shared" ref="G57:N57" si="55">G51</f>
        <v>0.8</v>
      </c>
      <c r="H57" s="71"/>
      <c r="I57" s="71">
        <f t="shared" si="55"/>
        <v>1</v>
      </c>
      <c r="J57" s="71">
        <f t="shared" si="55"/>
        <v>116.81034482758599</v>
      </c>
      <c r="K57" s="71">
        <f t="shared" si="55"/>
        <v>5.5172413793103496</v>
      </c>
      <c r="L57" s="71">
        <f t="shared" si="55"/>
        <v>116.81034482758599</v>
      </c>
      <c r="M57" s="71">
        <f t="shared" si="55"/>
        <v>5.5172413793103496</v>
      </c>
      <c r="N57" s="71">
        <f t="shared" si="55"/>
        <v>10</v>
      </c>
      <c r="O57" s="75">
        <v>31.54</v>
      </c>
      <c r="R57" s="61">
        <v>15</v>
      </c>
      <c r="U57" s="80" t="s">
        <v>340</v>
      </c>
      <c r="W57" s="80" t="s">
        <v>39</v>
      </c>
      <c r="X57" s="80" t="s">
        <v>40</v>
      </c>
      <c r="AE57" t="str">
        <f t="shared" si="54"/>
        <v>AFM-SpHeat_HFO1</v>
      </c>
      <c r="AJ57">
        <f t="shared" si="20"/>
        <v>0.18361570890563317</v>
      </c>
      <c r="AK57" s="57" t="s">
        <v>182</v>
      </c>
    </row>
    <row r="58" spans="2:37" ht="175">
      <c r="B58" s="68" t="s">
        <v>341</v>
      </c>
      <c r="C58" s="68" t="s">
        <v>303</v>
      </c>
      <c r="D58" s="68"/>
      <c r="E58" s="68" t="s">
        <v>339</v>
      </c>
      <c r="F58" s="58">
        <v>2021</v>
      </c>
      <c r="G58" s="71">
        <f t="shared" ref="G58:N58" si="56">G52</f>
        <v>0.8</v>
      </c>
      <c r="H58" s="71"/>
      <c r="I58" s="71">
        <f t="shared" si="56"/>
        <v>1</v>
      </c>
      <c r="J58" s="71">
        <f t="shared" si="56"/>
        <v>69.545454545454504</v>
      </c>
      <c r="K58" s="71">
        <f t="shared" si="56"/>
        <v>2.2727272727272698</v>
      </c>
      <c r="L58" s="71">
        <f t="shared" si="56"/>
        <v>69.545454545454504</v>
      </c>
      <c r="M58" s="71">
        <f t="shared" si="56"/>
        <v>2.2727272727272698</v>
      </c>
      <c r="N58" s="71">
        <f t="shared" si="56"/>
        <v>13</v>
      </c>
      <c r="O58" s="75">
        <v>31.54</v>
      </c>
      <c r="R58" s="61">
        <v>15</v>
      </c>
      <c r="U58" s="80" t="s">
        <v>341</v>
      </c>
      <c r="W58" s="80" t="s">
        <v>39</v>
      </c>
      <c r="X58" s="80" t="s">
        <v>40</v>
      </c>
      <c r="AE58" t="str">
        <f t="shared" si="54"/>
        <v>AFM-SpHeat_STE1</v>
      </c>
      <c r="AJ58">
        <f t="shared" si="20"/>
        <v>0.29415379576205714</v>
      </c>
      <c r="AK58" s="57" t="s">
        <v>182</v>
      </c>
    </row>
    <row r="59" spans="2:37" ht="175">
      <c r="B59" s="68" t="s">
        <v>342</v>
      </c>
      <c r="C59" s="68" t="s">
        <v>305</v>
      </c>
      <c r="D59" s="68"/>
      <c r="E59" s="68" t="s">
        <v>339</v>
      </c>
      <c r="F59" s="58">
        <v>2021</v>
      </c>
      <c r="G59" s="71">
        <f t="shared" ref="G59:N59" si="57">G53</f>
        <v>0.8</v>
      </c>
      <c r="H59" s="71"/>
      <c r="I59" s="71">
        <f t="shared" si="57"/>
        <v>1</v>
      </c>
      <c r="J59" s="71">
        <f t="shared" si="57"/>
        <v>69.545454545454504</v>
      </c>
      <c r="K59" s="71">
        <f t="shared" si="57"/>
        <v>2.2727272727272698</v>
      </c>
      <c r="L59" s="71">
        <f t="shared" si="57"/>
        <v>69.545454545454504</v>
      </c>
      <c r="M59" s="71">
        <f t="shared" si="57"/>
        <v>2.2727272727272698</v>
      </c>
      <c r="N59" s="71">
        <f t="shared" si="57"/>
        <v>13</v>
      </c>
      <c r="O59" s="75">
        <v>31.54</v>
      </c>
      <c r="R59" s="61">
        <v>15</v>
      </c>
      <c r="U59" s="80" t="s">
        <v>342</v>
      </c>
      <c r="W59" s="80" t="s">
        <v>39</v>
      </c>
      <c r="X59" s="80" t="s">
        <v>40</v>
      </c>
      <c r="AE59" t="str">
        <f t="shared" si="54"/>
        <v>AFM-SpHeat_COA1</v>
      </c>
      <c r="AJ59">
        <f t="shared" si="20"/>
        <v>0.61920112208002076</v>
      </c>
      <c r="AK59" s="57" t="s">
        <v>182</v>
      </c>
    </row>
    <row r="60" spans="2:37" ht="175">
      <c r="B60" s="68" t="s">
        <v>343</v>
      </c>
      <c r="C60" s="68" t="s">
        <v>307</v>
      </c>
      <c r="D60" s="68"/>
      <c r="E60" s="68" t="s">
        <v>339</v>
      </c>
      <c r="F60" s="58">
        <v>2021</v>
      </c>
      <c r="G60" s="71">
        <f t="shared" ref="G60:N60" si="58">G54</f>
        <v>0.98</v>
      </c>
      <c r="H60" s="71"/>
      <c r="I60" s="71">
        <f t="shared" si="58"/>
        <v>1</v>
      </c>
      <c r="J60" s="71">
        <f t="shared" si="58"/>
        <v>72.424242424242394</v>
      </c>
      <c r="K60" s="71">
        <f t="shared" si="58"/>
        <v>0.78787878787878796</v>
      </c>
      <c r="L60" s="71">
        <f t="shared" si="58"/>
        <v>72.424242424242394</v>
      </c>
      <c r="M60" s="71">
        <f t="shared" si="58"/>
        <v>0.78787878787878796</v>
      </c>
      <c r="N60" s="71">
        <f t="shared" si="58"/>
        <v>15</v>
      </c>
      <c r="O60" s="75">
        <v>31.54</v>
      </c>
      <c r="R60" s="61">
        <v>15</v>
      </c>
      <c r="U60" s="80" t="s">
        <v>343</v>
      </c>
      <c r="W60" s="80" t="s">
        <v>39</v>
      </c>
      <c r="X60" s="80" t="s">
        <v>40</v>
      </c>
      <c r="AE60" t="str">
        <f t="shared" si="54"/>
        <v>OTH-SpHeat_ELE1</v>
      </c>
      <c r="AJ60">
        <f t="shared" si="20"/>
        <v>0.19848365442079791</v>
      </c>
      <c r="AK60" s="57" t="s">
        <v>182</v>
      </c>
    </row>
    <row r="61" spans="2:37" ht="175">
      <c r="B61" s="68" t="s">
        <v>344</v>
      </c>
      <c r="C61" s="68" t="s">
        <v>309</v>
      </c>
      <c r="D61" s="68"/>
      <c r="E61" s="68" t="s">
        <v>339</v>
      </c>
      <c r="F61" s="58">
        <v>2021</v>
      </c>
      <c r="G61" s="71">
        <f t="shared" ref="G61:N61" si="59">G55</f>
        <v>0.872</v>
      </c>
      <c r="H61" s="71"/>
      <c r="I61" s="71">
        <f t="shared" si="59"/>
        <v>1</v>
      </c>
      <c r="J61" s="71">
        <f t="shared" si="59"/>
        <v>117.77621037965901</v>
      </c>
      <c r="K61" s="71">
        <f t="shared" si="59"/>
        <v>2.7256704980842899</v>
      </c>
      <c r="L61" s="71">
        <f t="shared" si="59"/>
        <v>117.77621037965901</v>
      </c>
      <c r="M61" s="71">
        <f t="shared" si="59"/>
        <v>2.7256704980842899</v>
      </c>
      <c r="N61" s="71">
        <f t="shared" si="59"/>
        <v>12.6</v>
      </c>
      <c r="O61" s="75">
        <v>31.54</v>
      </c>
      <c r="R61" s="61">
        <v>15</v>
      </c>
      <c r="U61" s="80" t="s">
        <v>344</v>
      </c>
      <c r="W61" s="80" t="s">
        <v>39</v>
      </c>
      <c r="X61" s="80" t="s">
        <v>40</v>
      </c>
      <c r="AE61" t="str">
        <f t="shared" si="54"/>
        <v>OTH-SpHeat_GAS1</v>
      </c>
      <c r="AJ61">
        <f t="shared" si="20"/>
        <v>0.4694684934038334</v>
      </c>
      <c r="AK61" s="57" t="s">
        <v>182</v>
      </c>
    </row>
    <row r="62" spans="2:37" ht="175">
      <c r="B62" s="68" t="s">
        <v>345</v>
      </c>
      <c r="C62" s="68" t="s">
        <v>258</v>
      </c>
      <c r="D62" s="68"/>
      <c r="E62" s="68" t="s">
        <v>346</v>
      </c>
      <c r="F62" s="58">
        <v>2021</v>
      </c>
      <c r="G62" s="71">
        <f t="shared" ref="G62:N62" si="60">G56</f>
        <v>0.98</v>
      </c>
      <c r="H62" s="71"/>
      <c r="I62" s="71">
        <f t="shared" si="60"/>
        <v>1</v>
      </c>
      <c r="J62" s="71">
        <f t="shared" si="60"/>
        <v>260.555555555556</v>
      </c>
      <c r="K62" s="71">
        <f t="shared" si="60"/>
        <v>2.7777777777777799</v>
      </c>
      <c r="L62" s="71">
        <f t="shared" si="60"/>
        <v>260.555555555556</v>
      </c>
      <c r="M62" s="71">
        <f t="shared" si="60"/>
        <v>2.7777777777777799</v>
      </c>
      <c r="N62" s="71">
        <f t="shared" si="60"/>
        <v>12</v>
      </c>
      <c r="O62" s="75">
        <v>31.54</v>
      </c>
      <c r="R62" s="61">
        <v>15</v>
      </c>
      <c r="U62" s="80" t="s">
        <v>345</v>
      </c>
      <c r="W62" s="80" t="s">
        <v>39</v>
      </c>
      <c r="X62" s="80" t="s">
        <v>40</v>
      </c>
      <c r="AE62" t="str">
        <f t="shared" si="54"/>
        <v>OTH-SpHeat_LFO1</v>
      </c>
      <c r="AJ62">
        <f t="shared" si="20"/>
        <v>0.18361570890563317</v>
      </c>
      <c r="AK62" s="57" t="s">
        <v>182</v>
      </c>
    </row>
    <row r="63" spans="2:37" ht="175">
      <c r="B63" s="68" t="s">
        <v>347</v>
      </c>
      <c r="C63" s="68" t="s">
        <v>301</v>
      </c>
      <c r="D63" s="68"/>
      <c r="E63" s="68" t="s">
        <v>346</v>
      </c>
      <c r="F63" s="58">
        <v>2021</v>
      </c>
      <c r="G63" s="71">
        <f t="shared" ref="G63:N63" si="61">G57</f>
        <v>0.8</v>
      </c>
      <c r="H63" s="71"/>
      <c r="I63" s="71">
        <f t="shared" si="61"/>
        <v>1</v>
      </c>
      <c r="J63" s="71">
        <f t="shared" si="61"/>
        <v>116.81034482758599</v>
      </c>
      <c r="K63" s="71">
        <f t="shared" si="61"/>
        <v>5.5172413793103496</v>
      </c>
      <c r="L63" s="71">
        <f t="shared" si="61"/>
        <v>116.81034482758599</v>
      </c>
      <c r="M63" s="71">
        <f t="shared" si="61"/>
        <v>5.5172413793103496</v>
      </c>
      <c r="N63" s="71">
        <f t="shared" si="61"/>
        <v>10</v>
      </c>
      <c r="O63" s="75">
        <v>31.54</v>
      </c>
      <c r="R63" s="61">
        <v>15</v>
      </c>
      <c r="U63" s="80" t="s">
        <v>347</v>
      </c>
      <c r="W63" s="80" t="s">
        <v>39</v>
      </c>
      <c r="X63" s="80" t="s">
        <v>40</v>
      </c>
      <c r="AE63" t="str">
        <f t="shared" si="54"/>
        <v>OTH-SpHeat_HFO1</v>
      </c>
      <c r="AJ63">
        <f t="shared" si="20"/>
        <v>0.18361570890563317</v>
      </c>
      <c r="AK63" s="57" t="s">
        <v>182</v>
      </c>
    </row>
    <row r="64" spans="2:37" ht="175">
      <c r="B64" s="68" t="s">
        <v>348</v>
      </c>
      <c r="C64" s="68" t="s">
        <v>303</v>
      </c>
      <c r="D64" s="68"/>
      <c r="E64" s="68" t="s">
        <v>346</v>
      </c>
      <c r="F64" s="58">
        <v>2021</v>
      </c>
      <c r="G64" s="71">
        <f t="shared" ref="G64:N64" si="62">G58</f>
        <v>0.8</v>
      </c>
      <c r="H64" s="71"/>
      <c r="I64" s="71">
        <f t="shared" si="62"/>
        <v>1</v>
      </c>
      <c r="J64" s="71">
        <f t="shared" si="62"/>
        <v>69.545454545454504</v>
      </c>
      <c r="K64" s="71">
        <f t="shared" si="62"/>
        <v>2.2727272727272698</v>
      </c>
      <c r="L64" s="71">
        <f t="shared" si="62"/>
        <v>69.545454545454504</v>
      </c>
      <c r="M64" s="71">
        <f t="shared" si="62"/>
        <v>2.2727272727272698</v>
      </c>
      <c r="N64" s="71">
        <f t="shared" si="62"/>
        <v>13</v>
      </c>
      <c r="O64" s="75">
        <v>31.54</v>
      </c>
      <c r="R64" s="61">
        <v>15</v>
      </c>
      <c r="U64" s="80" t="s">
        <v>348</v>
      </c>
      <c r="W64" s="80" t="s">
        <v>39</v>
      </c>
      <c r="X64" s="80" t="s">
        <v>40</v>
      </c>
      <c r="AE64" t="str">
        <f t="shared" si="54"/>
        <v>OTH-SpHeat_STE1</v>
      </c>
      <c r="AJ64">
        <f t="shared" si="20"/>
        <v>0.29415379576205714</v>
      </c>
      <c r="AK64" s="57" t="s">
        <v>182</v>
      </c>
    </row>
    <row r="65" spans="2:37" ht="175">
      <c r="B65" s="68" t="s">
        <v>349</v>
      </c>
      <c r="C65" s="68" t="s">
        <v>305</v>
      </c>
      <c r="D65" s="68"/>
      <c r="E65" s="68" t="s">
        <v>346</v>
      </c>
      <c r="F65" s="58">
        <v>2021</v>
      </c>
      <c r="G65" s="71">
        <f t="shared" ref="G65:N65" si="63">G59</f>
        <v>0.8</v>
      </c>
      <c r="H65" s="71"/>
      <c r="I65" s="71">
        <f t="shared" si="63"/>
        <v>1</v>
      </c>
      <c r="J65" s="71">
        <f t="shared" si="63"/>
        <v>69.545454545454504</v>
      </c>
      <c r="K65" s="71">
        <f t="shared" si="63"/>
        <v>2.2727272727272698</v>
      </c>
      <c r="L65" s="71">
        <f t="shared" si="63"/>
        <v>69.545454545454504</v>
      </c>
      <c r="M65" s="71">
        <f t="shared" si="63"/>
        <v>2.2727272727272698</v>
      </c>
      <c r="N65" s="71">
        <f t="shared" si="63"/>
        <v>13</v>
      </c>
      <c r="O65" s="75">
        <v>31.54</v>
      </c>
      <c r="R65" s="61">
        <v>15</v>
      </c>
      <c r="U65" s="80" t="s">
        <v>349</v>
      </c>
      <c r="W65" s="80" t="s">
        <v>39</v>
      </c>
      <c r="X65" s="80" t="s">
        <v>40</v>
      </c>
      <c r="AE65" t="str">
        <f t="shared" si="54"/>
        <v>OTH-SpHeat_COA1</v>
      </c>
      <c r="AJ65">
        <f t="shared" si="20"/>
        <v>0.61920112208002076</v>
      </c>
      <c r="AK65" s="57" t="s">
        <v>182</v>
      </c>
    </row>
    <row r="66" spans="2:37" ht="137.5">
      <c r="B66" s="68" t="s">
        <v>350</v>
      </c>
      <c r="C66" s="68" t="s">
        <v>307</v>
      </c>
      <c r="D66" s="68"/>
      <c r="E66" s="68" t="s">
        <v>346</v>
      </c>
      <c r="F66" s="58">
        <v>2021</v>
      </c>
      <c r="G66" s="71">
        <f t="shared" ref="G66:N66" si="64">G60</f>
        <v>0.98</v>
      </c>
      <c r="H66" s="71"/>
      <c r="I66" s="71">
        <f t="shared" si="64"/>
        <v>1</v>
      </c>
      <c r="J66" s="71">
        <f t="shared" si="64"/>
        <v>72.424242424242394</v>
      </c>
      <c r="K66" s="71">
        <f t="shared" si="64"/>
        <v>0.78787878787878796</v>
      </c>
      <c r="L66" s="71">
        <f t="shared" si="64"/>
        <v>72.424242424242394</v>
      </c>
      <c r="M66" s="71">
        <f t="shared" si="64"/>
        <v>0.78787878787878796</v>
      </c>
      <c r="N66" s="71">
        <f t="shared" si="64"/>
        <v>15</v>
      </c>
      <c r="O66" s="75">
        <v>31.54</v>
      </c>
      <c r="R66" s="61">
        <v>15</v>
      </c>
      <c r="U66" s="80" t="s">
        <v>350</v>
      </c>
      <c r="W66" s="80" t="s">
        <v>39</v>
      </c>
      <c r="X66" s="80" t="s">
        <v>40</v>
      </c>
      <c r="AE66" t="str">
        <f t="shared" si="54"/>
        <v>WST-SpCool_ELE1</v>
      </c>
      <c r="AJ66">
        <f>'[7]TechSpaceCooling-COM'!$U$79</f>
        <v>1.3415972844263499E-2</v>
      </c>
      <c r="AK66" s="57" t="s">
        <v>183</v>
      </c>
    </row>
    <row r="67" spans="2:37" ht="137.5">
      <c r="B67" s="68" t="s">
        <v>351</v>
      </c>
      <c r="C67" s="68" t="s">
        <v>309</v>
      </c>
      <c r="D67" s="68"/>
      <c r="E67" s="68" t="s">
        <v>346</v>
      </c>
      <c r="F67" s="58">
        <v>2021</v>
      </c>
      <c r="G67" s="71">
        <f t="shared" ref="G67:N67" si="65">G61</f>
        <v>0.872</v>
      </c>
      <c r="H67" s="71"/>
      <c r="I67" s="71">
        <f t="shared" si="65"/>
        <v>1</v>
      </c>
      <c r="J67" s="71">
        <f t="shared" si="65"/>
        <v>117.77621037965901</v>
      </c>
      <c r="K67" s="71">
        <f t="shared" si="65"/>
        <v>2.7256704980842899</v>
      </c>
      <c r="L67" s="71">
        <f t="shared" si="65"/>
        <v>117.77621037965901</v>
      </c>
      <c r="M67" s="71">
        <f t="shared" si="65"/>
        <v>2.7256704980842899</v>
      </c>
      <c r="N67" s="71">
        <f t="shared" si="65"/>
        <v>12.6</v>
      </c>
      <c r="O67" s="75">
        <v>31.54</v>
      </c>
      <c r="R67" s="61">
        <v>15</v>
      </c>
      <c r="U67" s="80" t="s">
        <v>351</v>
      </c>
      <c r="W67" s="80" t="s">
        <v>39</v>
      </c>
      <c r="X67" s="80" t="s">
        <v>40</v>
      </c>
      <c r="AE67" t="str">
        <f t="shared" si="54"/>
        <v>WST-SpCool_GAS1</v>
      </c>
      <c r="AJ67">
        <f>'[7]TechSpaceCooling-COM'!$U$80</f>
        <v>1.3415972844263499E-2</v>
      </c>
      <c r="AK67" s="57" t="s">
        <v>183</v>
      </c>
    </row>
    <row r="68" spans="2:37" ht="137.5">
      <c r="B68" s="68" t="s">
        <v>352</v>
      </c>
      <c r="C68" s="68" t="s">
        <v>258</v>
      </c>
      <c r="D68" s="68"/>
      <c r="E68" s="68" t="s">
        <v>353</v>
      </c>
      <c r="F68" s="58">
        <v>2021</v>
      </c>
      <c r="G68" s="71">
        <f t="shared" ref="G68:N68" si="66">G62</f>
        <v>0.98</v>
      </c>
      <c r="H68" s="71"/>
      <c r="I68" s="71">
        <f t="shared" si="66"/>
        <v>1</v>
      </c>
      <c r="J68" s="71">
        <f t="shared" si="66"/>
        <v>260.555555555556</v>
      </c>
      <c r="K68" s="71">
        <f t="shared" si="66"/>
        <v>2.7777777777777799</v>
      </c>
      <c r="L68" s="71">
        <f t="shared" si="66"/>
        <v>260.555555555556</v>
      </c>
      <c r="M68" s="71">
        <f t="shared" si="66"/>
        <v>2.7777777777777799</v>
      </c>
      <c r="N68" s="71">
        <f t="shared" si="66"/>
        <v>12</v>
      </c>
      <c r="O68" s="75">
        <v>31.54</v>
      </c>
      <c r="R68" s="61">
        <v>15</v>
      </c>
      <c r="U68" s="80" t="s">
        <v>352</v>
      </c>
      <c r="W68" s="80" t="s">
        <v>39</v>
      </c>
      <c r="X68" s="80" t="s">
        <v>40</v>
      </c>
      <c r="AE68" t="str">
        <f t="shared" si="54"/>
        <v>RTS-SpCool_ELE1</v>
      </c>
      <c r="AJ68">
        <f>AJ66</f>
        <v>1.3415972844263499E-2</v>
      </c>
      <c r="AK68" s="57" t="s">
        <v>183</v>
      </c>
    </row>
    <row r="69" spans="2:37" ht="137.5">
      <c r="B69" s="68" t="s">
        <v>354</v>
      </c>
      <c r="C69" s="68" t="s">
        <v>301</v>
      </c>
      <c r="D69" s="68"/>
      <c r="E69" s="68" t="s">
        <v>353</v>
      </c>
      <c r="F69" s="58">
        <v>2021</v>
      </c>
      <c r="G69" s="71">
        <f t="shared" ref="G69:N69" si="67">G63</f>
        <v>0.8</v>
      </c>
      <c r="H69" s="71"/>
      <c r="I69" s="71">
        <f t="shared" si="67"/>
        <v>1</v>
      </c>
      <c r="J69" s="71">
        <f t="shared" si="67"/>
        <v>116.81034482758599</v>
      </c>
      <c r="K69" s="71">
        <f t="shared" si="67"/>
        <v>5.5172413793103496</v>
      </c>
      <c r="L69" s="71">
        <f t="shared" si="67"/>
        <v>116.81034482758599</v>
      </c>
      <c r="M69" s="71">
        <f t="shared" si="67"/>
        <v>5.5172413793103496</v>
      </c>
      <c r="N69" s="71">
        <f t="shared" si="67"/>
        <v>10</v>
      </c>
      <c r="O69" s="75">
        <v>31.54</v>
      </c>
      <c r="R69" s="61">
        <v>15</v>
      </c>
      <c r="U69" s="80" t="s">
        <v>354</v>
      </c>
      <c r="W69" s="80" t="s">
        <v>39</v>
      </c>
      <c r="X69" s="80" t="s">
        <v>40</v>
      </c>
      <c r="AE69" t="str">
        <f t="shared" si="54"/>
        <v>RTS-SpCool_GAS1</v>
      </c>
      <c r="AJ69">
        <f>AJ67</f>
        <v>1.3415972844263499E-2</v>
      </c>
      <c r="AK69" s="57" t="s">
        <v>183</v>
      </c>
    </row>
    <row r="70" spans="2:37" ht="137.5">
      <c r="B70" s="68" t="s">
        <v>355</v>
      </c>
      <c r="C70" s="68" t="s">
        <v>303</v>
      </c>
      <c r="D70" s="68"/>
      <c r="E70" s="68" t="s">
        <v>353</v>
      </c>
      <c r="F70" s="58">
        <v>2021</v>
      </c>
      <c r="G70" s="71">
        <f t="shared" ref="G70:N70" si="68">G64</f>
        <v>0.8</v>
      </c>
      <c r="H70" s="71"/>
      <c r="I70" s="71">
        <f t="shared" si="68"/>
        <v>1</v>
      </c>
      <c r="J70" s="71">
        <f t="shared" si="68"/>
        <v>69.545454545454504</v>
      </c>
      <c r="K70" s="71">
        <f t="shared" si="68"/>
        <v>2.2727272727272698</v>
      </c>
      <c r="L70" s="71">
        <f t="shared" si="68"/>
        <v>69.545454545454504</v>
      </c>
      <c r="M70" s="71">
        <f t="shared" si="68"/>
        <v>2.2727272727272698</v>
      </c>
      <c r="N70" s="71">
        <f t="shared" si="68"/>
        <v>13</v>
      </c>
      <c r="O70" s="75">
        <v>31.54</v>
      </c>
      <c r="R70" s="61">
        <v>15</v>
      </c>
      <c r="U70" s="80" t="s">
        <v>355</v>
      </c>
      <c r="W70" s="80" t="s">
        <v>39</v>
      </c>
      <c r="X70" s="80" t="s">
        <v>40</v>
      </c>
      <c r="AE70" t="str">
        <f t="shared" si="54"/>
        <v>TWS-SpCool_ELE1</v>
      </c>
      <c r="AJ70">
        <f t="shared" ref="AJ70:AJ85" si="69">AJ68</f>
        <v>1.3415972844263499E-2</v>
      </c>
      <c r="AK70" s="57" t="s">
        <v>183</v>
      </c>
    </row>
    <row r="71" spans="2:37" ht="137.5">
      <c r="B71" s="68" t="s">
        <v>356</v>
      </c>
      <c r="C71" s="68" t="s">
        <v>305</v>
      </c>
      <c r="D71" s="68"/>
      <c r="E71" s="68" t="s">
        <v>353</v>
      </c>
      <c r="F71" s="58">
        <v>2021</v>
      </c>
      <c r="G71" s="71">
        <f t="shared" ref="G71:N71" si="70">G65</f>
        <v>0.8</v>
      </c>
      <c r="H71" s="71"/>
      <c r="I71" s="71">
        <f t="shared" si="70"/>
        <v>1</v>
      </c>
      <c r="J71" s="71">
        <f t="shared" si="70"/>
        <v>69.545454545454504</v>
      </c>
      <c r="K71" s="71">
        <f t="shared" si="70"/>
        <v>2.2727272727272698</v>
      </c>
      <c r="L71" s="71">
        <f t="shared" si="70"/>
        <v>69.545454545454504</v>
      </c>
      <c r="M71" s="71">
        <f t="shared" si="70"/>
        <v>2.2727272727272698</v>
      </c>
      <c r="N71" s="71">
        <f t="shared" si="70"/>
        <v>13</v>
      </c>
      <c r="O71" s="75">
        <v>31.54</v>
      </c>
      <c r="R71" s="61">
        <v>15</v>
      </c>
      <c r="U71" s="80" t="s">
        <v>356</v>
      </c>
      <c r="W71" s="80" t="s">
        <v>39</v>
      </c>
      <c r="X71" s="80" t="s">
        <v>40</v>
      </c>
      <c r="AE71" t="str">
        <f t="shared" si="54"/>
        <v>TWS-SpCool_GAS1</v>
      </c>
      <c r="AJ71">
        <f t="shared" si="69"/>
        <v>1.3415972844263499E-2</v>
      </c>
      <c r="AK71" s="57" t="s">
        <v>183</v>
      </c>
    </row>
    <row r="72" spans="2:37" ht="137.5">
      <c r="B72" s="68" t="s">
        <v>357</v>
      </c>
      <c r="C72" s="68" t="s">
        <v>307</v>
      </c>
      <c r="D72" s="68"/>
      <c r="E72" s="68" t="s">
        <v>353</v>
      </c>
      <c r="F72" s="58">
        <v>2021</v>
      </c>
      <c r="G72" s="71">
        <f t="shared" ref="G72:N72" si="71">G66</f>
        <v>0.98</v>
      </c>
      <c r="H72" s="71"/>
      <c r="I72" s="71">
        <f t="shared" si="71"/>
        <v>1</v>
      </c>
      <c r="J72" s="71">
        <f t="shared" si="71"/>
        <v>72.424242424242394</v>
      </c>
      <c r="K72" s="71">
        <f t="shared" si="71"/>
        <v>0.78787878787878796</v>
      </c>
      <c r="L72" s="71">
        <f t="shared" si="71"/>
        <v>72.424242424242394</v>
      </c>
      <c r="M72" s="71">
        <f t="shared" si="71"/>
        <v>0.78787878787878796</v>
      </c>
      <c r="N72" s="71">
        <f t="shared" si="71"/>
        <v>15</v>
      </c>
      <c r="O72" s="75">
        <v>31.54</v>
      </c>
      <c r="R72" s="61">
        <v>15</v>
      </c>
      <c r="U72" s="80" t="s">
        <v>357</v>
      </c>
      <c r="W72" s="80" t="s">
        <v>39</v>
      </c>
      <c r="X72" s="80" t="s">
        <v>40</v>
      </c>
      <c r="AE72" t="str">
        <f t="shared" ref="AE72:AE85" si="72">B212</f>
        <v>ICS-SpCool_ELE1</v>
      </c>
      <c r="AJ72">
        <f t="shared" si="69"/>
        <v>1.3415972844263499E-2</v>
      </c>
      <c r="AK72" s="57" t="s">
        <v>183</v>
      </c>
    </row>
    <row r="73" spans="2:37" ht="137.5">
      <c r="B73" s="68" t="s">
        <v>358</v>
      </c>
      <c r="C73" s="68" t="s">
        <v>309</v>
      </c>
      <c r="D73" s="68"/>
      <c r="E73" s="68" t="s">
        <v>353</v>
      </c>
      <c r="F73" s="58">
        <v>2021</v>
      </c>
      <c r="G73" s="71">
        <f t="shared" ref="G73:N73" si="73">G67</f>
        <v>0.872</v>
      </c>
      <c r="H73" s="71"/>
      <c r="I73" s="71">
        <f t="shared" si="73"/>
        <v>1</v>
      </c>
      <c r="J73" s="71">
        <f t="shared" si="73"/>
        <v>117.77621037965901</v>
      </c>
      <c r="K73" s="71">
        <f t="shared" si="73"/>
        <v>2.7256704980842899</v>
      </c>
      <c r="L73" s="71">
        <f t="shared" si="73"/>
        <v>117.77621037965901</v>
      </c>
      <c r="M73" s="71">
        <f t="shared" si="73"/>
        <v>2.7256704980842899</v>
      </c>
      <c r="N73" s="71">
        <f t="shared" si="73"/>
        <v>12.6</v>
      </c>
      <c r="O73" s="75">
        <v>31.54</v>
      </c>
      <c r="R73" s="61">
        <v>15</v>
      </c>
      <c r="U73" s="80" t="s">
        <v>358</v>
      </c>
      <c r="W73" s="80" t="s">
        <v>39</v>
      </c>
      <c r="X73" s="80" t="s">
        <v>40</v>
      </c>
      <c r="AE73" t="str">
        <f t="shared" si="72"/>
        <v>ICS-SpCool_GAS1</v>
      </c>
      <c r="AJ73">
        <f t="shared" si="69"/>
        <v>1.3415972844263499E-2</v>
      </c>
      <c r="AK73" s="57" t="s">
        <v>183</v>
      </c>
    </row>
    <row r="74" spans="2:37" ht="137.5">
      <c r="B74" s="68" t="s">
        <v>359</v>
      </c>
      <c r="C74" s="68" t="s">
        <v>258</v>
      </c>
      <c r="D74" s="68"/>
      <c r="E74" s="68" t="s">
        <v>360</v>
      </c>
      <c r="F74" s="58">
        <v>2021</v>
      </c>
      <c r="G74" s="71">
        <f t="shared" ref="G74:N74" si="74">G68</f>
        <v>0.98</v>
      </c>
      <c r="H74" s="71"/>
      <c r="I74" s="71">
        <f t="shared" si="74"/>
        <v>1</v>
      </c>
      <c r="J74" s="71">
        <f t="shared" si="74"/>
        <v>260.555555555556</v>
      </c>
      <c r="K74" s="71">
        <f t="shared" si="74"/>
        <v>2.7777777777777799</v>
      </c>
      <c r="L74" s="71">
        <f t="shared" si="74"/>
        <v>260.555555555556</v>
      </c>
      <c r="M74" s="71">
        <f t="shared" si="74"/>
        <v>2.7777777777777799</v>
      </c>
      <c r="N74" s="71">
        <f t="shared" si="74"/>
        <v>12</v>
      </c>
      <c r="O74" s="75">
        <v>31.54</v>
      </c>
      <c r="R74" s="61">
        <v>15</v>
      </c>
      <c r="U74" s="80" t="s">
        <v>359</v>
      </c>
      <c r="W74" s="80" t="s">
        <v>39</v>
      </c>
      <c r="X74" s="80" t="s">
        <v>40</v>
      </c>
      <c r="AE74" t="str">
        <f t="shared" si="72"/>
        <v>OS-SpCool_ELE1</v>
      </c>
      <c r="AJ74">
        <f t="shared" si="69"/>
        <v>1.3415972844263499E-2</v>
      </c>
      <c r="AK74" s="57" t="s">
        <v>183</v>
      </c>
    </row>
    <row r="75" spans="2:37" ht="137.5">
      <c r="B75" s="68" t="s">
        <v>361</v>
      </c>
      <c r="C75" s="68" t="s">
        <v>301</v>
      </c>
      <c r="D75" s="68"/>
      <c r="E75" s="68" t="s">
        <v>360</v>
      </c>
      <c r="F75" s="58">
        <v>2021</v>
      </c>
      <c r="G75" s="71">
        <f t="shared" ref="G75:N75" si="75">G69</f>
        <v>0.8</v>
      </c>
      <c r="H75" s="71"/>
      <c r="I75" s="71">
        <f t="shared" si="75"/>
        <v>1</v>
      </c>
      <c r="J75" s="71">
        <f t="shared" si="75"/>
        <v>116.81034482758599</v>
      </c>
      <c r="K75" s="71">
        <f t="shared" si="75"/>
        <v>5.5172413793103496</v>
      </c>
      <c r="L75" s="71">
        <f t="shared" si="75"/>
        <v>116.81034482758599</v>
      </c>
      <c r="M75" s="71">
        <f t="shared" si="75"/>
        <v>5.5172413793103496</v>
      </c>
      <c r="N75" s="71">
        <f t="shared" si="75"/>
        <v>10</v>
      </c>
      <c r="O75" s="75">
        <v>31.54</v>
      </c>
      <c r="R75" s="61">
        <v>15</v>
      </c>
      <c r="U75" s="80" t="s">
        <v>361</v>
      </c>
      <c r="W75" s="80" t="s">
        <v>39</v>
      </c>
      <c r="X75" s="80" t="s">
        <v>40</v>
      </c>
      <c r="AE75" t="str">
        <f t="shared" si="72"/>
        <v>OS-SpCool_GAS1</v>
      </c>
      <c r="AJ75">
        <f t="shared" si="69"/>
        <v>1.3415972844263499E-2</v>
      </c>
      <c r="AK75" s="57" t="s">
        <v>183</v>
      </c>
    </row>
    <row r="76" spans="2:37" ht="137.5">
      <c r="B76" s="68" t="s">
        <v>362</v>
      </c>
      <c r="C76" s="68" t="s">
        <v>303</v>
      </c>
      <c r="D76" s="68"/>
      <c r="E76" s="68" t="s">
        <v>360</v>
      </c>
      <c r="F76" s="58">
        <v>2021</v>
      </c>
      <c r="G76" s="71">
        <f t="shared" ref="G76:N76" si="76">G70</f>
        <v>0.8</v>
      </c>
      <c r="H76" s="71"/>
      <c r="I76" s="71">
        <f t="shared" si="76"/>
        <v>1</v>
      </c>
      <c r="J76" s="71">
        <f t="shared" si="76"/>
        <v>69.545454545454504</v>
      </c>
      <c r="K76" s="71">
        <f t="shared" si="76"/>
        <v>2.2727272727272698</v>
      </c>
      <c r="L76" s="71">
        <f t="shared" si="76"/>
        <v>69.545454545454504</v>
      </c>
      <c r="M76" s="71">
        <f t="shared" si="76"/>
        <v>2.2727272727272698</v>
      </c>
      <c r="N76" s="71">
        <f t="shared" si="76"/>
        <v>13</v>
      </c>
      <c r="O76" s="75">
        <v>31.54</v>
      </c>
      <c r="R76" s="61">
        <v>15</v>
      </c>
      <c r="U76" s="80" t="s">
        <v>362</v>
      </c>
      <c r="W76" s="80" t="s">
        <v>39</v>
      </c>
      <c r="X76" s="80" t="s">
        <v>40</v>
      </c>
      <c r="AE76" t="str">
        <f t="shared" si="72"/>
        <v>EDU-SpCool_ELE1</v>
      </c>
      <c r="AJ76">
        <f t="shared" si="69"/>
        <v>1.3415972844263499E-2</v>
      </c>
      <c r="AK76" s="57" t="s">
        <v>183</v>
      </c>
    </row>
    <row r="77" spans="2:37" ht="137.5">
      <c r="B77" s="68" t="s">
        <v>363</v>
      </c>
      <c r="C77" s="68" t="s">
        <v>305</v>
      </c>
      <c r="D77" s="68"/>
      <c r="E77" s="68" t="s">
        <v>360</v>
      </c>
      <c r="F77" s="58">
        <v>2021</v>
      </c>
      <c r="G77" s="71">
        <f t="shared" ref="G77:N77" si="77">G71</f>
        <v>0.8</v>
      </c>
      <c r="H77" s="71"/>
      <c r="I77" s="71">
        <f t="shared" si="77"/>
        <v>1</v>
      </c>
      <c r="J77" s="71">
        <f t="shared" si="77"/>
        <v>69.545454545454504</v>
      </c>
      <c r="K77" s="71">
        <f t="shared" si="77"/>
        <v>2.2727272727272698</v>
      </c>
      <c r="L77" s="71">
        <f t="shared" si="77"/>
        <v>69.545454545454504</v>
      </c>
      <c r="M77" s="71">
        <f t="shared" si="77"/>
        <v>2.2727272727272698</v>
      </c>
      <c r="N77" s="71">
        <f t="shared" si="77"/>
        <v>13</v>
      </c>
      <c r="O77" s="75">
        <v>31.54</v>
      </c>
      <c r="R77" s="61">
        <v>15</v>
      </c>
      <c r="U77" s="80" t="s">
        <v>363</v>
      </c>
      <c r="W77" s="80" t="s">
        <v>39</v>
      </c>
      <c r="X77" s="80" t="s">
        <v>40</v>
      </c>
      <c r="AE77" t="str">
        <f t="shared" si="72"/>
        <v>EDU-SpCool_GAS1</v>
      </c>
      <c r="AJ77">
        <f t="shared" si="69"/>
        <v>1.3415972844263499E-2</v>
      </c>
      <c r="AK77" s="57" t="s">
        <v>183</v>
      </c>
    </row>
    <row r="78" spans="2:37" ht="137.5">
      <c r="B78" s="68" t="s">
        <v>364</v>
      </c>
      <c r="C78" s="68" t="s">
        <v>307</v>
      </c>
      <c r="D78" s="68"/>
      <c r="E78" s="68" t="s">
        <v>360</v>
      </c>
      <c r="F78" s="58">
        <v>2021</v>
      </c>
      <c r="G78" s="71">
        <f t="shared" ref="G78:N78" si="78">G72</f>
        <v>0.98</v>
      </c>
      <c r="H78" s="71"/>
      <c r="I78" s="71">
        <f t="shared" si="78"/>
        <v>1</v>
      </c>
      <c r="J78" s="71">
        <f t="shared" si="78"/>
        <v>72.424242424242394</v>
      </c>
      <c r="K78" s="71">
        <f t="shared" si="78"/>
        <v>0.78787878787878796</v>
      </c>
      <c r="L78" s="71">
        <f t="shared" si="78"/>
        <v>72.424242424242394</v>
      </c>
      <c r="M78" s="71">
        <f t="shared" si="78"/>
        <v>0.78787878787878796</v>
      </c>
      <c r="N78" s="71">
        <f t="shared" si="78"/>
        <v>15</v>
      </c>
      <c r="O78" s="75">
        <v>31.54</v>
      </c>
      <c r="R78" s="61">
        <v>15</v>
      </c>
      <c r="U78" s="80" t="s">
        <v>364</v>
      </c>
      <c r="W78" s="80" t="s">
        <v>39</v>
      </c>
      <c r="X78" s="80" t="s">
        <v>40</v>
      </c>
      <c r="AE78" t="str">
        <f t="shared" si="72"/>
        <v>HSS-SpCool_ELE1</v>
      </c>
      <c r="AJ78">
        <f t="shared" si="69"/>
        <v>1.3415972844263499E-2</v>
      </c>
      <c r="AK78" s="57" t="s">
        <v>183</v>
      </c>
    </row>
    <row r="79" spans="2:37" ht="137.5">
      <c r="B79" s="68" t="s">
        <v>365</v>
      </c>
      <c r="C79" s="68" t="s">
        <v>309</v>
      </c>
      <c r="D79" s="68"/>
      <c r="E79" s="68" t="s">
        <v>360</v>
      </c>
      <c r="F79" s="58">
        <v>2021</v>
      </c>
      <c r="G79" s="71">
        <f t="shared" ref="G79:N79" si="79">G73</f>
        <v>0.872</v>
      </c>
      <c r="H79" s="71"/>
      <c r="I79" s="71">
        <f t="shared" si="79"/>
        <v>1</v>
      </c>
      <c r="J79" s="71">
        <f t="shared" si="79"/>
        <v>117.77621037965901</v>
      </c>
      <c r="K79" s="71">
        <f t="shared" si="79"/>
        <v>2.7256704980842899</v>
      </c>
      <c r="L79" s="71">
        <f t="shared" si="79"/>
        <v>117.77621037965901</v>
      </c>
      <c r="M79" s="71">
        <f t="shared" si="79"/>
        <v>2.7256704980842899</v>
      </c>
      <c r="N79" s="71">
        <f t="shared" si="79"/>
        <v>12.6</v>
      </c>
      <c r="O79" s="75">
        <v>31.54</v>
      </c>
      <c r="R79" s="61">
        <v>15</v>
      </c>
      <c r="U79" s="80" t="s">
        <v>365</v>
      </c>
      <c r="W79" s="80" t="s">
        <v>39</v>
      </c>
      <c r="X79" s="80" t="s">
        <v>40</v>
      </c>
      <c r="AE79" t="str">
        <f t="shared" si="72"/>
        <v>HSS-SpCool_GAS1</v>
      </c>
      <c r="AJ79">
        <f t="shared" si="69"/>
        <v>1.3415972844263499E-2</v>
      </c>
      <c r="AK79" s="57" t="s">
        <v>183</v>
      </c>
    </row>
    <row r="80" spans="2:37" ht="137.5">
      <c r="B80" s="68" t="s">
        <v>366</v>
      </c>
      <c r="C80" s="68" t="s">
        <v>258</v>
      </c>
      <c r="D80" s="68"/>
      <c r="E80" s="68" t="s">
        <v>367</v>
      </c>
      <c r="F80" s="58">
        <v>2021</v>
      </c>
      <c r="G80" s="71">
        <f t="shared" ref="G80:N80" si="80">G74</f>
        <v>0.98</v>
      </c>
      <c r="H80" s="71"/>
      <c r="I80" s="71">
        <f t="shared" si="80"/>
        <v>1</v>
      </c>
      <c r="J80" s="71">
        <f t="shared" si="80"/>
        <v>260.555555555556</v>
      </c>
      <c r="K80" s="71">
        <f t="shared" si="80"/>
        <v>2.7777777777777799</v>
      </c>
      <c r="L80" s="71">
        <f t="shared" si="80"/>
        <v>260.555555555556</v>
      </c>
      <c r="M80" s="71">
        <f t="shared" si="80"/>
        <v>2.7777777777777799</v>
      </c>
      <c r="N80" s="71">
        <f t="shared" si="80"/>
        <v>12</v>
      </c>
      <c r="O80" s="75">
        <v>31.54</v>
      </c>
      <c r="R80" s="61">
        <v>15</v>
      </c>
      <c r="U80" s="80" t="s">
        <v>366</v>
      </c>
      <c r="W80" s="80" t="s">
        <v>39</v>
      </c>
      <c r="X80" s="80" t="s">
        <v>40</v>
      </c>
      <c r="AE80" t="str">
        <f t="shared" si="72"/>
        <v>ART-SpCool_ELE1</v>
      </c>
      <c r="AJ80">
        <f t="shared" si="69"/>
        <v>1.3415972844263499E-2</v>
      </c>
      <c r="AK80" s="57" t="s">
        <v>183</v>
      </c>
    </row>
    <row r="81" spans="2:37" ht="137.5">
      <c r="B81" s="68" t="s">
        <v>368</v>
      </c>
      <c r="C81" s="68" t="s">
        <v>301</v>
      </c>
      <c r="D81" s="68"/>
      <c r="E81" s="68" t="s">
        <v>367</v>
      </c>
      <c r="F81" s="58">
        <v>2021</v>
      </c>
      <c r="G81" s="71">
        <f t="shared" ref="G81:N81" si="81">G75</f>
        <v>0.8</v>
      </c>
      <c r="H81" s="71"/>
      <c r="I81" s="71">
        <f t="shared" si="81"/>
        <v>1</v>
      </c>
      <c r="J81" s="71">
        <f t="shared" si="81"/>
        <v>116.81034482758599</v>
      </c>
      <c r="K81" s="71">
        <f t="shared" si="81"/>
        <v>5.5172413793103496</v>
      </c>
      <c r="L81" s="71">
        <f t="shared" si="81"/>
        <v>116.81034482758599</v>
      </c>
      <c r="M81" s="71">
        <f t="shared" si="81"/>
        <v>5.5172413793103496</v>
      </c>
      <c r="N81" s="71">
        <f t="shared" si="81"/>
        <v>10</v>
      </c>
      <c r="O81" s="75">
        <v>31.54</v>
      </c>
      <c r="R81" s="61">
        <v>15</v>
      </c>
      <c r="U81" s="80" t="s">
        <v>368</v>
      </c>
      <c r="W81" s="80" t="s">
        <v>39</v>
      </c>
      <c r="X81" s="80" t="s">
        <v>40</v>
      </c>
      <c r="AE81" t="str">
        <f t="shared" si="72"/>
        <v>ART-SpCool_GAS1</v>
      </c>
      <c r="AJ81">
        <f t="shared" si="69"/>
        <v>1.3415972844263499E-2</v>
      </c>
      <c r="AK81" s="57" t="s">
        <v>183</v>
      </c>
    </row>
    <row r="82" spans="2:37" ht="137.5">
      <c r="B82" s="68" t="s">
        <v>369</v>
      </c>
      <c r="C82" s="68" t="s">
        <v>303</v>
      </c>
      <c r="D82" s="68"/>
      <c r="E82" s="68" t="s">
        <v>367</v>
      </c>
      <c r="F82" s="58">
        <v>2021</v>
      </c>
      <c r="G82" s="71">
        <f t="shared" ref="G82:N82" si="82">G76</f>
        <v>0.8</v>
      </c>
      <c r="H82" s="71"/>
      <c r="I82" s="71">
        <f t="shared" si="82"/>
        <v>1</v>
      </c>
      <c r="J82" s="71">
        <f t="shared" si="82"/>
        <v>69.545454545454504</v>
      </c>
      <c r="K82" s="71">
        <f t="shared" si="82"/>
        <v>2.2727272727272698</v>
      </c>
      <c r="L82" s="71">
        <f t="shared" si="82"/>
        <v>69.545454545454504</v>
      </c>
      <c r="M82" s="71">
        <f t="shared" si="82"/>
        <v>2.2727272727272698</v>
      </c>
      <c r="N82" s="71">
        <f t="shared" si="82"/>
        <v>13</v>
      </c>
      <c r="O82" s="75">
        <v>31.54</v>
      </c>
      <c r="R82" s="61">
        <v>15</v>
      </c>
      <c r="U82" s="80" t="s">
        <v>369</v>
      </c>
      <c r="W82" s="80" t="s">
        <v>39</v>
      </c>
      <c r="X82" s="80" t="s">
        <v>40</v>
      </c>
      <c r="AE82" t="str">
        <f t="shared" si="72"/>
        <v>AFM-SpCool_ELE1</v>
      </c>
      <c r="AJ82">
        <f t="shared" si="69"/>
        <v>1.3415972844263499E-2</v>
      </c>
      <c r="AK82" s="57" t="s">
        <v>183</v>
      </c>
    </row>
    <row r="83" spans="2:37" ht="137.5">
      <c r="B83" s="68" t="s">
        <v>370</v>
      </c>
      <c r="C83" s="68" t="s">
        <v>305</v>
      </c>
      <c r="D83" s="68"/>
      <c r="E83" s="68" t="s">
        <v>367</v>
      </c>
      <c r="F83" s="58">
        <v>2021</v>
      </c>
      <c r="G83" s="71">
        <f t="shared" ref="G83:N83" si="83">G77</f>
        <v>0.8</v>
      </c>
      <c r="H83" s="71"/>
      <c r="I83" s="71">
        <f t="shared" si="83"/>
        <v>1</v>
      </c>
      <c r="J83" s="71">
        <f t="shared" si="83"/>
        <v>69.545454545454504</v>
      </c>
      <c r="K83" s="71">
        <f t="shared" si="83"/>
        <v>2.2727272727272698</v>
      </c>
      <c r="L83" s="71">
        <f t="shared" si="83"/>
        <v>69.545454545454504</v>
      </c>
      <c r="M83" s="71">
        <f t="shared" si="83"/>
        <v>2.2727272727272698</v>
      </c>
      <c r="N83" s="71">
        <f t="shared" si="83"/>
        <v>13</v>
      </c>
      <c r="O83" s="75">
        <v>31.54</v>
      </c>
      <c r="R83" s="61">
        <v>15</v>
      </c>
      <c r="U83" s="80" t="s">
        <v>370</v>
      </c>
      <c r="W83" s="80" t="s">
        <v>39</v>
      </c>
      <c r="X83" s="80" t="s">
        <v>40</v>
      </c>
      <c r="AE83" t="str">
        <f t="shared" si="72"/>
        <v>AFM-SpCool_GAS1</v>
      </c>
      <c r="AJ83">
        <f t="shared" si="69"/>
        <v>1.3415972844263499E-2</v>
      </c>
      <c r="AK83" s="57" t="s">
        <v>183</v>
      </c>
    </row>
    <row r="84" spans="2:37" ht="137.5">
      <c r="B84" s="68" t="s">
        <v>371</v>
      </c>
      <c r="C84" s="68" t="s">
        <v>307</v>
      </c>
      <c r="D84" s="68"/>
      <c r="E84" s="68" t="s">
        <v>367</v>
      </c>
      <c r="F84" s="58">
        <v>2021</v>
      </c>
      <c r="G84" s="71">
        <f t="shared" ref="G84:N85" si="84">G78</f>
        <v>0.98</v>
      </c>
      <c r="H84" s="71"/>
      <c r="I84" s="71">
        <f t="shared" si="84"/>
        <v>1</v>
      </c>
      <c r="J84" s="71">
        <f t="shared" si="84"/>
        <v>72.424242424242394</v>
      </c>
      <c r="K84" s="71">
        <f t="shared" si="84"/>
        <v>0.78787878787878796</v>
      </c>
      <c r="L84" s="71">
        <f t="shared" si="84"/>
        <v>72.424242424242394</v>
      </c>
      <c r="M84" s="71">
        <f t="shared" si="84"/>
        <v>0.78787878787878796</v>
      </c>
      <c r="N84" s="71">
        <f t="shared" si="84"/>
        <v>15</v>
      </c>
      <c r="O84" s="75">
        <v>31.54</v>
      </c>
      <c r="R84" s="61">
        <v>15</v>
      </c>
      <c r="U84" s="80" t="s">
        <v>371</v>
      </c>
      <c r="W84" s="80" t="s">
        <v>39</v>
      </c>
      <c r="X84" s="80" t="s">
        <v>40</v>
      </c>
      <c r="AE84" t="str">
        <f t="shared" si="72"/>
        <v>OTH-SpCool_ELE1</v>
      </c>
      <c r="AJ84">
        <f t="shared" si="69"/>
        <v>1.3415972844263499E-2</v>
      </c>
      <c r="AK84" s="57" t="s">
        <v>183</v>
      </c>
    </row>
    <row r="85" spans="2:37" ht="137.5">
      <c r="B85" s="68" t="s">
        <v>372</v>
      </c>
      <c r="C85" s="68" t="s">
        <v>309</v>
      </c>
      <c r="D85" s="68"/>
      <c r="E85" s="68" t="s">
        <v>367</v>
      </c>
      <c r="F85" s="58">
        <v>2021</v>
      </c>
      <c r="G85" s="71">
        <f t="shared" si="84"/>
        <v>0.872</v>
      </c>
      <c r="H85" s="71"/>
      <c r="I85" s="71">
        <f t="shared" si="84"/>
        <v>1</v>
      </c>
      <c r="J85" s="71">
        <f t="shared" si="84"/>
        <v>117.77621037965901</v>
      </c>
      <c r="K85" s="71">
        <f t="shared" si="84"/>
        <v>2.7256704980842899</v>
      </c>
      <c r="L85" s="71">
        <f t="shared" si="84"/>
        <v>117.77621037965901</v>
      </c>
      <c r="M85" s="71">
        <f t="shared" si="84"/>
        <v>2.7256704980842899</v>
      </c>
      <c r="N85" s="71">
        <f t="shared" si="84"/>
        <v>12.6</v>
      </c>
      <c r="O85" s="75">
        <v>31.54</v>
      </c>
      <c r="R85" s="61">
        <v>15</v>
      </c>
      <c r="U85" s="80" t="s">
        <v>372</v>
      </c>
      <c r="W85" s="80" t="s">
        <v>39</v>
      </c>
      <c r="X85" s="80" t="s">
        <v>40</v>
      </c>
      <c r="AE85" t="str">
        <f t="shared" si="72"/>
        <v>OTH-SpCool_GAS1</v>
      </c>
      <c r="AJ85">
        <f t="shared" si="69"/>
        <v>1.3415972844263499E-2</v>
      </c>
      <c r="AK85" s="57" t="s">
        <v>183</v>
      </c>
    </row>
    <row r="86" spans="2:37" ht="175">
      <c r="B86" s="68" t="s">
        <v>373</v>
      </c>
      <c r="C86" s="68" t="s">
        <v>258</v>
      </c>
      <c r="D86" s="68"/>
      <c r="E86" s="68" t="s">
        <v>374</v>
      </c>
      <c r="F86" s="58">
        <v>2021</v>
      </c>
      <c r="G86" s="71">
        <f>0.98</f>
        <v>0.98</v>
      </c>
      <c r="H86" s="83"/>
      <c r="I86" s="71">
        <f>'[6]TechWaterHeat-COM'!$O$199</f>
        <v>0.19848365442079791</v>
      </c>
      <c r="J86" s="71">
        <f>4690/18*1</f>
        <v>260.555555555556</v>
      </c>
      <c r="K86" s="71">
        <f>50/18*1</f>
        <v>2.7777777777777799</v>
      </c>
      <c r="L86" s="71">
        <f t="shared" ref="L86:L90" si="85">J86</f>
        <v>260.555555555556</v>
      </c>
      <c r="M86" s="71">
        <f t="shared" ref="M86:M90" si="86">K86</f>
        <v>2.7777777777777799</v>
      </c>
      <c r="N86" s="85">
        <v>12</v>
      </c>
      <c r="O86" s="75">
        <v>31.54</v>
      </c>
      <c r="R86" s="61">
        <v>15</v>
      </c>
      <c r="U86" s="80" t="s">
        <v>373</v>
      </c>
      <c r="W86" s="80" t="s">
        <v>39</v>
      </c>
      <c r="X86" s="80" t="s">
        <v>40</v>
      </c>
      <c r="AE86" s="42" t="s">
        <v>375</v>
      </c>
      <c r="AF86" s="87" t="s">
        <v>258</v>
      </c>
      <c r="AG86" s="87"/>
      <c r="AJ86">
        <f>AVERAGE(AJ6:AJ11)</f>
        <v>0.32475641391299592</v>
      </c>
      <c r="AK86" s="57" t="s">
        <v>182</v>
      </c>
    </row>
    <row r="87" spans="2:37">
      <c r="B87" s="68" t="s">
        <v>376</v>
      </c>
      <c r="C87" s="68" t="s">
        <v>301</v>
      </c>
      <c r="D87" s="68"/>
      <c r="E87" s="68" t="s">
        <v>374</v>
      </c>
      <c r="F87" s="58">
        <v>2021</v>
      </c>
      <c r="G87" s="71">
        <v>0.8</v>
      </c>
      <c r="H87" s="71"/>
      <c r="I87" s="71">
        <f>'[6]TechWaterHeat-COM'!$O$200</f>
        <v>0.4694684934038334</v>
      </c>
      <c r="J87" s="71">
        <f>(5140+8410)/2/58*1</f>
        <v>116.81034482758599</v>
      </c>
      <c r="K87" s="71">
        <f>320/58*1</f>
        <v>5.5172413793103496</v>
      </c>
      <c r="L87" s="71">
        <f t="shared" si="85"/>
        <v>116.81034482758599</v>
      </c>
      <c r="M87" s="71">
        <f t="shared" si="86"/>
        <v>5.5172413793103496</v>
      </c>
      <c r="N87" s="71">
        <v>10</v>
      </c>
      <c r="O87" s="75">
        <v>31.54</v>
      </c>
      <c r="R87" s="61">
        <v>15</v>
      </c>
      <c r="U87" s="80" t="s">
        <v>376</v>
      </c>
      <c r="W87" s="80" t="s">
        <v>39</v>
      </c>
      <c r="X87" s="80" t="s">
        <v>40</v>
      </c>
      <c r="AE87" s="42"/>
      <c r="AF87" s="42"/>
      <c r="AG87" s="89" t="s">
        <v>184</v>
      </c>
    </row>
    <row r="88" spans="2:37" ht="175">
      <c r="B88" s="68" t="s">
        <v>377</v>
      </c>
      <c r="C88" s="68" t="s">
        <v>303</v>
      </c>
      <c r="D88" s="68"/>
      <c r="E88" s="68" t="s">
        <v>374</v>
      </c>
      <c r="F88" s="58">
        <v>2021</v>
      </c>
      <c r="G88" s="71">
        <v>0.8</v>
      </c>
      <c r="H88" s="71"/>
      <c r="I88" s="71">
        <f>'[6]TechWaterHeat-COM'!$O$201</f>
        <v>0.18361570890563317</v>
      </c>
      <c r="J88" s="71">
        <f>6120/88*1</f>
        <v>69.545454545454504</v>
      </c>
      <c r="K88" s="71">
        <f>200/88*1</f>
        <v>2.2727272727272698</v>
      </c>
      <c r="L88" s="71">
        <f t="shared" si="85"/>
        <v>69.545454545454504</v>
      </c>
      <c r="M88" s="71">
        <f t="shared" si="86"/>
        <v>2.2727272727272698</v>
      </c>
      <c r="N88" s="71">
        <v>13</v>
      </c>
      <c r="O88" s="75">
        <v>31.54</v>
      </c>
      <c r="R88" s="61">
        <v>15</v>
      </c>
      <c r="U88" s="80" t="s">
        <v>377</v>
      </c>
      <c r="W88" s="80" t="s">
        <v>39</v>
      </c>
      <c r="X88" s="80" t="s">
        <v>40</v>
      </c>
      <c r="AE88" s="41" t="s">
        <v>378</v>
      </c>
      <c r="AF88" s="88" t="s">
        <v>258</v>
      </c>
      <c r="AG88" s="88"/>
      <c r="AJ88">
        <f>AJ86</f>
        <v>0.32475641391299592</v>
      </c>
      <c r="AK88" s="57" t="s">
        <v>182</v>
      </c>
    </row>
    <row r="89" spans="2:37">
      <c r="B89" s="68" t="s">
        <v>379</v>
      </c>
      <c r="C89" s="68" t="s">
        <v>305</v>
      </c>
      <c r="D89" s="68"/>
      <c r="E89" s="68" t="s">
        <v>374</v>
      </c>
      <c r="F89" s="58">
        <v>2021</v>
      </c>
      <c r="G89" s="71">
        <v>0.8</v>
      </c>
      <c r="H89" s="71"/>
      <c r="I89" s="71">
        <f>'[6]TechWaterHeat-COM'!$O$202</f>
        <v>0.18361570890563317</v>
      </c>
      <c r="J89" s="71">
        <f t="shared" ref="J89" si="87">J88</f>
        <v>69.545454545454504</v>
      </c>
      <c r="K89" s="71">
        <f t="shared" ref="K89" si="88">K88</f>
        <v>2.2727272727272698</v>
      </c>
      <c r="L89" s="71">
        <f t="shared" si="85"/>
        <v>69.545454545454504</v>
      </c>
      <c r="M89" s="71">
        <f t="shared" si="86"/>
        <v>2.2727272727272698</v>
      </c>
      <c r="N89" s="71">
        <v>13</v>
      </c>
      <c r="O89" s="75">
        <v>31.54</v>
      </c>
      <c r="R89" s="61">
        <v>15</v>
      </c>
      <c r="U89" s="80" t="s">
        <v>379</v>
      </c>
      <c r="W89" s="80" t="s">
        <v>39</v>
      </c>
      <c r="X89" s="80" t="s">
        <v>40</v>
      </c>
      <c r="AE89" s="41"/>
      <c r="AF89" s="41"/>
      <c r="AG89" s="90" t="s">
        <v>184</v>
      </c>
    </row>
    <row r="90" spans="2:37" ht="175">
      <c r="B90" s="68" t="s">
        <v>380</v>
      </c>
      <c r="C90" s="68" t="s">
        <v>307</v>
      </c>
      <c r="D90" s="68"/>
      <c r="E90" s="68" t="s">
        <v>374</v>
      </c>
      <c r="F90" s="58">
        <v>2021</v>
      </c>
      <c r="G90" s="84">
        <v>0.98</v>
      </c>
      <c r="H90" s="71"/>
      <c r="I90" s="71">
        <f>'[6]TechWaterHeat-COM'!$O$203</f>
        <v>0.29415379576205714</v>
      </c>
      <c r="J90" s="71">
        <f>11950/165*1</f>
        <v>72.424242424242394</v>
      </c>
      <c r="K90" s="71">
        <f>130/165*1</f>
        <v>0.78787878787878796</v>
      </c>
      <c r="L90" s="71">
        <f t="shared" si="85"/>
        <v>72.424242424242394</v>
      </c>
      <c r="M90" s="71">
        <f t="shared" si="86"/>
        <v>0.78787878787878796</v>
      </c>
      <c r="N90" s="71">
        <v>15</v>
      </c>
      <c r="O90" s="75">
        <v>31.54</v>
      </c>
      <c r="R90" s="61">
        <v>15</v>
      </c>
      <c r="U90" s="80" t="s">
        <v>380</v>
      </c>
      <c r="W90" s="80" t="s">
        <v>39</v>
      </c>
      <c r="X90" s="80" t="s">
        <v>40</v>
      </c>
      <c r="AE90" s="41" t="s">
        <v>381</v>
      </c>
      <c r="AF90" s="88" t="s">
        <v>258</v>
      </c>
      <c r="AG90" s="88"/>
      <c r="AJ90">
        <f>AJ88</f>
        <v>0.32475641391299592</v>
      </c>
      <c r="AK90" s="57" t="s">
        <v>182</v>
      </c>
    </row>
    <row r="91" spans="2:37">
      <c r="B91" s="68" t="s">
        <v>382</v>
      </c>
      <c r="C91" s="68" t="s">
        <v>309</v>
      </c>
      <c r="D91" s="68"/>
      <c r="E91" s="68" t="s">
        <v>374</v>
      </c>
      <c r="F91" s="58">
        <v>2021</v>
      </c>
      <c r="G91" s="71">
        <f>AVERAGE(G86:G90)</f>
        <v>0.872</v>
      </c>
      <c r="H91" s="71"/>
      <c r="I91" s="71">
        <f>'[6]TechWaterHeat-COM'!$O$204</f>
        <v>0.61920112208002076</v>
      </c>
      <c r="J91" s="71">
        <f t="shared" ref="J91:N91" si="89">AVERAGE(J86:J90)</f>
        <v>117.77621037965901</v>
      </c>
      <c r="K91" s="71">
        <f t="shared" si="89"/>
        <v>2.7256704980842899</v>
      </c>
      <c r="L91" s="71">
        <f t="shared" si="89"/>
        <v>117.77621037965901</v>
      </c>
      <c r="M91" s="71">
        <f t="shared" si="89"/>
        <v>2.7256704980842899</v>
      </c>
      <c r="N91" s="86">
        <f t="shared" si="89"/>
        <v>12.6</v>
      </c>
      <c r="O91" s="75">
        <v>31.54</v>
      </c>
      <c r="R91" s="61">
        <v>15</v>
      </c>
      <c r="U91" s="80" t="s">
        <v>382</v>
      </c>
      <c r="W91" s="80" t="s">
        <v>39</v>
      </c>
      <c r="X91" s="80" t="s">
        <v>40</v>
      </c>
      <c r="AE91" s="41"/>
      <c r="AF91" s="41"/>
      <c r="AG91" s="90" t="s">
        <v>184</v>
      </c>
    </row>
    <row r="92" spans="2:37" ht="175">
      <c r="B92" s="68" t="s">
        <v>383</v>
      </c>
      <c r="C92" s="68" t="s">
        <v>258</v>
      </c>
      <c r="D92" s="68"/>
      <c r="E92" s="68" t="s">
        <v>384</v>
      </c>
      <c r="F92" s="58">
        <v>2021</v>
      </c>
      <c r="G92" s="71">
        <f>G86</f>
        <v>0.98</v>
      </c>
      <c r="H92" s="71"/>
      <c r="I92" s="71">
        <f t="shared" ref="I92:N92" si="90">I86</f>
        <v>0.19848365442079791</v>
      </c>
      <c r="J92" s="71">
        <f t="shared" si="90"/>
        <v>260.555555555556</v>
      </c>
      <c r="K92" s="71">
        <f t="shared" si="90"/>
        <v>2.7777777777777799</v>
      </c>
      <c r="L92" s="71">
        <f t="shared" si="90"/>
        <v>260.555555555556</v>
      </c>
      <c r="M92" s="71">
        <f t="shared" si="90"/>
        <v>2.7777777777777799</v>
      </c>
      <c r="N92" s="71">
        <f t="shared" si="90"/>
        <v>12</v>
      </c>
      <c r="O92" s="75">
        <v>31.54</v>
      </c>
      <c r="R92" s="61">
        <v>15</v>
      </c>
      <c r="U92" s="80" t="s">
        <v>383</v>
      </c>
      <c r="W92" s="80" t="s">
        <v>39</v>
      </c>
      <c r="X92" s="80" t="s">
        <v>40</v>
      </c>
      <c r="AE92" s="41" t="s">
        <v>385</v>
      </c>
      <c r="AF92" s="88" t="s">
        <v>258</v>
      </c>
      <c r="AG92" s="88"/>
      <c r="AJ92">
        <f>AJ90</f>
        <v>0.32475641391299592</v>
      </c>
      <c r="AK92" s="57" t="s">
        <v>182</v>
      </c>
    </row>
    <row r="93" spans="2:37">
      <c r="B93" s="68" t="s">
        <v>386</v>
      </c>
      <c r="C93" s="68" t="s">
        <v>301</v>
      </c>
      <c r="D93" s="68"/>
      <c r="E93" s="68" t="s">
        <v>384</v>
      </c>
      <c r="F93" s="58">
        <v>2021</v>
      </c>
      <c r="G93" s="71">
        <f t="shared" ref="G93:G98" si="91">G87</f>
        <v>0.8</v>
      </c>
      <c r="H93" s="71"/>
      <c r="I93" s="71">
        <f t="shared" ref="I93:N93" si="92">I87</f>
        <v>0.4694684934038334</v>
      </c>
      <c r="J93" s="71">
        <f t="shared" si="92"/>
        <v>116.81034482758599</v>
      </c>
      <c r="K93" s="71">
        <f t="shared" si="92"/>
        <v>5.5172413793103496</v>
      </c>
      <c r="L93" s="71">
        <f t="shared" si="92"/>
        <v>116.81034482758599</v>
      </c>
      <c r="M93" s="71">
        <f t="shared" si="92"/>
        <v>5.5172413793103496</v>
      </c>
      <c r="N93" s="71">
        <f t="shared" si="92"/>
        <v>10</v>
      </c>
      <c r="O93" s="75">
        <v>31.54</v>
      </c>
      <c r="R93" s="61">
        <v>15</v>
      </c>
      <c r="U93" s="80" t="s">
        <v>386</v>
      </c>
      <c r="W93" s="80" t="s">
        <v>39</v>
      </c>
      <c r="X93" s="80" t="s">
        <v>40</v>
      </c>
      <c r="AE93" s="41"/>
      <c r="AF93" s="41"/>
      <c r="AG93" s="90" t="s">
        <v>184</v>
      </c>
    </row>
    <row r="94" spans="2:37" ht="175">
      <c r="B94" s="68" t="s">
        <v>387</v>
      </c>
      <c r="C94" s="68" t="s">
        <v>303</v>
      </c>
      <c r="D94" s="68"/>
      <c r="E94" s="68" t="s">
        <v>384</v>
      </c>
      <c r="F94" s="58">
        <v>2021</v>
      </c>
      <c r="G94" s="71">
        <f t="shared" si="91"/>
        <v>0.8</v>
      </c>
      <c r="H94" s="71"/>
      <c r="I94" s="71">
        <f t="shared" ref="I94:N94" si="93">I88</f>
        <v>0.18361570890563317</v>
      </c>
      <c r="J94" s="71">
        <f t="shared" si="93"/>
        <v>69.545454545454504</v>
      </c>
      <c r="K94" s="71">
        <f t="shared" si="93"/>
        <v>2.2727272727272698</v>
      </c>
      <c r="L94" s="71">
        <f t="shared" si="93"/>
        <v>69.545454545454504</v>
      </c>
      <c r="M94" s="71">
        <f t="shared" si="93"/>
        <v>2.2727272727272698</v>
      </c>
      <c r="N94" s="71">
        <f t="shared" si="93"/>
        <v>13</v>
      </c>
      <c r="O94" s="75">
        <v>31.54</v>
      </c>
      <c r="R94" s="61">
        <v>15</v>
      </c>
      <c r="U94" s="80" t="s">
        <v>387</v>
      </c>
      <c r="W94" s="80" t="s">
        <v>39</v>
      </c>
      <c r="X94" s="80" t="s">
        <v>40</v>
      </c>
      <c r="AE94" s="41" t="s">
        <v>388</v>
      </c>
      <c r="AF94" s="88" t="s">
        <v>258</v>
      </c>
      <c r="AG94" s="88"/>
      <c r="AJ94">
        <f>AJ92</f>
        <v>0.32475641391299592</v>
      </c>
      <c r="AK94" s="57" t="s">
        <v>182</v>
      </c>
    </row>
    <row r="95" spans="2:37">
      <c r="B95" s="68" t="s">
        <v>389</v>
      </c>
      <c r="C95" s="68" t="s">
        <v>305</v>
      </c>
      <c r="D95" s="68"/>
      <c r="E95" s="68" t="s">
        <v>384</v>
      </c>
      <c r="F95" s="58">
        <v>2021</v>
      </c>
      <c r="G95" s="71">
        <f t="shared" si="91"/>
        <v>0.8</v>
      </c>
      <c r="H95" s="71"/>
      <c r="I95" s="71">
        <f t="shared" ref="I95:N95" si="94">I89</f>
        <v>0.18361570890563317</v>
      </c>
      <c r="J95" s="71">
        <f t="shared" si="94"/>
        <v>69.545454545454504</v>
      </c>
      <c r="K95" s="71">
        <f t="shared" si="94"/>
        <v>2.2727272727272698</v>
      </c>
      <c r="L95" s="71">
        <f t="shared" si="94"/>
        <v>69.545454545454504</v>
      </c>
      <c r="M95" s="71">
        <f t="shared" si="94"/>
        <v>2.2727272727272698</v>
      </c>
      <c r="N95" s="71">
        <f t="shared" si="94"/>
        <v>13</v>
      </c>
      <c r="O95" s="75">
        <v>31.54</v>
      </c>
      <c r="R95" s="61">
        <v>15</v>
      </c>
      <c r="U95" s="80" t="s">
        <v>389</v>
      </c>
      <c r="W95" s="80" t="s">
        <v>39</v>
      </c>
      <c r="X95" s="80" t="s">
        <v>40</v>
      </c>
      <c r="AE95" s="41"/>
      <c r="AF95" s="41"/>
      <c r="AG95" s="90" t="s">
        <v>184</v>
      </c>
    </row>
    <row r="96" spans="2:37" ht="175">
      <c r="B96" s="68" t="s">
        <v>390</v>
      </c>
      <c r="C96" s="68" t="s">
        <v>307</v>
      </c>
      <c r="D96" s="68"/>
      <c r="E96" s="68" t="s">
        <v>384</v>
      </c>
      <c r="F96" s="58">
        <v>2021</v>
      </c>
      <c r="G96" s="71">
        <f t="shared" si="91"/>
        <v>0.98</v>
      </c>
      <c r="H96" s="71"/>
      <c r="I96" s="71">
        <f t="shared" ref="I96:N96" si="95">I90</f>
        <v>0.29415379576205714</v>
      </c>
      <c r="J96" s="71">
        <f t="shared" si="95"/>
        <v>72.424242424242394</v>
      </c>
      <c r="K96" s="71">
        <f t="shared" si="95"/>
        <v>0.78787878787878796</v>
      </c>
      <c r="L96" s="71">
        <f t="shared" si="95"/>
        <v>72.424242424242394</v>
      </c>
      <c r="M96" s="71">
        <f t="shared" si="95"/>
        <v>0.78787878787878796</v>
      </c>
      <c r="N96" s="71">
        <f t="shared" si="95"/>
        <v>15</v>
      </c>
      <c r="O96" s="75">
        <v>31.54</v>
      </c>
      <c r="R96" s="61">
        <v>15</v>
      </c>
      <c r="U96" s="80" t="s">
        <v>390</v>
      </c>
      <c r="W96" s="80" t="s">
        <v>39</v>
      </c>
      <c r="X96" s="80" t="s">
        <v>40</v>
      </c>
      <c r="AE96" s="41" t="s">
        <v>391</v>
      </c>
      <c r="AF96" s="88" t="s">
        <v>258</v>
      </c>
      <c r="AG96" s="88"/>
      <c r="AJ96">
        <f>AJ94</f>
        <v>0.32475641391299592</v>
      </c>
      <c r="AK96" s="57" t="s">
        <v>182</v>
      </c>
    </row>
    <row r="97" spans="2:37">
      <c r="B97" s="68" t="s">
        <v>392</v>
      </c>
      <c r="C97" s="68" t="s">
        <v>309</v>
      </c>
      <c r="D97" s="68"/>
      <c r="E97" s="68" t="s">
        <v>384</v>
      </c>
      <c r="F97" s="58">
        <v>2021</v>
      </c>
      <c r="G97" s="71">
        <f t="shared" si="91"/>
        <v>0.872</v>
      </c>
      <c r="H97" s="71"/>
      <c r="I97" s="71">
        <f t="shared" ref="I97:N97" si="96">I91</f>
        <v>0.61920112208002076</v>
      </c>
      <c r="J97" s="71">
        <f t="shared" si="96"/>
        <v>117.77621037965901</v>
      </c>
      <c r="K97" s="71">
        <f t="shared" si="96"/>
        <v>2.7256704980842899</v>
      </c>
      <c r="L97" s="71">
        <f t="shared" si="96"/>
        <v>117.77621037965901</v>
      </c>
      <c r="M97" s="71">
        <f t="shared" si="96"/>
        <v>2.7256704980842899</v>
      </c>
      <c r="N97" s="71">
        <f t="shared" si="96"/>
        <v>12.6</v>
      </c>
      <c r="O97" s="75">
        <v>31.54</v>
      </c>
      <c r="R97" s="61">
        <v>15</v>
      </c>
      <c r="U97" s="80" t="s">
        <v>392</v>
      </c>
      <c r="W97" s="80" t="s">
        <v>39</v>
      </c>
      <c r="X97" s="80" t="s">
        <v>40</v>
      </c>
      <c r="AE97" s="41"/>
      <c r="AF97" s="41"/>
      <c r="AG97" s="90" t="s">
        <v>184</v>
      </c>
    </row>
    <row r="98" spans="2:37" ht="175">
      <c r="B98" s="68" t="s">
        <v>393</v>
      </c>
      <c r="C98" s="68" t="s">
        <v>258</v>
      </c>
      <c r="D98" s="68"/>
      <c r="E98" s="68" t="s">
        <v>394</v>
      </c>
      <c r="F98" s="58">
        <v>2021</v>
      </c>
      <c r="G98" s="71">
        <f t="shared" si="91"/>
        <v>0.98</v>
      </c>
      <c r="H98" s="71"/>
      <c r="I98" s="71">
        <f t="shared" ref="I98:N98" si="97">I92</f>
        <v>0.19848365442079791</v>
      </c>
      <c r="J98" s="71">
        <f t="shared" si="97"/>
        <v>260.555555555556</v>
      </c>
      <c r="K98" s="71">
        <f t="shared" si="97"/>
        <v>2.7777777777777799</v>
      </c>
      <c r="L98" s="71">
        <f t="shared" si="97"/>
        <v>260.555555555556</v>
      </c>
      <c r="M98" s="71">
        <f t="shared" si="97"/>
        <v>2.7777777777777799</v>
      </c>
      <c r="N98" s="71">
        <f t="shared" si="97"/>
        <v>12</v>
      </c>
      <c r="O98" s="75">
        <v>31.54</v>
      </c>
      <c r="R98" s="61">
        <v>15</v>
      </c>
      <c r="U98" s="80" t="s">
        <v>393</v>
      </c>
      <c r="W98" s="80" t="s">
        <v>39</v>
      </c>
      <c r="X98" s="80" t="s">
        <v>40</v>
      </c>
      <c r="AE98" s="41" t="s">
        <v>395</v>
      </c>
      <c r="AF98" s="88" t="s">
        <v>258</v>
      </c>
      <c r="AG98" s="88"/>
      <c r="AJ98">
        <f>AJ96</f>
        <v>0.32475641391299592</v>
      </c>
      <c r="AK98" s="57" t="s">
        <v>182</v>
      </c>
    </row>
    <row r="99" spans="2:37">
      <c r="B99" s="68" t="s">
        <v>396</v>
      </c>
      <c r="C99" s="68" t="s">
        <v>301</v>
      </c>
      <c r="D99" s="68"/>
      <c r="E99" s="68" t="s">
        <v>394</v>
      </c>
      <c r="F99" s="58">
        <v>2021</v>
      </c>
      <c r="G99" s="71">
        <f t="shared" ref="G99:G104" si="98">G93</f>
        <v>0.8</v>
      </c>
      <c r="H99" s="71"/>
      <c r="I99" s="71">
        <f t="shared" ref="I99:N99" si="99">I93</f>
        <v>0.4694684934038334</v>
      </c>
      <c r="J99" s="71">
        <f t="shared" si="99"/>
        <v>116.81034482758599</v>
      </c>
      <c r="K99" s="71">
        <f t="shared" si="99"/>
        <v>5.5172413793103496</v>
      </c>
      <c r="L99" s="71">
        <f t="shared" si="99"/>
        <v>116.81034482758599</v>
      </c>
      <c r="M99" s="71">
        <f t="shared" si="99"/>
        <v>5.5172413793103496</v>
      </c>
      <c r="N99" s="71">
        <f t="shared" si="99"/>
        <v>10</v>
      </c>
      <c r="O99" s="75">
        <v>31.54</v>
      </c>
      <c r="R99" s="61">
        <v>15</v>
      </c>
      <c r="U99" s="80" t="s">
        <v>396</v>
      </c>
      <c r="W99" s="80" t="s">
        <v>39</v>
      </c>
      <c r="X99" s="80" t="s">
        <v>40</v>
      </c>
      <c r="AE99" s="41"/>
      <c r="AF99" s="41"/>
      <c r="AG99" s="90" t="s">
        <v>184</v>
      </c>
    </row>
    <row r="100" spans="2:37" ht="175">
      <c r="B100" s="68" t="s">
        <v>397</v>
      </c>
      <c r="C100" s="68" t="s">
        <v>303</v>
      </c>
      <c r="D100" s="68"/>
      <c r="E100" s="68" t="s">
        <v>394</v>
      </c>
      <c r="F100" s="58">
        <v>2021</v>
      </c>
      <c r="G100" s="71">
        <f t="shared" si="98"/>
        <v>0.8</v>
      </c>
      <c r="H100" s="71"/>
      <c r="I100" s="71">
        <f t="shared" ref="I100:N100" si="100">I94</f>
        <v>0.18361570890563317</v>
      </c>
      <c r="J100" s="71">
        <f t="shared" si="100"/>
        <v>69.545454545454504</v>
      </c>
      <c r="K100" s="71">
        <f t="shared" si="100"/>
        <v>2.2727272727272698</v>
      </c>
      <c r="L100" s="71">
        <f t="shared" si="100"/>
        <v>69.545454545454504</v>
      </c>
      <c r="M100" s="71">
        <f t="shared" si="100"/>
        <v>2.2727272727272698</v>
      </c>
      <c r="N100" s="71">
        <f t="shared" si="100"/>
        <v>13</v>
      </c>
      <c r="O100" s="75">
        <v>31.54</v>
      </c>
      <c r="R100" s="61">
        <v>15</v>
      </c>
      <c r="U100" s="80" t="s">
        <v>397</v>
      </c>
      <c r="W100" s="80" t="s">
        <v>39</v>
      </c>
      <c r="X100" s="80" t="s">
        <v>40</v>
      </c>
      <c r="AE100" s="41" t="s">
        <v>398</v>
      </c>
      <c r="AF100" s="88" t="s">
        <v>258</v>
      </c>
      <c r="AG100" s="88"/>
      <c r="AJ100">
        <f>AJ98</f>
        <v>0.32475641391299592</v>
      </c>
      <c r="AK100" s="57" t="s">
        <v>182</v>
      </c>
    </row>
    <row r="101" spans="2:37">
      <c r="B101" s="68" t="s">
        <v>399</v>
      </c>
      <c r="C101" s="68" t="s">
        <v>305</v>
      </c>
      <c r="D101" s="68"/>
      <c r="E101" s="68" t="s">
        <v>394</v>
      </c>
      <c r="F101" s="58">
        <v>2021</v>
      </c>
      <c r="G101" s="71">
        <f t="shared" si="98"/>
        <v>0.8</v>
      </c>
      <c r="H101" s="71"/>
      <c r="I101" s="71">
        <f t="shared" ref="I101:N101" si="101">I95</f>
        <v>0.18361570890563317</v>
      </c>
      <c r="J101" s="71">
        <f t="shared" si="101"/>
        <v>69.545454545454504</v>
      </c>
      <c r="K101" s="71">
        <f t="shared" si="101"/>
        <v>2.2727272727272698</v>
      </c>
      <c r="L101" s="71">
        <f t="shared" si="101"/>
        <v>69.545454545454504</v>
      </c>
      <c r="M101" s="71">
        <f t="shared" si="101"/>
        <v>2.2727272727272698</v>
      </c>
      <c r="N101" s="71">
        <f t="shared" si="101"/>
        <v>13</v>
      </c>
      <c r="O101" s="75">
        <v>31.54</v>
      </c>
      <c r="R101" s="61">
        <v>15</v>
      </c>
      <c r="U101" s="80" t="s">
        <v>399</v>
      </c>
      <c r="W101" s="80" t="s">
        <v>39</v>
      </c>
      <c r="X101" s="80" t="s">
        <v>40</v>
      </c>
      <c r="AE101" s="41"/>
      <c r="AF101" s="41"/>
      <c r="AG101" s="90" t="s">
        <v>184</v>
      </c>
    </row>
    <row r="102" spans="2:37" ht="175">
      <c r="B102" s="68" t="s">
        <v>400</v>
      </c>
      <c r="C102" s="68" t="s">
        <v>307</v>
      </c>
      <c r="D102" s="68"/>
      <c r="E102" s="68" t="s">
        <v>394</v>
      </c>
      <c r="F102" s="58">
        <v>2021</v>
      </c>
      <c r="G102" s="71">
        <f t="shared" si="98"/>
        <v>0.98</v>
      </c>
      <c r="H102" s="71"/>
      <c r="I102" s="71">
        <f t="shared" ref="I102:N102" si="102">I96</f>
        <v>0.29415379576205714</v>
      </c>
      <c r="J102" s="71">
        <f t="shared" si="102"/>
        <v>72.424242424242394</v>
      </c>
      <c r="K102" s="71">
        <f t="shared" si="102"/>
        <v>0.78787878787878796</v>
      </c>
      <c r="L102" s="71">
        <f t="shared" si="102"/>
        <v>72.424242424242394</v>
      </c>
      <c r="M102" s="71">
        <f t="shared" si="102"/>
        <v>0.78787878787878796</v>
      </c>
      <c r="N102" s="71">
        <f t="shared" si="102"/>
        <v>15</v>
      </c>
      <c r="O102" s="75">
        <v>31.54</v>
      </c>
      <c r="R102" s="61">
        <v>15</v>
      </c>
      <c r="U102" s="80" t="s">
        <v>400</v>
      </c>
      <c r="W102" s="80" t="s">
        <v>39</v>
      </c>
      <c r="X102" s="80" t="s">
        <v>40</v>
      </c>
      <c r="AE102" s="41" t="s">
        <v>401</v>
      </c>
      <c r="AF102" s="88" t="s">
        <v>258</v>
      </c>
      <c r="AG102" s="88"/>
      <c r="AJ102">
        <f>AJ100</f>
        <v>0.32475641391299592</v>
      </c>
      <c r="AK102" s="57" t="s">
        <v>182</v>
      </c>
    </row>
    <row r="103" spans="2:37">
      <c r="B103" s="68" t="s">
        <v>402</v>
      </c>
      <c r="C103" s="68" t="s">
        <v>309</v>
      </c>
      <c r="D103" s="68"/>
      <c r="E103" s="68" t="s">
        <v>394</v>
      </c>
      <c r="F103" s="58">
        <v>2021</v>
      </c>
      <c r="G103" s="71">
        <f t="shared" si="98"/>
        <v>0.872</v>
      </c>
      <c r="H103" s="71"/>
      <c r="I103" s="71">
        <f t="shared" ref="I103:N103" si="103">I97</f>
        <v>0.61920112208002076</v>
      </c>
      <c r="J103" s="71">
        <f t="shared" si="103"/>
        <v>117.77621037965901</v>
      </c>
      <c r="K103" s="71">
        <f t="shared" si="103"/>
        <v>2.7256704980842899</v>
      </c>
      <c r="L103" s="71">
        <f t="shared" si="103"/>
        <v>117.77621037965901</v>
      </c>
      <c r="M103" s="71">
        <f t="shared" si="103"/>
        <v>2.7256704980842899</v>
      </c>
      <c r="N103" s="71">
        <f t="shared" si="103"/>
        <v>12.6</v>
      </c>
      <c r="O103" s="75">
        <v>31.54</v>
      </c>
      <c r="R103" s="61">
        <v>15</v>
      </c>
      <c r="U103" s="80" t="s">
        <v>402</v>
      </c>
      <c r="W103" s="80" t="s">
        <v>39</v>
      </c>
      <c r="X103" s="80" t="s">
        <v>40</v>
      </c>
      <c r="AE103" s="41"/>
      <c r="AF103" s="41"/>
      <c r="AG103" s="90" t="s">
        <v>184</v>
      </c>
    </row>
    <row r="104" spans="2:37" ht="175">
      <c r="B104" s="68" t="s">
        <v>403</v>
      </c>
      <c r="C104" s="68" t="s">
        <v>258</v>
      </c>
      <c r="D104" s="68"/>
      <c r="E104" s="68" t="s">
        <v>404</v>
      </c>
      <c r="F104" s="58">
        <v>2021</v>
      </c>
      <c r="G104" s="71">
        <f t="shared" si="98"/>
        <v>0.98</v>
      </c>
      <c r="H104" s="71"/>
      <c r="I104" s="71">
        <f t="shared" ref="I104:N104" si="104">I98</f>
        <v>0.19848365442079791</v>
      </c>
      <c r="J104" s="71">
        <f t="shared" si="104"/>
        <v>260.555555555556</v>
      </c>
      <c r="K104" s="71">
        <f t="shared" si="104"/>
        <v>2.7777777777777799</v>
      </c>
      <c r="L104" s="71">
        <f t="shared" si="104"/>
        <v>260.555555555556</v>
      </c>
      <c r="M104" s="71">
        <f t="shared" si="104"/>
        <v>2.7777777777777799</v>
      </c>
      <c r="N104" s="71">
        <f t="shared" si="104"/>
        <v>12</v>
      </c>
      <c r="O104" s="75">
        <v>31.54</v>
      </c>
      <c r="R104" s="61">
        <v>15</v>
      </c>
      <c r="U104" s="80" t="s">
        <v>403</v>
      </c>
      <c r="W104" s="80" t="s">
        <v>39</v>
      </c>
      <c r="X104" s="80" t="s">
        <v>40</v>
      </c>
      <c r="AE104" s="41" t="s">
        <v>405</v>
      </c>
      <c r="AF104" s="88" t="s">
        <v>258</v>
      </c>
      <c r="AG104" s="88"/>
      <c r="AJ104">
        <f>AJ102</f>
        <v>0.32475641391299592</v>
      </c>
      <c r="AK104" s="57" t="s">
        <v>182</v>
      </c>
    </row>
    <row r="105" spans="2:37">
      <c r="B105" s="68" t="s">
        <v>406</v>
      </c>
      <c r="C105" s="68" t="s">
        <v>301</v>
      </c>
      <c r="D105" s="68"/>
      <c r="E105" s="68" t="s">
        <v>404</v>
      </c>
      <c r="F105" s="58">
        <v>2021</v>
      </c>
      <c r="G105" s="71">
        <f t="shared" ref="G105:G110" si="105">G99</f>
        <v>0.8</v>
      </c>
      <c r="H105" s="71"/>
      <c r="I105" s="71">
        <f t="shared" ref="I105:N105" si="106">I99</f>
        <v>0.4694684934038334</v>
      </c>
      <c r="J105" s="71">
        <f t="shared" si="106"/>
        <v>116.81034482758599</v>
      </c>
      <c r="K105" s="71">
        <f t="shared" si="106"/>
        <v>5.5172413793103496</v>
      </c>
      <c r="L105" s="71">
        <f t="shared" si="106"/>
        <v>116.81034482758599</v>
      </c>
      <c r="M105" s="71">
        <f t="shared" si="106"/>
        <v>5.5172413793103496</v>
      </c>
      <c r="N105" s="71">
        <f t="shared" si="106"/>
        <v>10</v>
      </c>
      <c r="O105" s="75">
        <v>31.54</v>
      </c>
      <c r="R105" s="61">
        <v>15</v>
      </c>
      <c r="U105" s="80" t="s">
        <v>406</v>
      </c>
      <c r="W105" s="80" t="s">
        <v>39</v>
      </c>
      <c r="X105" s="80" t="s">
        <v>40</v>
      </c>
      <c r="AE105" s="41"/>
      <c r="AF105" s="41"/>
      <c r="AG105" s="90" t="s">
        <v>184</v>
      </c>
    </row>
    <row r="106" spans="2:37" ht="137.5">
      <c r="B106" s="68" t="s">
        <v>407</v>
      </c>
      <c r="C106" s="68" t="s">
        <v>303</v>
      </c>
      <c r="D106" s="68"/>
      <c r="E106" s="68" t="s">
        <v>404</v>
      </c>
      <c r="F106" s="58">
        <v>2021</v>
      </c>
      <c r="G106" s="71">
        <f t="shared" si="105"/>
        <v>0.8</v>
      </c>
      <c r="H106" s="71"/>
      <c r="I106" s="71">
        <f t="shared" ref="I106:N106" si="107">I100</f>
        <v>0.18361570890563317</v>
      </c>
      <c r="J106" s="71">
        <f t="shared" si="107"/>
        <v>69.545454545454504</v>
      </c>
      <c r="K106" s="71">
        <f t="shared" si="107"/>
        <v>2.2727272727272698</v>
      </c>
      <c r="L106" s="71">
        <f t="shared" si="107"/>
        <v>69.545454545454504</v>
      </c>
      <c r="M106" s="71">
        <f t="shared" si="107"/>
        <v>2.2727272727272698</v>
      </c>
      <c r="N106" s="71">
        <f t="shared" si="107"/>
        <v>13</v>
      </c>
      <c r="O106" s="75">
        <v>31.54</v>
      </c>
      <c r="R106" s="61">
        <v>15</v>
      </c>
      <c r="U106" s="80" t="s">
        <v>407</v>
      </c>
      <c r="W106" s="80" t="s">
        <v>39</v>
      </c>
      <c r="X106" s="80" t="s">
        <v>40</v>
      </c>
      <c r="AE106" t="s">
        <v>408</v>
      </c>
      <c r="AF106" t="s">
        <v>258</v>
      </c>
      <c r="AH106" t="s">
        <v>409</v>
      </c>
      <c r="AJ106">
        <f>AVERAGE(AJ82,AJ83)</f>
        <v>1.3415972844263499E-2</v>
      </c>
      <c r="AK106" s="57" t="s">
        <v>183</v>
      </c>
    </row>
    <row r="107" spans="2:37">
      <c r="B107" s="68" t="s">
        <v>410</v>
      </c>
      <c r="C107" s="68" t="s">
        <v>305</v>
      </c>
      <c r="D107" s="68"/>
      <c r="E107" s="68" t="s">
        <v>404</v>
      </c>
      <c r="F107" s="58">
        <v>2021</v>
      </c>
      <c r="G107" s="71">
        <f t="shared" si="105"/>
        <v>0.8</v>
      </c>
      <c r="H107" s="71"/>
      <c r="I107" s="71">
        <f t="shared" ref="I107:N107" si="108">I101</f>
        <v>0.18361570890563317</v>
      </c>
      <c r="J107" s="71">
        <f t="shared" si="108"/>
        <v>69.545454545454504</v>
      </c>
      <c r="K107" s="71">
        <f t="shared" si="108"/>
        <v>2.2727272727272698</v>
      </c>
      <c r="L107" s="71">
        <f t="shared" si="108"/>
        <v>69.545454545454504</v>
      </c>
      <c r="M107" s="71">
        <f t="shared" si="108"/>
        <v>2.2727272727272698</v>
      </c>
      <c r="N107" s="71">
        <f t="shared" si="108"/>
        <v>13</v>
      </c>
      <c r="O107" s="75">
        <v>31.54</v>
      </c>
      <c r="R107" s="61">
        <v>15</v>
      </c>
      <c r="U107" s="80" t="s">
        <v>410</v>
      </c>
      <c r="W107" s="80" t="s">
        <v>39</v>
      </c>
      <c r="X107" s="80" t="s">
        <v>40</v>
      </c>
      <c r="AG107" t="s">
        <v>184</v>
      </c>
    </row>
    <row r="108" spans="2:37" ht="137.5">
      <c r="B108" s="68" t="s">
        <v>411</v>
      </c>
      <c r="C108" s="68" t="s">
        <v>307</v>
      </c>
      <c r="D108" s="68"/>
      <c r="E108" s="68" t="s">
        <v>404</v>
      </c>
      <c r="F108" s="58">
        <v>2021</v>
      </c>
      <c r="G108" s="71">
        <f t="shared" si="105"/>
        <v>0.98</v>
      </c>
      <c r="H108" s="71"/>
      <c r="I108" s="71">
        <f t="shared" ref="I108:N108" si="109">I102</f>
        <v>0.29415379576205714</v>
      </c>
      <c r="J108" s="71">
        <f t="shared" si="109"/>
        <v>72.424242424242394</v>
      </c>
      <c r="K108" s="71">
        <f t="shared" si="109"/>
        <v>0.78787878787878796</v>
      </c>
      <c r="L108" s="71">
        <f t="shared" si="109"/>
        <v>72.424242424242394</v>
      </c>
      <c r="M108" s="71">
        <f t="shared" si="109"/>
        <v>0.78787878787878796</v>
      </c>
      <c r="N108" s="71">
        <f t="shared" si="109"/>
        <v>15</v>
      </c>
      <c r="O108" s="75">
        <v>31.54</v>
      </c>
      <c r="R108" s="61">
        <v>15</v>
      </c>
      <c r="U108" s="80" t="s">
        <v>411</v>
      </c>
      <c r="W108" s="80" t="s">
        <v>39</v>
      </c>
      <c r="X108" s="80" t="s">
        <v>40</v>
      </c>
      <c r="AE108" t="s">
        <v>412</v>
      </c>
      <c r="AF108" t="s">
        <v>258</v>
      </c>
      <c r="AH108" t="s">
        <v>413</v>
      </c>
      <c r="AJ108">
        <f t="shared" ref="AJ108:AJ112" si="110">AJ106</f>
        <v>1.3415972844263499E-2</v>
      </c>
      <c r="AK108" s="57" t="s">
        <v>183</v>
      </c>
    </row>
    <row r="109" spans="2:37">
      <c r="B109" s="68" t="s">
        <v>414</v>
      </c>
      <c r="C109" s="68" t="s">
        <v>309</v>
      </c>
      <c r="D109" s="68"/>
      <c r="E109" s="68" t="s">
        <v>404</v>
      </c>
      <c r="F109" s="58">
        <v>2021</v>
      </c>
      <c r="G109" s="71">
        <f t="shared" si="105"/>
        <v>0.872</v>
      </c>
      <c r="H109" s="71"/>
      <c r="I109" s="71">
        <f t="shared" ref="I109:N109" si="111">I103</f>
        <v>0.61920112208002076</v>
      </c>
      <c r="J109" s="71">
        <f t="shared" si="111"/>
        <v>117.77621037965901</v>
      </c>
      <c r="K109" s="71">
        <f t="shared" si="111"/>
        <v>2.7256704980842899</v>
      </c>
      <c r="L109" s="71">
        <f t="shared" si="111"/>
        <v>117.77621037965901</v>
      </c>
      <c r="M109" s="71">
        <f t="shared" si="111"/>
        <v>2.7256704980842899</v>
      </c>
      <c r="N109" s="71">
        <f t="shared" si="111"/>
        <v>12.6</v>
      </c>
      <c r="O109" s="75">
        <v>31.54</v>
      </c>
      <c r="R109" s="61">
        <v>15</v>
      </c>
      <c r="U109" s="80" t="s">
        <v>414</v>
      </c>
      <c r="W109" s="80" t="s">
        <v>39</v>
      </c>
      <c r="X109" s="80" t="s">
        <v>40</v>
      </c>
      <c r="AG109" t="s">
        <v>184</v>
      </c>
    </row>
    <row r="110" spans="2:37" ht="137.5">
      <c r="B110" s="68" t="s">
        <v>415</v>
      </c>
      <c r="C110" s="68" t="s">
        <v>258</v>
      </c>
      <c r="D110" s="68"/>
      <c r="E110" s="68" t="s">
        <v>416</v>
      </c>
      <c r="F110" s="58">
        <v>2021</v>
      </c>
      <c r="G110" s="71">
        <f t="shared" si="105"/>
        <v>0.98</v>
      </c>
      <c r="H110" s="71"/>
      <c r="I110" s="71">
        <f t="shared" ref="I110:N110" si="112">I104</f>
        <v>0.19848365442079791</v>
      </c>
      <c r="J110" s="71">
        <f t="shared" si="112"/>
        <v>260.555555555556</v>
      </c>
      <c r="K110" s="71">
        <f t="shared" si="112"/>
        <v>2.7777777777777799</v>
      </c>
      <c r="L110" s="71">
        <f t="shared" si="112"/>
        <v>260.555555555556</v>
      </c>
      <c r="M110" s="71">
        <f t="shared" si="112"/>
        <v>2.7777777777777799</v>
      </c>
      <c r="N110" s="71">
        <f t="shared" si="112"/>
        <v>12</v>
      </c>
      <c r="O110" s="75">
        <v>31.54</v>
      </c>
      <c r="R110" s="61">
        <v>15</v>
      </c>
      <c r="U110" s="80" t="s">
        <v>415</v>
      </c>
      <c r="W110" s="80" t="s">
        <v>39</v>
      </c>
      <c r="X110" s="80" t="s">
        <v>40</v>
      </c>
      <c r="AE110" t="s">
        <v>417</v>
      </c>
      <c r="AF110" t="s">
        <v>258</v>
      </c>
      <c r="AH110" t="s">
        <v>418</v>
      </c>
      <c r="AJ110">
        <f t="shared" si="110"/>
        <v>1.3415972844263499E-2</v>
      </c>
      <c r="AK110" s="57" t="s">
        <v>183</v>
      </c>
    </row>
    <row r="111" spans="2:37">
      <c r="B111" s="68" t="s">
        <v>419</v>
      </c>
      <c r="C111" s="68" t="s">
        <v>301</v>
      </c>
      <c r="D111" s="68"/>
      <c r="E111" s="68" t="s">
        <v>416</v>
      </c>
      <c r="F111" s="58">
        <v>2021</v>
      </c>
      <c r="G111" s="71">
        <f t="shared" ref="G111:G116" si="113">G105</f>
        <v>0.8</v>
      </c>
      <c r="H111" s="71"/>
      <c r="I111" s="71">
        <f t="shared" ref="I111:N111" si="114">I105</f>
        <v>0.4694684934038334</v>
      </c>
      <c r="J111" s="71">
        <f t="shared" si="114"/>
        <v>116.81034482758599</v>
      </c>
      <c r="K111" s="71">
        <f t="shared" si="114"/>
        <v>5.5172413793103496</v>
      </c>
      <c r="L111" s="71">
        <f t="shared" si="114"/>
        <v>116.81034482758599</v>
      </c>
      <c r="M111" s="71">
        <f t="shared" si="114"/>
        <v>5.5172413793103496</v>
      </c>
      <c r="N111" s="71">
        <f t="shared" si="114"/>
        <v>10</v>
      </c>
      <c r="O111" s="75">
        <v>31.54</v>
      </c>
      <c r="R111" s="61">
        <v>15</v>
      </c>
      <c r="U111" s="80" t="s">
        <v>419</v>
      </c>
      <c r="W111" s="80" t="s">
        <v>39</v>
      </c>
      <c r="X111" s="80" t="s">
        <v>40</v>
      </c>
      <c r="AG111" t="s">
        <v>184</v>
      </c>
    </row>
    <row r="112" spans="2:37" ht="137.5">
      <c r="B112" s="68" t="s">
        <v>420</v>
      </c>
      <c r="C112" s="68" t="s">
        <v>303</v>
      </c>
      <c r="D112" s="68"/>
      <c r="E112" s="68" t="s">
        <v>416</v>
      </c>
      <c r="F112" s="58">
        <v>2021</v>
      </c>
      <c r="G112" s="71">
        <f t="shared" si="113"/>
        <v>0.8</v>
      </c>
      <c r="H112" s="71"/>
      <c r="I112" s="71">
        <f t="shared" ref="I112:N112" si="115">I106</f>
        <v>0.18361570890563317</v>
      </c>
      <c r="J112" s="71">
        <f t="shared" si="115"/>
        <v>69.545454545454504</v>
      </c>
      <c r="K112" s="71">
        <f t="shared" si="115"/>
        <v>2.2727272727272698</v>
      </c>
      <c r="L112" s="71">
        <f t="shared" si="115"/>
        <v>69.545454545454504</v>
      </c>
      <c r="M112" s="71">
        <f t="shared" si="115"/>
        <v>2.2727272727272698</v>
      </c>
      <c r="N112" s="71">
        <f t="shared" si="115"/>
        <v>13</v>
      </c>
      <c r="O112" s="75">
        <v>31.54</v>
      </c>
      <c r="R112" s="61">
        <v>15</v>
      </c>
      <c r="U112" s="80" t="s">
        <v>420</v>
      </c>
      <c r="W112" s="80" t="s">
        <v>39</v>
      </c>
      <c r="X112" s="80" t="s">
        <v>40</v>
      </c>
      <c r="AE112" t="s">
        <v>421</v>
      </c>
      <c r="AF112" t="s">
        <v>258</v>
      </c>
      <c r="AH112" t="s">
        <v>422</v>
      </c>
      <c r="AJ112">
        <f t="shared" si="110"/>
        <v>1.3415972844263499E-2</v>
      </c>
      <c r="AK112" s="57" t="s">
        <v>183</v>
      </c>
    </row>
    <row r="113" spans="2:37">
      <c r="B113" s="68" t="s">
        <v>423</v>
      </c>
      <c r="C113" s="68" t="s">
        <v>305</v>
      </c>
      <c r="D113" s="68"/>
      <c r="E113" s="68" t="s">
        <v>416</v>
      </c>
      <c r="F113" s="58">
        <v>2021</v>
      </c>
      <c r="G113" s="71">
        <f t="shared" si="113"/>
        <v>0.8</v>
      </c>
      <c r="H113" s="71"/>
      <c r="I113" s="71">
        <f t="shared" ref="I113:N113" si="116">I107</f>
        <v>0.18361570890563317</v>
      </c>
      <c r="J113" s="71">
        <f t="shared" si="116"/>
        <v>69.545454545454504</v>
      </c>
      <c r="K113" s="71">
        <f t="shared" si="116"/>
        <v>2.2727272727272698</v>
      </c>
      <c r="L113" s="71">
        <f t="shared" si="116"/>
        <v>69.545454545454504</v>
      </c>
      <c r="M113" s="71">
        <f t="shared" si="116"/>
        <v>2.2727272727272698</v>
      </c>
      <c r="N113" s="71">
        <f t="shared" si="116"/>
        <v>13</v>
      </c>
      <c r="O113" s="75">
        <v>31.54</v>
      </c>
      <c r="R113" s="61">
        <v>15</v>
      </c>
      <c r="U113" s="80" t="s">
        <v>423</v>
      </c>
      <c r="W113" s="80" t="s">
        <v>39</v>
      </c>
      <c r="X113" s="80" t="s">
        <v>40</v>
      </c>
      <c r="AG113" t="s">
        <v>184</v>
      </c>
    </row>
    <row r="114" spans="2:37" ht="137.5">
      <c r="B114" s="68" t="s">
        <v>424</v>
      </c>
      <c r="C114" s="68" t="s">
        <v>307</v>
      </c>
      <c r="D114" s="68"/>
      <c r="E114" s="68" t="s">
        <v>416</v>
      </c>
      <c r="F114" s="58">
        <v>2021</v>
      </c>
      <c r="G114" s="71">
        <f t="shared" si="113"/>
        <v>0.98</v>
      </c>
      <c r="H114" s="71"/>
      <c r="I114" s="71">
        <f t="shared" ref="I114:N114" si="117">I108</f>
        <v>0.29415379576205714</v>
      </c>
      <c r="J114" s="71">
        <f t="shared" si="117"/>
        <v>72.424242424242394</v>
      </c>
      <c r="K114" s="71">
        <f t="shared" si="117"/>
        <v>0.78787878787878796</v>
      </c>
      <c r="L114" s="71">
        <f t="shared" si="117"/>
        <v>72.424242424242394</v>
      </c>
      <c r="M114" s="71">
        <f t="shared" si="117"/>
        <v>0.78787878787878796</v>
      </c>
      <c r="N114" s="71">
        <f t="shared" si="117"/>
        <v>15</v>
      </c>
      <c r="O114" s="75">
        <v>31.54</v>
      </c>
      <c r="R114" s="61">
        <v>15</v>
      </c>
      <c r="U114" s="80" t="s">
        <v>424</v>
      </c>
      <c r="W114" s="80" t="s">
        <v>39</v>
      </c>
      <c r="X114" s="80" t="s">
        <v>40</v>
      </c>
      <c r="AE114" t="s">
        <v>425</v>
      </c>
      <c r="AF114" t="s">
        <v>258</v>
      </c>
      <c r="AH114" t="s">
        <v>426</v>
      </c>
      <c r="AJ114">
        <f t="shared" ref="AJ114:AJ118" si="118">AJ112</f>
        <v>1.3415972844263499E-2</v>
      </c>
      <c r="AK114" s="57" t="s">
        <v>183</v>
      </c>
    </row>
    <row r="115" spans="2:37">
      <c r="B115" s="68" t="s">
        <v>427</v>
      </c>
      <c r="C115" s="68" t="s">
        <v>309</v>
      </c>
      <c r="D115" s="68"/>
      <c r="E115" s="68" t="s">
        <v>416</v>
      </c>
      <c r="F115" s="58">
        <v>2021</v>
      </c>
      <c r="G115" s="71">
        <f t="shared" si="113"/>
        <v>0.872</v>
      </c>
      <c r="H115" s="71"/>
      <c r="I115" s="71">
        <f t="shared" ref="I115:N115" si="119">I109</f>
        <v>0.61920112208002076</v>
      </c>
      <c r="J115" s="71">
        <f t="shared" si="119"/>
        <v>117.77621037965901</v>
      </c>
      <c r="K115" s="71">
        <f t="shared" si="119"/>
        <v>2.7256704980842899</v>
      </c>
      <c r="L115" s="71">
        <f t="shared" si="119"/>
        <v>117.77621037965901</v>
      </c>
      <c r="M115" s="71">
        <f t="shared" si="119"/>
        <v>2.7256704980842899</v>
      </c>
      <c r="N115" s="71">
        <f t="shared" si="119"/>
        <v>12.6</v>
      </c>
      <c r="O115" s="75">
        <v>31.54</v>
      </c>
      <c r="R115" s="61">
        <v>15</v>
      </c>
      <c r="U115" s="80" t="s">
        <v>427</v>
      </c>
      <c r="W115" s="80" t="s">
        <v>39</v>
      </c>
      <c r="X115" s="80" t="s">
        <v>40</v>
      </c>
      <c r="AG115" t="s">
        <v>184</v>
      </c>
    </row>
    <row r="116" spans="2:37" ht="137.5">
      <c r="B116" s="68" t="s">
        <v>428</v>
      </c>
      <c r="C116" s="68" t="s">
        <v>258</v>
      </c>
      <c r="D116" s="68"/>
      <c r="E116" s="68" t="s">
        <v>429</v>
      </c>
      <c r="F116" s="58">
        <v>2021</v>
      </c>
      <c r="G116" s="71">
        <f t="shared" si="113"/>
        <v>0.98</v>
      </c>
      <c r="H116" s="71"/>
      <c r="I116" s="71">
        <f t="shared" ref="I116:N116" si="120">I110</f>
        <v>0.19848365442079791</v>
      </c>
      <c r="J116" s="71">
        <f t="shared" si="120"/>
        <v>260.555555555556</v>
      </c>
      <c r="K116" s="71">
        <f t="shared" si="120"/>
        <v>2.7777777777777799</v>
      </c>
      <c r="L116" s="71">
        <f t="shared" si="120"/>
        <v>260.555555555556</v>
      </c>
      <c r="M116" s="71">
        <f t="shared" si="120"/>
        <v>2.7777777777777799</v>
      </c>
      <c r="N116" s="71">
        <f t="shared" si="120"/>
        <v>12</v>
      </c>
      <c r="O116" s="75">
        <v>31.54</v>
      </c>
      <c r="R116" s="61">
        <v>15</v>
      </c>
      <c r="U116" s="80" t="s">
        <v>428</v>
      </c>
      <c r="W116" s="80" t="s">
        <v>39</v>
      </c>
      <c r="X116" s="80" t="s">
        <v>40</v>
      </c>
      <c r="AE116" t="s">
        <v>430</v>
      </c>
      <c r="AF116" t="s">
        <v>258</v>
      </c>
      <c r="AH116" t="s">
        <v>431</v>
      </c>
      <c r="AJ116">
        <f t="shared" si="118"/>
        <v>1.3415972844263499E-2</v>
      </c>
      <c r="AK116" s="57" t="s">
        <v>183</v>
      </c>
    </row>
    <row r="117" spans="2:37">
      <c r="B117" s="68" t="s">
        <v>432</v>
      </c>
      <c r="C117" s="68" t="s">
        <v>301</v>
      </c>
      <c r="D117" s="68"/>
      <c r="E117" s="68" t="s">
        <v>429</v>
      </c>
      <c r="F117" s="58">
        <v>2021</v>
      </c>
      <c r="G117" s="71">
        <f t="shared" ref="G117:G122" si="121">G111</f>
        <v>0.8</v>
      </c>
      <c r="H117" s="71"/>
      <c r="I117" s="71">
        <f t="shared" ref="I117:N117" si="122">I111</f>
        <v>0.4694684934038334</v>
      </c>
      <c r="J117" s="71">
        <f t="shared" si="122"/>
        <v>116.81034482758599</v>
      </c>
      <c r="K117" s="71">
        <f t="shared" si="122"/>
        <v>5.5172413793103496</v>
      </c>
      <c r="L117" s="71">
        <f t="shared" si="122"/>
        <v>116.81034482758599</v>
      </c>
      <c r="M117" s="71">
        <f t="shared" si="122"/>
        <v>5.5172413793103496</v>
      </c>
      <c r="N117" s="71">
        <f t="shared" si="122"/>
        <v>10</v>
      </c>
      <c r="O117" s="75">
        <v>31.54</v>
      </c>
      <c r="R117" s="61">
        <v>15</v>
      </c>
      <c r="U117" s="80" t="s">
        <v>432</v>
      </c>
      <c r="W117" s="80" t="s">
        <v>39</v>
      </c>
      <c r="X117" s="80" t="s">
        <v>40</v>
      </c>
      <c r="AG117" t="s">
        <v>184</v>
      </c>
    </row>
    <row r="118" spans="2:37" ht="137.5">
      <c r="B118" s="68" t="s">
        <v>433</v>
      </c>
      <c r="C118" s="68" t="s">
        <v>303</v>
      </c>
      <c r="D118" s="68"/>
      <c r="E118" s="68" t="s">
        <v>429</v>
      </c>
      <c r="F118" s="58">
        <v>2021</v>
      </c>
      <c r="G118" s="71">
        <f t="shared" si="121"/>
        <v>0.8</v>
      </c>
      <c r="H118" s="71"/>
      <c r="I118" s="71">
        <f t="shared" ref="I118:N118" si="123">I112</f>
        <v>0.18361570890563317</v>
      </c>
      <c r="J118" s="71">
        <f t="shared" si="123"/>
        <v>69.545454545454504</v>
      </c>
      <c r="K118" s="71">
        <f t="shared" si="123"/>
        <v>2.2727272727272698</v>
      </c>
      <c r="L118" s="71">
        <f t="shared" si="123"/>
        <v>69.545454545454504</v>
      </c>
      <c r="M118" s="71">
        <f t="shared" si="123"/>
        <v>2.2727272727272698</v>
      </c>
      <c r="N118" s="71">
        <f t="shared" si="123"/>
        <v>13</v>
      </c>
      <c r="O118" s="75">
        <v>31.54</v>
      </c>
      <c r="R118" s="61">
        <v>15</v>
      </c>
      <c r="U118" s="80" t="s">
        <v>433</v>
      </c>
      <c r="W118" s="80" t="s">
        <v>39</v>
      </c>
      <c r="X118" s="80" t="s">
        <v>40</v>
      </c>
      <c r="AE118" t="s">
        <v>434</v>
      </c>
      <c r="AF118" t="s">
        <v>258</v>
      </c>
      <c r="AH118" t="s">
        <v>435</v>
      </c>
      <c r="AJ118">
        <f t="shared" si="118"/>
        <v>1.3415972844263499E-2</v>
      </c>
      <c r="AK118" s="57" t="s">
        <v>183</v>
      </c>
    </row>
    <row r="119" spans="2:37">
      <c r="B119" s="68" t="s">
        <v>436</v>
      </c>
      <c r="C119" s="68" t="s">
        <v>305</v>
      </c>
      <c r="D119" s="68"/>
      <c r="E119" s="68" t="s">
        <v>429</v>
      </c>
      <c r="F119" s="58">
        <v>2021</v>
      </c>
      <c r="G119" s="71">
        <f t="shared" si="121"/>
        <v>0.8</v>
      </c>
      <c r="H119" s="71"/>
      <c r="I119" s="71">
        <f t="shared" ref="I119:N119" si="124">I113</f>
        <v>0.18361570890563317</v>
      </c>
      <c r="J119" s="71">
        <f t="shared" si="124"/>
        <v>69.545454545454504</v>
      </c>
      <c r="K119" s="71">
        <f t="shared" si="124"/>
        <v>2.2727272727272698</v>
      </c>
      <c r="L119" s="71">
        <f t="shared" si="124"/>
        <v>69.545454545454504</v>
      </c>
      <c r="M119" s="71">
        <f t="shared" si="124"/>
        <v>2.2727272727272698</v>
      </c>
      <c r="N119" s="71">
        <f t="shared" si="124"/>
        <v>13</v>
      </c>
      <c r="O119" s="75">
        <v>31.54</v>
      </c>
      <c r="R119" s="61">
        <v>15</v>
      </c>
      <c r="U119" s="80" t="s">
        <v>436</v>
      </c>
      <c r="W119" s="80" t="s">
        <v>39</v>
      </c>
      <c r="X119" s="80" t="s">
        <v>40</v>
      </c>
      <c r="AG119" t="s">
        <v>184</v>
      </c>
    </row>
    <row r="120" spans="2:37" ht="137.5">
      <c r="B120" s="68" t="s">
        <v>437</v>
      </c>
      <c r="C120" s="68" t="s">
        <v>307</v>
      </c>
      <c r="D120" s="68"/>
      <c r="E120" s="68" t="s">
        <v>429</v>
      </c>
      <c r="F120" s="58">
        <v>2021</v>
      </c>
      <c r="G120" s="71">
        <f t="shared" si="121"/>
        <v>0.98</v>
      </c>
      <c r="H120" s="71"/>
      <c r="I120" s="71">
        <f t="shared" ref="I120:N120" si="125">I114</f>
        <v>0.29415379576205714</v>
      </c>
      <c r="J120" s="71">
        <f t="shared" si="125"/>
        <v>72.424242424242394</v>
      </c>
      <c r="K120" s="71">
        <f t="shared" si="125"/>
        <v>0.78787878787878796</v>
      </c>
      <c r="L120" s="71">
        <f t="shared" si="125"/>
        <v>72.424242424242394</v>
      </c>
      <c r="M120" s="71">
        <f t="shared" si="125"/>
        <v>0.78787878787878796</v>
      </c>
      <c r="N120" s="71">
        <f t="shared" si="125"/>
        <v>15</v>
      </c>
      <c r="O120" s="75">
        <v>31.54</v>
      </c>
      <c r="R120" s="61">
        <v>15</v>
      </c>
      <c r="U120" s="80" t="s">
        <v>437</v>
      </c>
      <c r="W120" s="80" t="s">
        <v>39</v>
      </c>
      <c r="X120" s="80" t="s">
        <v>40</v>
      </c>
      <c r="AE120" t="s">
        <v>438</v>
      </c>
      <c r="AF120" t="s">
        <v>258</v>
      </c>
      <c r="AH120" t="s">
        <v>439</v>
      </c>
      <c r="AJ120">
        <f t="shared" ref="AJ120:AJ124" si="126">AJ118</f>
        <v>1.3415972844263499E-2</v>
      </c>
      <c r="AK120" s="57" t="s">
        <v>183</v>
      </c>
    </row>
    <row r="121" spans="2:37">
      <c r="B121" s="68" t="s">
        <v>440</v>
      </c>
      <c r="C121" s="68" t="s">
        <v>309</v>
      </c>
      <c r="D121" s="68"/>
      <c r="E121" s="68" t="s">
        <v>429</v>
      </c>
      <c r="F121" s="58">
        <v>2021</v>
      </c>
      <c r="G121" s="71">
        <f t="shared" si="121"/>
        <v>0.872</v>
      </c>
      <c r="H121" s="71"/>
      <c r="I121" s="71">
        <f t="shared" ref="I121:N121" si="127">I115</f>
        <v>0.61920112208002076</v>
      </c>
      <c r="J121" s="71">
        <f t="shared" si="127"/>
        <v>117.77621037965901</v>
      </c>
      <c r="K121" s="71">
        <f t="shared" si="127"/>
        <v>2.7256704980842899</v>
      </c>
      <c r="L121" s="71">
        <f t="shared" si="127"/>
        <v>117.77621037965901</v>
      </c>
      <c r="M121" s="71">
        <f t="shared" si="127"/>
        <v>2.7256704980842899</v>
      </c>
      <c r="N121" s="71">
        <f t="shared" si="127"/>
        <v>12.6</v>
      </c>
      <c r="O121" s="75">
        <v>31.54</v>
      </c>
      <c r="R121" s="61">
        <v>15</v>
      </c>
      <c r="U121" s="80" t="s">
        <v>440</v>
      </c>
      <c r="W121" s="80" t="s">
        <v>39</v>
      </c>
      <c r="X121" s="80" t="s">
        <v>40</v>
      </c>
      <c r="AG121" t="s">
        <v>184</v>
      </c>
    </row>
    <row r="122" spans="2:37" ht="137.5">
      <c r="B122" s="68" t="s">
        <v>441</v>
      </c>
      <c r="C122" s="68" t="s">
        <v>258</v>
      </c>
      <c r="D122" s="68"/>
      <c r="E122" s="68" t="s">
        <v>442</v>
      </c>
      <c r="F122" s="58">
        <v>2021</v>
      </c>
      <c r="G122" s="71">
        <f t="shared" si="121"/>
        <v>0.98</v>
      </c>
      <c r="H122" s="71"/>
      <c r="I122" s="71">
        <f t="shared" ref="I122:N122" si="128">I116</f>
        <v>0.19848365442079791</v>
      </c>
      <c r="J122" s="71">
        <f t="shared" si="128"/>
        <v>260.555555555556</v>
      </c>
      <c r="K122" s="71">
        <f t="shared" si="128"/>
        <v>2.7777777777777799</v>
      </c>
      <c r="L122" s="71">
        <f t="shared" si="128"/>
        <v>260.555555555556</v>
      </c>
      <c r="M122" s="71">
        <f t="shared" si="128"/>
        <v>2.7777777777777799</v>
      </c>
      <c r="N122" s="71">
        <f t="shared" si="128"/>
        <v>12</v>
      </c>
      <c r="O122" s="75">
        <v>31.54</v>
      </c>
      <c r="R122" s="61">
        <v>15</v>
      </c>
      <c r="U122" s="80" t="s">
        <v>441</v>
      </c>
      <c r="W122" s="80" t="s">
        <v>39</v>
      </c>
      <c r="X122" s="80" t="s">
        <v>40</v>
      </c>
      <c r="AE122" t="s">
        <v>443</v>
      </c>
      <c r="AF122" t="s">
        <v>258</v>
      </c>
      <c r="AH122" t="s">
        <v>444</v>
      </c>
      <c r="AJ122">
        <f t="shared" si="126"/>
        <v>1.3415972844263499E-2</v>
      </c>
      <c r="AK122" s="57" t="s">
        <v>183</v>
      </c>
    </row>
    <row r="123" spans="2:37">
      <c r="B123" s="68" t="s">
        <v>445</v>
      </c>
      <c r="C123" s="68" t="s">
        <v>301</v>
      </c>
      <c r="D123" s="68"/>
      <c r="E123" s="68" t="s">
        <v>442</v>
      </c>
      <c r="F123" s="58">
        <v>2021</v>
      </c>
      <c r="G123" s="71">
        <f t="shared" ref="G123:G128" si="129">G117</f>
        <v>0.8</v>
      </c>
      <c r="H123" s="71"/>
      <c r="I123" s="71">
        <f t="shared" ref="I123:N123" si="130">I117</f>
        <v>0.4694684934038334</v>
      </c>
      <c r="J123" s="71">
        <f t="shared" si="130"/>
        <v>116.81034482758599</v>
      </c>
      <c r="K123" s="71">
        <f t="shared" si="130"/>
        <v>5.5172413793103496</v>
      </c>
      <c r="L123" s="71">
        <f t="shared" si="130"/>
        <v>116.81034482758599</v>
      </c>
      <c r="M123" s="71">
        <f t="shared" si="130"/>
        <v>5.5172413793103496</v>
      </c>
      <c r="N123" s="71">
        <f t="shared" si="130"/>
        <v>10</v>
      </c>
      <c r="O123" s="75">
        <v>31.54</v>
      </c>
      <c r="R123" s="61">
        <v>15</v>
      </c>
      <c r="U123" s="80" t="s">
        <v>445</v>
      </c>
      <c r="W123" s="80" t="s">
        <v>39</v>
      </c>
      <c r="X123" s="80" t="s">
        <v>40</v>
      </c>
      <c r="AG123" t="s">
        <v>184</v>
      </c>
    </row>
    <row r="124" spans="2:37" ht="137.5">
      <c r="B124" s="68" t="s">
        <v>446</v>
      </c>
      <c r="C124" s="68" t="s">
        <v>303</v>
      </c>
      <c r="D124" s="68"/>
      <c r="E124" s="68" t="s">
        <v>442</v>
      </c>
      <c r="F124" s="58">
        <v>2021</v>
      </c>
      <c r="G124" s="71">
        <f t="shared" si="129"/>
        <v>0.8</v>
      </c>
      <c r="H124" s="71"/>
      <c r="I124" s="71">
        <f t="shared" ref="I124:N124" si="131">I118</f>
        <v>0.18361570890563317</v>
      </c>
      <c r="J124" s="71">
        <f t="shared" si="131"/>
        <v>69.545454545454504</v>
      </c>
      <c r="K124" s="71">
        <f t="shared" si="131"/>
        <v>2.2727272727272698</v>
      </c>
      <c r="L124" s="71">
        <f t="shared" si="131"/>
        <v>69.545454545454504</v>
      </c>
      <c r="M124" s="71">
        <f t="shared" si="131"/>
        <v>2.2727272727272698</v>
      </c>
      <c r="N124" s="71">
        <f t="shared" si="131"/>
        <v>13</v>
      </c>
      <c r="O124" s="75">
        <v>31.54</v>
      </c>
      <c r="R124" s="61">
        <v>15</v>
      </c>
      <c r="U124" s="80" t="s">
        <v>446</v>
      </c>
      <c r="W124" s="80" t="s">
        <v>39</v>
      </c>
      <c r="X124" s="80" t="s">
        <v>40</v>
      </c>
      <c r="AE124" t="s">
        <v>447</v>
      </c>
      <c r="AF124" t="s">
        <v>258</v>
      </c>
      <c r="AH124" t="s">
        <v>448</v>
      </c>
      <c r="AJ124">
        <f t="shared" si="126"/>
        <v>1.3415972844263499E-2</v>
      </c>
      <c r="AK124" s="57" t="s">
        <v>183</v>
      </c>
    </row>
    <row r="125" spans="2:37">
      <c r="B125" s="68" t="s">
        <v>449</v>
      </c>
      <c r="C125" s="68" t="s">
        <v>305</v>
      </c>
      <c r="D125" s="68"/>
      <c r="E125" s="68" t="s">
        <v>442</v>
      </c>
      <c r="F125" s="58">
        <v>2021</v>
      </c>
      <c r="G125" s="71">
        <f t="shared" si="129"/>
        <v>0.8</v>
      </c>
      <c r="H125" s="71"/>
      <c r="I125" s="71">
        <f t="shared" ref="I125:N125" si="132">I119</f>
        <v>0.18361570890563317</v>
      </c>
      <c r="J125" s="71">
        <f t="shared" si="132"/>
        <v>69.545454545454504</v>
      </c>
      <c r="K125" s="71">
        <f t="shared" si="132"/>
        <v>2.2727272727272698</v>
      </c>
      <c r="L125" s="71">
        <f t="shared" si="132"/>
        <v>69.545454545454504</v>
      </c>
      <c r="M125" s="71">
        <f t="shared" si="132"/>
        <v>2.2727272727272698</v>
      </c>
      <c r="N125" s="71">
        <f t="shared" si="132"/>
        <v>13</v>
      </c>
      <c r="O125" s="75">
        <v>31.54</v>
      </c>
      <c r="R125" s="61">
        <v>15</v>
      </c>
      <c r="U125" s="80" t="s">
        <v>449</v>
      </c>
      <c r="W125" s="80" t="s">
        <v>39</v>
      </c>
      <c r="X125" s="80" t="s">
        <v>40</v>
      </c>
      <c r="AG125" t="s">
        <v>184</v>
      </c>
    </row>
    <row r="126" spans="2:37">
      <c r="B126" s="68" t="s">
        <v>450</v>
      </c>
      <c r="C126" s="68" t="s">
        <v>307</v>
      </c>
      <c r="D126" s="68"/>
      <c r="E126" s="68" t="s">
        <v>442</v>
      </c>
      <c r="F126" s="58">
        <v>2021</v>
      </c>
      <c r="G126" s="71">
        <f t="shared" si="129"/>
        <v>0.98</v>
      </c>
      <c r="H126" s="71"/>
      <c r="I126" s="71">
        <f t="shared" ref="I126:N126" si="133">I120</f>
        <v>0.29415379576205714</v>
      </c>
      <c r="J126" s="71">
        <f t="shared" si="133"/>
        <v>72.424242424242394</v>
      </c>
      <c r="K126" s="71">
        <f t="shared" si="133"/>
        <v>0.78787878787878796</v>
      </c>
      <c r="L126" s="71">
        <f t="shared" si="133"/>
        <v>72.424242424242394</v>
      </c>
      <c r="M126" s="71">
        <f t="shared" si="133"/>
        <v>0.78787878787878796</v>
      </c>
      <c r="N126" s="71">
        <f t="shared" si="133"/>
        <v>15</v>
      </c>
      <c r="O126" s="75">
        <v>31.54</v>
      </c>
      <c r="R126" s="61">
        <v>15</v>
      </c>
      <c r="U126" s="80" t="s">
        <v>450</v>
      </c>
      <c r="W126" s="80" t="s">
        <v>39</v>
      </c>
      <c r="X126" s="80" t="s">
        <v>40</v>
      </c>
    </row>
    <row r="127" spans="2:37">
      <c r="B127" s="68" t="s">
        <v>451</v>
      </c>
      <c r="C127" s="68" t="s">
        <v>309</v>
      </c>
      <c r="D127" s="68"/>
      <c r="E127" s="68" t="s">
        <v>442</v>
      </c>
      <c r="F127" s="58">
        <v>2021</v>
      </c>
      <c r="G127" s="71">
        <f t="shared" si="129"/>
        <v>0.872</v>
      </c>
      <c r="H127" s="71"/>
      <c r="I127" s="71">
        <f t="shared" ref="I127:N127" si="134">I121</f>
        <v>0.61920112208002076</v>
      </c>
      <c r="J127" s="71">
        <f t="shared" si="134"/>
        <v>117.77621037965901</v>
      </c>
      <c r="K127" s="71">
        <f t="shared" si="134"/>
        <v>2.7256704980842899</v>
      </c>
      <c r="L127" s="71">
        <f t="shared" si="134"/>
        <v>117.77621037965901</v>
      </c>
      <c r="M127" s="71">
        <f t="shared" si="134"/>
        <v>2.7256704980842899</v>
      </c>
      <c r="N127" s="71">
        <f t="shared" si="134"/>
        <v>12.6</v>
      </c>
      <c r="O127" s="75">
        <v>31.54</v>
      </c>
      <c r="R127" s="61">
        <v>15</v>
      </c>
      <c r="U127" s="80" t="s">
        <v>451</v>
      </c>
      <c r="W127" s="80" t="s">
        <v>39</v>
      </c>
      <c r="X127" s="80" t="s">
        <v>40</v>
      </c>
    </row>
    <row r="128" spans="2:37">
      <c r="B128" s="68" t="s">
        <v>452</v>
      </c>
      <c r="C128" s="68" t="s">
        <v>258</v>
      </c>
      <c r="D128" s="68"/>
      <c r="E128" s="68" t="s">
        <v>453</v>
      </c>
      <c r="F128" s="58">
        <v>2021</v>
      </c>
      <c r="G128" s="71">
        <f t="shared" si="129"/>
        <v>0.98</v>
      </c>
      <c r="H128" s="71"/>
      <c r="I128" s="71">
        <f t="shared" ref="I128:N128" si="135">I122</f>
        <v>0.19848365442079791</v>
      </c>
      <c r="J128" s="71">
        <f t="shared" si="135"/>
        <v>260.555555555556</v>
      </c>
      <c r="K128" s="71">
        <f t="shared" si="135"/>
        <v>2.7777777777777799</v>
      </c>
      <c r="L128" s="71">
        <f t="shared" si="135"/>
        <v>260.555555555556</v>
      </c>
      <c r="M128" s="71">
        <f t="shared" si="135"/>
        <v>2.7777777777777799</v>
      </c>
      <c r="N128" s="71">
        <f t="shared" si="135"/>
        <v>12</v>
      </c>
      <c r="O128" s="75">
        <v>31.54</v>
      </c>
      <c r="R128" s="61">
        <v>15</v>
      </c>
      <c r="U128" s="80" t="s">
        <v>452</v>
      </c>
      <c r="W128" s="80" t="s">
        <v>39</v>
      </c>
      <c r="X128" s="80" t="s">
        <v>40</v>
      </c>
    </row>
    <row r="129" spans="2:24">
      <c r="B129" s="68" t="s">
        <v>454</v>
      </c>
      <c r="C129" s="68" t="s">
        <v>301</v>
      </c>
      <c r="D129" s="68"/>
      <c r="E129" s="68" t="s">
        <v>453</v>
      </c>
      <c r="F129" s="58">
        <v>2021</v>
      </c>
      <c r="G129" s="71">
        <f t="shared" ref="G129:G134" si="136">G123</f>
        <v>0.8</v>
      </c>
      <c r="H129" s="71"/>
      <c r="I129" s="71">
        <f t="shared" ref="I129:N129" si="137">I123</f>
        <v>0.4694684934038334</v>
      </c>
      <c r="J129" s="71">
        <f t="shared" si="137"/>
        <v>116.81034482758599</v>
      </c>
      <c r="K129" s="71">
        <f t="shared" si="137"/>
        <v>5.5172413793103496</v>
      </c>
      <c r="L129" s="71">
        <f t="shared" si="137"/>
        <v>116.81034482758599</v>
      </c>
      <c r="M129" s="71">
        <f t="shared" si="137"/>
        <v>5.5172413793103496</v>
      </c>
      <c r="N129" s="71">
        <f t="shared" si="137"/>
        <v>10</v>
      </c>
      <c r="O129" s="75">
        <v>31.54</v>
      </c>
      <c r="R129" s="61">
        <v>15</v>
      </c>
      <c r="U129" s="80" t="s">
        <v>454</v>
      </c>
      <c r="W129" s="80" t="s">
        <v>39</v>
      </c>
      <c r="X129" s="80" t="s">
        <v>40</v>
      </c>
    </row>
    <row r="130" spans="2:24">
      <c r="B130" s="68" t="s">
        <v>455</v>
      </c>
      <c r="C130" s="68" t="s">
        <v>303</v>
      </c>
      <c r="D130" s="68"/>
      <c r="E130" s="68" t="s">
        <v>453</v>
      </c>
      <c r="F130" s="58">
        <v>2021</v>
      </c>
      <c r="G130" s="71">
        <f t="shared" si="136"/>
        <v>0.8</v>
      </c>
      <c r="H130" s="71"/>
      <c r="I130" s="71">
        <f t="shared" ref="I130:N130" si="138">I124</f>
        <v>0.18361570890563317</v>
      </c>
      <c r="J130" s="71">
        <f t="shared" si="138"/>
        <v>69.545454545454504</v>
      </c>
      <c r="K130" s="71">
        <f t="shared" si="138"/>
        <v>2.2727272727272698</v>
      </c>
      <c r="L130" s="71">
        <f t="shared" si="138"/>
        <v>69.545454545454504</v>
      </c>
      <c r="M130" s="71">
        <f t="shared" si="138"/>
        <v>2.2727272727272698</v>
      </c>
      <c r="N130" s="71">
        <f t="shared" si="138"/>
        <v>13</v>
      </c>
      <c r="O130" s="75">
        <v>31.54</v>
      </c>
      <c r="R130" s="61">
        <v>15</v>
      </c>
      <c r="U130" s="80" t="s">
        <v>455</v>
      </c>
      <c r="W130" s="80" t="s">
        <v>39</v>
      </c>
      <c r="X130" s="80" t="s">
        <v>40</v>
      </c>
    </row>
    <row r="131" spans="2:24">
      <c r="B131" s="68" t="s">
        <v>456</v>
      </c>
      <c r="C131" s="68" t="s">
        <v>305</v>
      </c>
      <c r="D131" s="68"/>
      <c r="E131" s="68" t="s">
        <v>453</v>
      </c>
      <c r="F131" s="58">
        <v>2021</v>
      </c>
      <c r="G131" s="71">
        <f t="shared" si="136"/>
        <v>0.8</v>
      </c>
      <c r="H131" s="71"/>
      <c r="I131" s="71">
        <f t="shared" ref="I131:N131" si="139">I125</f>
        <v>0.18361570890563317</v>
      </c>
      <c r="J131" s="71">
        <f t="shared" si="139"/>
        <v>69.545454545454504</v>
      </c>
      <c r="K131" s="71">
        <f t="shared" si="139"/>
        <v>2.2727272727272698</v>
      </c>
      <c r="L131" s="71">
        <f t="shared" si="139"/>
        <v>69.545454545454504</v>
      </c>
      <c r="M131" s="71">
        <f t="shared" si="139"/>
        <v>2.2727272727272698</v>
      </c>
      <c r="N131" s="71">
        <f t="shared" si="139"/>
        <v>13</v>
      </c>
      <c r="O131" s="75">
        <v>31.54</v>
      </c>
      <c r="R131" s="61">
        <v>15</v>
      </c>
      <c r="U131" s="80" t="s">
        <v>456</v>
      </c>
      <c r="W131" s="80" t="s">
        <v>39</v>
      </c>
      <c r="X131" s="80" t="s">
        <v>40</v>
      </c>
    </row>
    <row r="132" spans="2:24">
      <c r="B132" s="68" t="s">
        <v>457</v>
      </c>
      <c r="C132" s="68" t="s">
        <v>307</v>
      </c>
      <c r="D132" s="68"/>
      <c r="E132" s="68" t="s">
        <v>453</v>
      </c>
      <c r="F132" s="58">
        <v>2021</v>
      </c>
      <c r="G132" s="71">
        <f t="shared" si="136"/>
        <v>0.98</v>
      </c>
      <c r="H132" s="71"/>
      <c r="I132" s="71">
        <f t="shared" ref="I132:N132" si="140">I126</f>
        <v>0.29415379576205714</v>
      </c>
      <c r="J132" s="71">
        <f t="shared" si="140"/>
        <v>72.424242424242394</v>
      </c>
      <c r="K132" s="71">
        <f t="shared" si="140"/>
        <v>0.78787878787878796</v>
      </c>
      <c r="L132" s="71">
        <f t="shared" si="140"/>
        <v>72.424242424242394</v>
      </c>
      <c r="M132" s="71">
        <f t="shared" si="140"/>
        <v>0.78787878787878796</v>
      </c>
      <c r="N132" s="71">
        <f t="shared" si="140"/>
        <v>15</v>
      </c>
      <c r="O132" s="75">
        <v>31.54</v>
      </c>
      <c r="R132" s="61">
        <v>15</v>
      </c>
      <c r="U132" s="80" t="s">
        <v>457</v>
      </c>
      <c r="W132" s="80" t="s">
        <v>39</v>
      </c>
      <c r="X132" s="80" t="s">
        <v>40</v>
      </c>
    </row>
    <row r="133" spans="2:24">
      <c r="B133" s="68" t="s">
        <v>458</v>
      </c>
      <c r="C133" s="68" t="s">
        <v>309</v>
      </c>
      <c r="D133" s="68"/>
      <c r="E133" s="68" t="s">
        <v>453</v>
      </c>
      <c r="F133" s="58">
        <v>2021</v>
      </c>
      <c r="G133" s="71">
        <f t="shared" si="136"/>
        <v>0.872</v>
      </c>
      <c r="H133" s="71"/>
      <c r="I133" s="71">
        <f t="shared" ref="I133:N133" si="141">I127</f>
        <v>0.61920112208002076</v>
      </c>
      <c r="J133" s="71">
        <f t="shared" si="141"/>
        <v>117.77621037965901</v>
      </c>
      <c r="K133" s="71">
        <f t="shared" si="141"/>
        <v>2.7256704980842899</v>
      </c>
      <c r="L133" s="71">
        <f t="shared" si="141"/>
        <v>117.77621037965901</v>
      </c>
      <c r="M133" s="71">
        <f t="shared" si="141"/>
        <v>2.7256704980842899</v>
      </c>
      <c r="N133" s="71">
        <f t="shared" si="141"/>
        <v>12.6</v>
      </c>
      <c r="O133" s="75">
        <v>31.54</v>
      </c>
      <c r="R133" s="61">
        <v>15</v>
      </c>
      <c r="U133" s="80" t="s">
        <v>458</v>
      </c>
      <c r="W133" s="80" t="s">
        <v>39</v>
      </c>
      <c r="X133" s="80" t="s">
        <v>40</v>
      </c>
    </row>
    <row r="134" spans="2:24">
      <c r="B134" s="68" t="s">
        <v>459</v>
      </c>
      <c r="C134" s="68" t="s">
        <v>258</v>
      </c>
      <c r="D134" s="68"/>
      <c r="E134" s="68" t="s">
        <v>460</v>
      </c>
      <c r="F134" s="58">
        <v>2021</v>
      </c>
      <c r="G134" s="71">
        <f t="shared" si="136"/>
        <v>0.98</v>
      </c>
      <c r="H134" s="71"/>
      <c r="I134" s="71">
        <f t="shared" ref="I134:N134" si="142">I128</f>
        <v>0.19848365442079791</v>
      </c>
      <c r="J134" s="71">
        <f t="shared" si="142"/>
        <v>260.555555555556</v>
      </c>
      <c r="K134" s="71">
        <f t="shared" si="142"/>
        <v>2.7777777777777799</v>
      </c>
      <c r="L134" s="71">
        <f t="shared" si="142"/>
        <v>260.555555555556</v>
      </c>
      <c r="M134" s="71">
        <f t="shared" si="142"/>
        <v>2.7777777777777799</v>
      </c>
      <c r="N134" s="71">
        <f t="shared" si="142"/>
        <v>12</v>
      </c>
      <c r="O134" s="75">
        <v>31.54</v>
      </c>
      <c r="R134" s="61">
        <v>15</v>
      </c>
      <c r="U134" s="80" t="s">
        <v>459</v>
      </c>
      <c r="W134" s="80" t="s">
        <v>39</v>
      </c>
      <c r="X134" s="80" t="s">
        <v>40</v>
      </c>
    </row>
    <row r="135" spans="2:24">
      <c r="B135" s="68" t="s">
        <v>461</v>
      </c>
      <c r="C135" s="68" t="s">
        <v>301</v>
      </c>
      <c r="D135" s="68"/>
      <c r="E135" s="68" t="s">
        <v>460</v>
      </c>
      <c r="F135" s="58">
        <v>2021</v>
      </c>
      <c r="G135" s="71">
        <f t="shared" ref="G135:G140" si="143">G129</f>
        <v>0.8</v>
      </c>
      <c r="H135" s="71"/>
      <c r="I135" s="71">
        <f t="shared" ref="I135:N135" si="144">I129</f>
        <v>0.4694684934038334</v>
      </c>
      <c r="J135" s="71">
        <f t="shared" si="144"/>
        <v>116.81034482758599</v>
      </c>
      <c r="K135" s="71">
        <f t="shared" si="144"/>
        <v>5.5172413793103496</v>
      </c>
      <c r="L135" s="71">
        <f t="shared" si="144"/>
        <v>116.81034482758599</v>
      </c>
      <c r="M135" s="71">
        <f t="shared" si="144"/>
        <v>5.5172413793103496</v>
      </c>
      <c r="N135" s="71">
        <f t="shared" si="144"/>
        <v>10</v>
      </c>
      <c r="O135" s="75">
        <v>31.54</v>
      </c>
      <c r="R135" s="61">
        <v>15</v>
      </c>
      <c r="U135" s="80" t="s">
        <v>461</v>
      </c>
      <c r="W135" s="80" t="s">
        <v>39</v>
      </c>
      <c r="X135" s="80" t="s">
        <v>40</v>
      </c>
    </row>
    <row r="136" spans="2:24">
      <c r="B136" s="68" t="s">
        <v>462</v>
      </c>
      <c r="C136" s="68" t="s">
        <v>303</v>
      </c>
      <c r="D136" s="68"/>
      <c r="E136" s="68" t="s">
        <v>460</v>
      </c>
      <c r="F136" s="58">
        <v>2021</v>
      </c>
      <c r="G136" s="71">
        <f t="shared" si="143"/>
        <v>0.8</v>
      </c>
      <c r="H136" s="71"/>
      <c r="I136" s="71">
        <f t="shared" ref="I136:N136" si="145">I130</f>
        <v>0.18361570890563317</v>
      </c>
      <c r="J136" s="71">
        <f t="shared" si="145"/>
        <v>69.545454545454504</v>
      </c>
      <c r="K136" s="71">
        <f t="shared" si="145"/>
        <v>2.2727272727272698</v>
      </c>
      <c r="L136" s="71">
        <f t="shared" si="145"/>
        <v>69.545454545454504</v>
      </c>
      <c r="M136" s="71">
        <f t="shared" si="145"/>
        <v>2.2727272727272698</v>
      </c>
      <c r="N136" s="71">
        <f t="shared" si="145"/>
        <v>13</v>
      </c>
      <c r="O136" s="75">
        <v>31.54</v>
      </c>
      <c r="R136" s="61">
        <v>15</v>
      </c>
      <c r="U136" s="80" t="s">
        <v>462</v>
      </c>
      <c r="W136" s="80" t="s">
        <v>39</v>
      </c>
      <c r="X136" s="80" t="s">
        <v>40</v>
      </c>
    </row>
    <row r="137" spans="2:24">
      <c r="B137" s="68" t="s">
        <v>463</v>
      </c>
      <c r="C137" s="68" t="s">
        <v>305</v>
      </c>
      <c r="D137" s="68"/>
      <c r="E137" s="68" t="s">
        <v>460</v>
      </c>
      <c r="F137" s="58">
        <v>2021</v>
      </c>
      <c r="G137" s="71">
        <f t="shared" si="143"/>
        <v>0.8</v>
      </c>
      <c r="H137" s="71"/>
      <c r="I137" s="71">
        <f t="shared" ref="I137:N137" si="146">I131</f>
        <v>0.18361570890563317</v>
      </c>
      <c r="J137" s="71">
        <f t="shared" si="146"/>
        <v>69.545454545454504</v>
      </c>
      <c r="K137" s="71">
        <f t="shared" si="146"/>
        <v>2.2727272727272698</v>
      </c>
      <c r="L137" s="71">
        <f t="shared" si="146"/>
        <v>69.545454545454504</v>
      </c>
      <c r="M137" s="71">
        <f t="shared" si="146"/>
        <v>2.2727272727272698</v>
      </c>
      <c r="N137" s="71">
        <f t="shared" si="146"/>
        <v>13</v>
      </c>
      <c r="O137" s="75">
        <v>31.54</v>
      </c>
      <c r="R137" s="61">
        <v>15</v>
      </c>
      <c r="U137" s="80" t="s">
        <v>463</v>
      </c>
      <c r="W137" s="80" t="s">
        <v>39</v>
      </c>
      <c r="X137" s="80" t="s">
        <v>40</v>
      </c>
    </row>
    <row r="138" spans="2:24">
      <c r="B138" s="68" t="s">
        <v>464</v>
      </c>
      <c r="C138" s="68" t="s">
        <v>307</v>
      </c>
      <c r="D138" s="68"/>
      <c r="E138" s="68" t="s">
        <v>460</v>
      </c>
      <c r="F138" s="58">
        <v>2021</v>
      </c>
      <c r="G138" s="71">
        <f t="shared" si="143"/>
        <v>0.98</v>
      </c>
      <c r="H138" s="71"/>
      <c r="I138" s="71">
        <f t="shared" ref="I138:N138" si="147">I132</f>
        <v>0.29415379576205714</v>
      </c>
      <c r="J138" s="71">
        <f t="shared" si="147"/>
        <v>72.424242424242394</v>
      </c>
      <c r="K138" s="71">
        <f t="shared" si="147"/>
        <v>0.78787878787878796</v>
      </c>
      <c r="L138" s="71">
        <f t="shared" si="147"/>
        <v>72.424242424242394</v>
      </c>
      <c r="M138" s="71">
        <f t="shared" si="147"/>
        <v>0.78787878787878796</v>
      </c>
      <c r="N138" s="71">
        <f t="shared" si="147"/>
        <v>15</v>
      </c>
      <c r="O138" s="75">
        <v>31.54</v>
      </c>
      <c r="R138" s="61">
        <v>15</v>
      </c>
      <c r="U138" s="80" t="s">
        <v>464</v>
      </c>
      <c r="W138" s="80" t="s">
        <v>39</v>
      </c>
      <c r="X138" s="80" t="s">
        <v>40</v>
      </c>
    </row>
    <row r="139" spans="2:24">
      <c r="B139" s="68" t="s">
        <v>465</v>
      </c>
      <c r="C139" s="68" t="s">
        <v>309</v>
      </c>
      <c r="D139" s="68"/>
      <c r="E139" s="68" t="s">
        <v>460</v>
      </c>
      <c r="F139" s="58">
        <v>2021</v>
      </c>
      <c r="G139" s="71">
        <f t="shared" si="143"/>
        <v>0.872</v>
      </c>
      <c r="H139" s="71"/>
      <c r="I139" s="71">
        <f t="shared" ref="I139:N139" si="148">I133</f>
        <v>0.61920112208002076</v>
      </c>
      <c r="J139" s="71">
        <f t="shared" si="148"/>
        <v>117.77621037965901</v>
      </c>
      <c r="K139" s="71">
        <f t="shared" si="148"/>
        <v>2.7256704980842899</v>
      </c>
      <c r="L139" s="71">
        <f t="shared" si="148"/>
        <v>117.77621037965901</v>
      </c>
      <c r="M139" s="71">
        <f t="shared" si="148"/>
        <v>2.7256704980842899</v>
      </c>
      <c r="N139" s="71">
        <f t="shared" si="148"/>
        <v>12.6</v>
      </c>
      <c r="O139" s="75">
        <v>31.54</v>
      </c>
      <c r="R139" s="61">
        <v>15</v>
      </c>
      <c r="U139" s="80" t="s">
        <v>465</v>
      </c>
      <c r="W139" s="80" t="s">
        <v>39</v>
      </c>
      <c r="X139" s="80" t="s">
        <v>40</v>
      </c>
    </row>
    <row r="140" spans="2:24">
      <c r="B140" s="68" t="s">
        <v>466</v>
      </c>
      <c r="C140" s="68" t="s">
        <v>258</v>
      </c>
      <c r="D140" s="68"/>
      <c r="E140" s="68" t="s">
        <v>467</v>
      </c>
      <c r="F140" s="58">
        <v>2021</v>
      </c>
      <c r="G140" s="71">
        <f t="shared" si="143"/>
        <v>0.98</v>
      </c>
      <c r="H140" s="71"/>
      <c r="I140" s="71">
        <f t="shared" ref="I140:N140" si="149">I134</f>
        <v>0.19848365442079791</v>
      </c>
      <c r="J140" s="71">
        <f t="shared" si="149"/>
        <v>260.555555555556</v>
      </c>
      <c r="K140" s="71">
        <f t="shared" si="149"/>
        <v>2.7777777777777799</v>
      </c>
      <c r="L140" s="71">
        <f t="shared" si="149"/>
        <v>260.555555555556</v>
      </c>
      <c r="M140" s="71">
        <f t="shared" si="149"/>
        <v>2.7777777777777799</v>
      </c>
      <c r="N140" s="71">
        <f t="shared" si="149"/>
        <v>12</v>
      </c>
      <c r="O140" s="75">
        <v>31.54</v>
      </c>
      <c r="R140" s="61">
        <v>15</v>
      </c>
      <c r="U140" s="80" t="s">
        <v>466</v>
      </c>
      <c r="W140" s="80" t="s">
        <v>39</v>
      </c>
      <c r="X140" s="80" t="s">
        <v>40</v>
      </c>
    </row>
    <row r="141" spans="2:24">
      <c r="B141" s="68" t="s">
        <v>468</v>
      </c>
      <c r="C141" s="68" t="s">
        <v>301</v>
      </c>
      <c r="D141" s="68"/>
      <c r="E141" s="68" t="s">
        <v>467</v>
      </c>
      <c r="F141" s="58">
        <v>2021</v>
      </c>
      <c r="G141" s="71">
        <f t="shared" ref="G141:G145" si="150">G135</f>
        <v>0.8</v>
      </c>
      <c r="H141" s="71"/>
      <c r="I141" s="71">
        <f t="shared" ref="I141:N141" si="151">I135</f>
        <v>0.4694684934038334</v>
      </c>
      <c r="J141" s="71">
        <f t="shared" si="151"/>
        <v>116.81034482758599</v>
      </c>
      <c r="K141" s="71">
        <f t="shared" si="151"/>
        <v>5.5172413793103496</v>
      </c>
      <c r="L141" s="71">
        <f t="shared" si="151"/>
        <v>116.81034482758599</v>
      </c>
      <c r="M141" s="71">
        <f t="shared" si="151"/>
        <v>5.5172413793103496</v>
      </c>
      <c r="N141" s="71">
        <f t="shared" si="151"/>
        <v>10</v>
      </c>
      <c r="O141" s="75">
        <v>31.54</v>
      </c>
      <c r="R141" s="61">
        <v>15</v>
      </c>
      <c r="U141" s="80" t="s">
        <v>468</v>
      </c>
      <c r="W141" s="80" t="s">
        <v>39</v>
      </c>
      <c r="X141" s="80" t="s">
        <v>40</v>
      </c>
    </row>
    <row r="142" spans="2:24">
      <c r="B142" s="68" t="s">
        <v>469</v>
      </c>
      <c r="C142" s="68" t="s">
        <v>303</v>
      </c>
      <c r="D142" s="68"/>
      <c r="E142" s="68" t="s">
        <v>467</v>
      </c>
      <c r="F142" s="58">
        <v>2021</v>
      </c>
      <c r="G142" s="71">
        <f t="shared" si="150"/>
        <v>0.8</v>
      </c>
      <c r="H142" s="71"/>
      <c r="I142" s="71">
        <f t="shared" ref="I142:N142" si="152">I136</f>
        <v>0.18361570890563317</v>
      </c>
      <c r="J142" s="71">
        <f t="shared" si="152"/>
        <v>69.545454545454504</v>
      </c>
      <c r="K142" s="71">
        <f t="shared" si="152"/>
        <v>2.2727272727272698</v>
      </c>
      <c r="L142" s="71">
        <f t="shared" si="152"/>
        <v>69.545454545454504</v>
      </c>
      <c r="M142" s="71">
        <f t="shared" si="152"/>
        <v>2.2727272727272698</v>
      </c>
      <c r="N142" s="71">
        <f t="shared" si="152"/>
        <v>13</v>
      </c>
      <c r="O142" s="75">
        <v>31.54</v>
      </c>
      <c r="R142" s="61">
        <v>15</v>
      </c>
      <c r="U142" s="80" t="s">
        <v>469</v>
      </c>
      <c r="W142" s="80" t="s">
        <v>39</v>
      </c>
      <c r="X142" s="80" t="s">
        <v>40</v>
      </c>
    </row>
    <row r="143" spans="2:24">
      <c r="B143" s="68" t="s">
        <v>470</v>
      </c>
      <c r="C143" s="68" t="s">
        <v>305</v>
      </c>
      <c r="D143" s="68"/>
      <c r="E143" s="68" t="s">
        <v>467</v>
      </c>
      <c r="F143" s="58">
        <v>2021</v>
      </c>
      <c r="G143" s="71">
        <f t="shared" si="150"/>
        <v>0.8</v>
      </c>
      <c r="H143" s="71"/>
      <c r="I143" s="71">
        <f t="shared" ref="I143:N143" si="153">I137</f>
        <v>0.18361570890563317</v>
      </c>
      <c r="J143" s="71">
        <f t="shared" si="153"/>
        <v>69.545454545454504</v>
      </c>
      <c r="K143" s="71">
        <f t="shared" si="153"/>
        <v>2.2727272727272698</v>
      </c>
      <c r="L143" s="71">
        <f t="shared" si="153"/>
        <v>69.545454545454504</v>
      </c>
      <c r="M143" s="71">
        <f t="shared" si="153"/>
        <v>2.2727272727272698</v>
      </c>
      <c r="N143" s="71">
        <f t="shared" si="153"/>
        <v>13</v>
      </c>
      <c r="O143" s="75">
        <v>31.54</v>
      </c>
      <c r="R143" s="61">
        <v>15</v>
      </c>
      <c r="U143" s="80" t="s">
        <v>470</v>
      </c>
      <c r="W143" s="80" t="s">
        <v>39</v>
      </c>
      <c r="X143" s="80" t="s">
        <v>40</v>
      </c>
    </row>
    <row r="144" spans="2:24">
      <c r="B144" s="68" t="s">
        <v>471</v>
      </c>
      <c r="C144" s="68" t="s">
        <v>307</v>
      </c>
      <c r="D144" s="68"/>
      <c r="E144" s="68" t="s">
        <v>467</v>
      </c>
      <c r="F144" s="58">
        <v>2021</v>
      </c>
      <c r="G144" s="71">
        <f t="shared" si="150"/>
        <v>0.98</v>
      </c>
      <c r="H144" s="71"/>
      <c r="I144" s="71">
        <f t="shared" ref="I144:N144" si="154">I138</f>
        <v>0.29415379576205714</v>
      </c>
      <c r="J144" s="71">
        <f t="shared" si="154"/>
        <v>72.424242424242394</v>
      </c>
      <c r="K144" s="71">
        <f t="shared" si="154"/>
        <v>0.78787878787878796</v>
      </c>
      <c r="L144" s="71">
        <f t="shared" si="154"/>
        <v>72.424242424242394</v>
      </c>
      <c r="M144" s="71">
        <f t="shared" si="154"/>
        <v>0.78787878787878796</v>
      </c>
      <c r="N144" s="71">
        <f t="shared" si="154"/>
        <v>15</v>
      </c>
      <c r="O144" s="75">
        <v>31.54</v>
      </c>
      <c r="R144" s="61">
        <v>15</v>
      </c>
      <c r="U144" s="80" t="s">
        <v>471</v>
      </c>
      <c r="W144" s="80" t="s">
        <v>39</v>
      </c>
      <c r="X144" s="80" t="s">
        <v>40</v>
      </c>
    </row>
    <row r="145" spans="2:24">
      <c r="B145" s="68" t="s">
        <v>472</v>
      </c>
      <c r="C145" s="68" t="s">
        <v>309</v>
      </c>
      <c r="D145" s="68"/>
      <c r="E145" s="68" t="s">
        <v>467</v>
      </c>
      <c r="F145" s="58">
        <v>2021</v>
      </c>
      <c r="G145" s="71">
        <f t="shared" si="150"/>
        <v>0.872</v>
      </c>
      <c r="H145" s="71"/>
      <c r="I145" s="71">
        <f t="shared" ref="I145:N145" si="155">I139</f>
        <v>0.61920112208002076</v>
      </c>
      <c r="J145" s="71">
        <f t="shared" si="155"/>
        <v>117.77621037965901</v>
      </c>
      <c r="K145" s="71">
        <f t="shared" si="155"/>
        <v>2.7256704980842899</v>
      </c>
      <c r="L145" s="71">
        <f t="shared" si="155"/>
        <v>117.77621037965901</v>
      </c>
      <c r="M145" s="71">
        <f t="shared" si="155"/>
        <v>2.7256704980842899</v>
      </c>
      <c r="N145" s="71">
        <f t="shared" si="155"/>
        <v>12.6</v>
      </c>
      <c r="O145" s="75">
        <v>31.54</v>
      </c>
      <c r="R145" s="61">
        <v>15</v>
      </c>
      <c r="U145" s="80" t="s">
        <v>472</v>
      </c>
      <c r="W145" s="80" t="s">
        <v>39</v>
      </c>
      <c r="X145" s="80" t="s">
        <v>40</v>
      </c>
    </row>
    <row r="146" spans="2:24">
      <c r="B146" s="68" t="s">
        <v>473</v>
      </c>
      <c r="C146" s="68" t="s">
        <v>258</v>
      </c>
      <c r="D146" s="68"/>
      <c r="E146" s="68" t="s">
        <v>474</v>
      </c>
      <c r="F146" s="58">
        <v>2021</v>
      </c>
      <c r="G146" s="71">
        <v>1</v>
      </c>
      <c r="H146" s="71"/>
      <c r="I146" s="71"/>
      <c r="J146" s="71">
        <f>5470/(170/3.412)*1</f>
        <v>109.786117647059</v>
      </c>
      <c r="K146" s="71">
        <f>32/(170/3.412)*1</f>
        <v>0.64225882352941199</v>
      </c>
      <c r="L146" s="71">
        <f t="shared" ref="L146:L207" si="156">J146</f>
        <v>109.786117647059</v>
      </c>
      <c r="M146" s="71">
        <f t="shared" ref="M146:M207" si="157">K146</f>
        <v>0.64225882352941199</v>
      </c>
      <c r="N146" s="71">
        <v>18</v>
      </c>
      <c r="O146" s="75">
        <v>31.54</v>
      </c>
      <c r="R146" s="61">
        <v>15</v>
      </c>
      <c r="U146" s="80" t="s">
        <v>473</v>
      </c>
      <c r="W146" s="80" t="s">
        <v>39</v>
      </c>
      <c r="X146" s="80" t="s">
        <v>40</v>
      </c>
    </row>
    <row r="147" spans="2:24">
      <c r="B147" s="68" t="s">
        <v>475</v>
      </c>
      <c r="C147" s="68" t="s">
        <v>301</v>
      </c>
      <c r="D147" s="68"/>
      <c r="E147" s="68" t="s">
        <v>474</v>
      </c>
      <c r="F147" s="58">
        <v>2021</v>
      </c>
      <c r="G147" s="71">
        <v>0.8</v>
      </c>
      <c r="H147" s="71"/>
      <c r="I147" s="71"/>
      <c r="J147" s="71">
        <f>2540/73*1</f>
        <v>34.794520547945197</v>
      </c>
      <c r="K147" s="71">
        <f>200/73*1</f>
        <v>2.7397260273972601</v>
      </c>
      <c r="L147" s="71">
        <f t="shared" si="156"/>
        <v>34.794520547945197</v>
      </c>
      <c r="M147" s="71">
        <f t="shared" si="157"/>
        <v>2.7397260273972601</v>
      </c>
      <c r="N147" s="71">
        <v>23</v>
      </c>
      <c r="O147" s="75">
        <v>31.54</v>
      </c>
      <c r="R147" s="61">
        <v>15</v>
      </c>
      <c r="U147" s="80" t="s">
        <v>475</v>
      </c>
      <c r="W147" s="80" t="s">
        <v>39</v>
      </c>
      <c r="X147" s="80" t="s">
        <v>40</v>
      </c>
    </row>
    <row r="148" spans="2:24">
      <c r="B148" s="68" t="s">
        <v>476</v>
      </c>
      <c r="C148" s="68" t="s">
        <v>303</v>
      </c>
      <c r="D148" s="68"/>
      <c r="E148" s="68" t="s">
        <v>474</v>
      </c>
      <c r="F148" s="58">
        <v>2021</v>
      </c>
      <c r="G148" s="71">
        <v>0.81</v>
      </c>
      <c r="H148" s="71"/>
      <c r="I148" s="71"/>
      <c r="J148" s="71">
        <f>7740/73*1</f>
        <v>106.027397260274</v>
      </c>
      <c r="K148" s="71">
        <f>360/73*1</f>
        <v>4.9315068493150704</v>
      </c>
      <c r="L148" s="71">
        <f t="shared" si="156"/>
        <v>106.027397260274</v>
      </c>
      <c r="M148" s="71">
        <f t="shared" si="157"/>
        <v>4.9315068493150704</v>
      </c>
      <c r="N148" s="85">
        <v>23</v>
      </c>
      <c r="O148" s="75">
        <v>31.54</v>
      </c>
      <c r="R148" s="61">
        <v>15</v>
      </c>
      <c r="U148" s="80" t="s">
        <v>476</v>
      </c>
      <c r="W148" s="80" t="s">
        <v>39</v>
      </c>
      <c r="X148" s="80" t="s">
        <v>40</v>
      </c>
    </row>
    <row r="149" spans="2:24">
      <c r="B149" s="68" t="s">
        <v>477</v>
      </c>
      <c r="C149" s="68" t="s">
        <v>305</v>
      </c>
      <c r="D149" s="68"/>
      <c r="E149" s="68" t="s">
        <v>474</v>
      </c>
      <c r="F149" s="58">
        <v>2021</v>
      </c>
      <c r="G149" s="71">
        <f>G148</f>
        <v>0.81</v>
      </c>
      <c r="H149" s="71"/>
      <c r="I149" s="71"/>
      <c r="J149" s="71">
        <f t="shared" ref="J149:N149" si="158">J148</f>
        <v>106.027397260274</v>
      </c>
      <c r="K149" s="71">
        <f t="shared" si="158"/>
        <v>4.9315068493150704</v>
      </c>
      <c r="L149" s="71">
        <f t="shared" si="158"/>
        <v>106.027397260274</v>
      </c>
      <c r="M149" s="71">
        <f t="shared" si="158"/>
        <v>4.9315068493150704</v>
      </c>
      <c r="N149" s="71">
        <f t="shared" si="158"/>
        <v>23</v>
      </c>
      <c r="O149" s="75">
        <v>31.54</v>
      </c>
      <c r="R149" s="61">
        <v>15</v>
      </c>
      <c r="U149" s="80" t="s">
        <v>477</v>
      </c>
      <c r="W149" s="80" t="s">
        <v>39</v>
      </c>
      <c r="X149" s="80" t="s">
        <v>40</v>
      </c>
    </row>
    <row r="150" spans="2:24">
      <c r="B150" s="68" t="s">
        <v>478</v>
      </c>
      <c r="C150" s="68" t="s">
        <v>307</v>
      </c>
      <c r="D150" s="68"/>
      <c r="E150" s="68" t="s">
        <v>474</v>
      </c>
      <c r="F150" s="58">
        <v>2021</v>
      </c>
      <c r="G150" s="91">
        <f>G90</f>
        <v>0.98</v>
      </c>
      <c r="H150" s="91"/>
      <c r="I150" s="91"/>
      <c r="J150" s="91">
        <f t="shared" ref="J150:N150" si="159">J90</f>
        <v>72.424242424242394</v>
      </c>
      <c r="K150" s="91">
        <f t="shared" si="159"/>
        <v>0.78787878787878796</v>
      </c>
      <c r="L150" s="91">
        <f t="shared" si="159"/>
        <v>72.424242424242394</v>
      </c>
      <c r="M150" s="91">
        <f t="shared" si="159"/>
        <v>0.78787878787878796</v>
      </c>
      <c r="N150" s="91">
        <f t="shared" si="159"/>
        <v>15</v>
      </c>
      <c r="O150" s="75">
        <v>31.54</v>
      </c>
      <c r="R150" s="61">
        <v>15</v>
      </c>
      <c r="U150" s="80" t="s">
        <v>478</v>
      </c>
      <c r="W150" s="80" t="s">
        <v>39</v>
      </c>
      <c r="X150" s="80" t="s">
        <v>40</v>
      </c>
    </row>
    <row r="151" spans="2:24">
      <c r="B151" s="68" t="s">
        <v>479</v>
      </c>
      <c r="C151" s="68" t="s">
        <v>309</v>
      </c>
      <c r="D151" s="68"/>
      <c r="E151" s="68" t="s">
        <v>474</v>
      </c>
      <c r="F151" s="58">
        <v>2021</v>
      </c>
      <c r="G151" s="71">
        <f>AVERAGE(G146:G150)</f>
        <v>0.88</v>
      </c>
      <c r="H151" s="71"/>
      <c r="I151" s="71"/>
      <c r="J151" s="71">
        <f t="shared" ref="J151:N151" si="160">AVERAGE(J146:J150)</f>
        <v>85.811935027958896</v>
      </c>
      <c r="K151" s="71">
        <f t="shared" si="160"/>
        <v>2.8065754674871202</v>
      </c>
      <c r="L151" s="71">
        <f t="shared" si="160"/>
        <v>85.811935027958896</v>
      </c>
      <c r="M151" s="71">
        <f t="shared" si="160"/>
        <v>2.8065754674871202</v>
      </c>
      <c r="N151" s="71">
        <f t="shared" si="160"/>
        <v>20.399999999999999</v>
      </c>
      <c r="O151" s="75">
        <v>31.54</v>
      </c>
      <c r="R151" s="61">
        <v>15</v>
      </c>
      <c r="U151" s="80" t="s">
        <v>479</v>
      </c>
      <c r="W151" s="80" t="s">
        <v>39</v>
      </c>
      <c r="X151" s="80" t="s">
        <v>40</v>
      </c>
    </row>
    <row r="152" spans="2:24">
      <c r="B152" s="68" t="s">
        <v>480</v>
      </c>
      <c r="C152" s="68" t="s">
        <v>258</v>
      </c>
      <c r="D152" s="68"/>
      <c r="E152" s="68" t="s">
        <v>481</v>
      </c>
      <c r="F152" s="58">
        <v>2021</v>
      </c>
      <c r="G152" s="71">
        <f>G146</f>
        <v>1</v>
      </c>
      <c r="H152" s="71"/>
      <c r="I152" s="71"/>
      <c r="J152" s="71">
        <f t="shared" ref="J152:N152" si="161">J146</f>
        <v>109.786117647059</v>
      </c>
      <c r="K152" s="71">
        <f t="shared" si="161"/>
        <v>0.64225882352941199</v>
      </c>
      <c r="L152" s="71">
        <f t="shared" si="161"/>
        <v>109.786117647059</v>
      </c>
      <c r="M152" s="71">
        <f t="shared" si="161"/>
        <v>0.64225882352941199</v>
      </c>
      <c r="N152" s="71">
        <f t="shared" si="161"/>
        <v>18</v>
      </c>
      <c r="O152" s="75">
        <v>31.54</v>
      </c>
      <c r="R152" s="61">
        <v>15</v>
      </c>
      <c r="U152" s="80" t="s">
        <v>480</v>
      </c>
      <c r="W152" s="80" t="s">
        <v>39</v>
      </c>
      <c r="X152" s="80" t="s">
        <v>40</v>
      </c>
    </row>
    <row r="153" spans="2:24">
      <c r="B153" s="68" t="s">
        <v>482</v>
      </c>
      <c r="C153" s="68" t="s">
        <v>301</v>
      </c>
      <c r="D153" s="68"/>
      <c r="E153" s="68" t="s">
        <v>481</v>
      </c>
      <c r="F153" s="58">
        <v>2021</v>
      </c>
      <c r="G153" s="71">
        <f t="shared" ref="G153:N153" si="162">G147</f>
        <v>0.8</v>
      </c>
      <c r="H153" s="71"/>
      <c r="I153" s="71"/>
      <c r="J153" s="71">
        <f t="shared" si="162"/>
        <v>34.794520547945197</v>
      </c>
      <c r="K153" s="71">
        <f t="shared" si="162"/>
        <v>2.7397260273972601</v>
      </c>
      <c r="L153" s="71">
        <f t="shared" si="162"/>
        <v>34.794520547945197</v>
      </c>
      <c r="M153" s="71">
        <f t="shared" si="162"/>
        <v>2.7397260273972601</v>
      </c>
      <c r="N153" s="71">
        <f t="shared" si="162"/>
        <v>23</v>
      </c>
      <c r="O153" s="75">
        <v>31.54</v>
      </c>
      <c r="R153" s="61">
        <v>15</v>
      </c>
      <c r="U153" s="80" t="s">
        <v>482</v>
      </c>
      <c r="W153" s="80" t="s">
        <v>39</v>
      </c>
      <c r="X153" s="80" t="s">
        <v>40</v>
      </c>
    </row>
    <row r="154" spans="2:24">
      <c r="B154" s="68" t="s">
        <v>483</v>
      </c>
      <c r="C154" s="68" t="s">
        <v>303</v>
      </c>
      <c r="D154" s="68"/>
      <c r="E154" s="68" t="s">
        <v>481</v>
      </c>
      <c r="F154" s="58">
        <v>2021</v>
      </c>
      <c r="G154" s="71">
        <f t="shared" ref="G154:N154" si="163">G148</f>
        <v>0.81</v>
      </c>
      <c r="H154" s="71"/>
      <c r="I154" s="71"/>
      <c r="J154" s="71">
        <f t="shared" si="163"/>
        <v>106.027397260274</v>
      </c>
      <c r="K154" s="71">
        <f t="shared" si="163"/>
        <v>4.9315068493150704</v>
      </c>
      <c r="L154" s="71">
        <f t="shared" si="163"/>
        <v>106.027397260274</v>
      </c>
      <c r="M154" s="71">
        <f t="shared" si="163"/>
        <v>4.9315068493150704</v>
      </c>
      <c r="N154" s="71">
        <f t="shared" si="163"/>
        <v>23</v>
      </c>
      <c r="O154" s="75">
        <v>31.54</v>
      </c>
      <c r="R154" s="61">
        <v>15</v>
      </c>
      <c r="U154" s="80" t="s">
        <v>483</v>
      </c>
      <c r="W154" s="80" t="s">
        <v>39</v>
      </c>
      <c r="X154" s="80" t="s">
        <v>40</v>
      </c>
    </row>
    <row r="155" spans="2:24">
      <c r="B155" s="68" t="s">
        <v>484</v>
      </c>
      <c r="C155" s="68" t="s">
        <v>305</v>
      </c>
      <c r="D155" s="68"/>
      <c r="E155" s="68" t="s">
        <v>481</v>
      </c>
      <c r="F155" s="58">
        <v>2021</v>
      </c>
      <c r="G155" s="71">
        <f t="shared" ref="G155:N155" si="164">G149</f>
        <v>0.81</v>
      </c>
      <c r="H155" s="71"/>
      <c r="I155" s="71"/>
      <c r="J155" s="71">
        <f t="shared" si="164"/>
        <v>106.027397260274</v>
      </c>
      <c r="K155" s="71">
        <f t="shared" si="164"/>
        <v>4.9315068493150704</v>
      </c>
      <c r="L155" s="71">
        <f t="shared" si="164"/>
        <v>106.027397260274</v>
      </c>
      <c r="M155" s="71">
        <f t="shared" si="164"/>
        <v>4.9315068493150704</v>
      </c>
      <c r="N155" s="71">
        <f t="shared" si="164"/>
        <v>23</v>
      </c>
      <c r="O155" s="75">
        <v>31.54</v>
      </c>
      <c r="R155" s="61">
        <v>15</v>
      </c>
      <c r="U155" s="80" t="s">
        <v>484</v>
      </c>
      <c r="W155" s="80" t="s">
        <v>39</v>
      </c>
      <c r="X155" s="80" t="s">
        <v>40</v>
      </c>
    </row>
    <row r="156" spans="2:24">
      <c r="B156" s="68" t="s">
        <v>485</v>
      </c>
      <c r="C156" s="68" t="s">
        <v>307</v>
      </c>
      <c r="D156" s="68"/>
      <c r="E156" s="68" t="s">
        <v>481</v>
      </c>
      <c r="F156" s="58">
        <v>2021</v>
      </c>
      <c r="G156" s="71">
        <f t="shared" ref="G156:N156" si="165">G150</f>
        <v>0.98</v>
      </c>
      <c r="H156" s="71"/>
      <c r="I156" s="71"/>
      <c r="J156" s="71">
        <f t="shared" si="165"/>
        <v>72.424242424242394</v>
      </c>
      <c r="K156" s="71">
        <f t="shared" si="165"/>
        <v>0.78787878787878796</v>
      </c>
      <c r="L156" s="71">
        <f t="shared" si="165"/>
        <v>72.424242424242394</v>
      </c>
      <c r="M156" s="71">
        <f t="shared" si="165"/>
        <v>0.78787878787878796</v>
      </c>
      <c r="N156" s="71">
        <f t="shared" si="165"/>
        <v>15</v>
      </c>
      <c r="O156" s="75">
        <v>31.54</v>
      </c>
      <c r="R156" s="61">
        <v>15</v>
      </c>
      <c r="U156" s="80" t="s">
        <v>485</v>
      </c>
      <c r="W156" s="80" t="s">
        <v>39</v>
      </c>
      <c r="X156" s="80" t="s">
        <v>40</v>
      </c>
    </row>
    <row r="157" spans="2:24">
      <c r="B157" s="68" t="s">
        <v>486</v>
      </c>
      <c r="C157" s="68" t="s">
        <v>309</v>
      </c>
      <c r="D157" s="68"/>
      <c r="E157" s="68" t="s">
        <v>481</v>
      </c>
      <c r="F157" s="58">
        <v>2021</v>
      </c>
      <c r="G157" s="71">
        <f t="shared" ref="G157:N157" si="166">G151</f>
        <v>0.88</v>
      </c>
      <c r="H157" s="71"/>
      <c r="I157" s="71"/>
      <c r="J157" s="71">
        <f t="shared" si="166"/>
        <v>85.811935027958896</v>
      </c>
      <c r="K157" s="71">
        <f t="shared" si="166"/>
        <v>2.8065754674871202</v>
      </c>
      <c r="L157" s="71">
        <f t="shared" si="166"/>
        <v>85.811935027958896</v>
      </c>
      <c r="M157" s="71">
        <f t="shared" si="166"/>
        <v>2.8065754674871202</v>
      </c>
      <c r="N157" s="71">
        <f t="shared" si="166"/>
        <v>20.399999999999999</v>
      </c>
      <c r="O157" s="75">
        <v>31.54</v>
      </c>
      <c r="R157" s="61">
        <v>15</v>
      </c>
      <c r="U157" s="80" t="s">
        <v>486</v>
      </c>
      <c r="W157" s="80" t="s">
        <v>39</v>
      </c>
      <c r="X157" s="80" t="s">
        <v>40</v>
      </c>
    </row>
    <row r="158" spans="2:24">
      <c r="B158" s="68" t="s">
        <v>487</v>
      </c>
      <c r="C158" s="68" t="s">
        <v>258</v>
      </c>
      <c r="D158" s="68"/>
      <c r="E158" s="68" t="s">
        <v>488</v>
      </c>
      <c r="F158" s="58">
        <v>2021</v>
      </c>
      <c r="G158" s="71">
        <f>G152</f>
        <v>1</v>
      </c>
      <c r="H158" s="71"/>
      <c r="I158" s="71"/>
      <c r="J158" s="71">
        <f t="shared" ref="J158:N158" si="167">J152</f>
        <v>109.786117647059</v>
      </c>
      <c r="K158" s="71">
        <f t="shared" si="167"/>
        <v>0.64225882352941199</v>
      </c>
      <c r="L158" s="71">
        <f t="shared" si="167"/>
        <v>109.786117647059</v>
      </c>
      <c r="M158" s="71">
        <f t="shared" si="167"/>
        <v>0.64225882352941199</v>
      </c>
      <c r="N158" s="71">
        <f t="shared" si="167"/>
        <v>18</v>
      </c>
      <c r="O158" s="75">
        <v>31.54</v>
      </c>
      <c r="R158" s="61">
        <v>15</v>
      </c>
      <c r="U158" s="80" t="s">
        <v>487</v>
      </c>
      <c r="W158" s="80" t="s">
        <v>39</v>
      </c>
      <c r="X158" s="80" t="s">
        <v>40</v>
      </c>
    </row>
    <row r="159" spans="2:24">
      <c r="B159" s="68" t="s">
        <v>489</v>
      </c>
      <c r="C159" s="68" t="s">
        <v>301</v>
      </c>
      <c r="D159" s="68"/>
      <c r="E159" s="68" t="s">
        <v>488</v>
      </c>
      <c r="F159" s="58">
        <v>2021</v>
      </c>
      <c r="G159" s="71">
        <f t="shared" ref="G159" si="168">G153</f>
        <v>0.8</v>
      </c>
      <c r="H159" s="71"/>
      <c r="I159" s="71"/>
      <c r="J159" s="71">
        <f t="shared" ref="J159:N159" si="169">J153</f>
        <v>34.794520547945197</v>
      </c>
      <c r="K159" s="71">
        <f t="shared" si="169"/>
        <v>2.7397260273972601</v>
      </c>
      <c r="L159" s="71">
        <f t="shared" si="169"/>
        <v>34.794520547945197</v>
      </c>
      <c r="M159" s="71">
        <f t="shared" si="169"/>
        <v>2.7397260273972601</v>
      </c>
      <c r="N159" s="71">
        <f t="shared" si="169"/>
        <v>23</v>
      </c>
      <c r="O159" s="75">
        <v>31.54</v>
      </c>
      <c r="R159" s="61">
        <v>15</v>
      </c>
      <c r="U159" s="80" t="s">
        <v>489</v>
      </c>
      <c r="W159" s="80" t="s">
        <v>39</v>
      </c>
      <c r="X159" s="80" t="s">
        <v>40</v>
      </c>
    </row>
    <row r="160" spans="2:24">
      <c r="B160" s="68" t="s">
        <v>490</v>
      </c>
      <c r="C160" s="68" t="s">
        <v>303</v>
      </c>
      <c r="D160" s="68"/>
      <c r="E160" s="68" t="s">
        <v>488</v>
      </c>
      <c r="F160" s="58">
        <v>2021</v>
      </c>
      <c r="G160" s="71">
        <f t="shared" ref="G160" si="170">G154</f>
        <v>0.81</v>
      </c>
      <c r="H160" s="71"/>
      <c r="I160" s="71"/>
      <c r="J160" s="71">
        <f t="shared" ref="J160:N160" si="171">J154</f>
        <v>106.027397260274</v>
      </c>
      <c r="K160" s="71">
        <f t="shared" si="171"/>
        <v>4.9315068493150704</v>
      </c>
      <c r="L160" s="71">
        <f t="shared" si="171"/>
        <v>106.027397260274</v>
      </c>
      <c r="M160" s="71">
        <f t="shared" si="171"/>
        <v>4.9315068493150704</v>
      </c>
      <c r="N160" s="71">
        <f t="shared" si="171"/>
        <v>23</v>
      </c>
      <c r="O160" s="75">
        <v>31.54</v>
      </c>
      <c r="R160" s="61">
        <v>15</v>
      </c>
      <c r="U160" s="80" t="s">
        <v>490</v>
      </c>
      <c r="W160" s="80" t="s">
        <v>39</v>
      </c>
      <c r="X160" s="80" t="s">
        <v>40</v>
      </c>
    </row>
    <row r="161" spans="2:24">
      <c r="B161" s="68" t="s">
        <v>491</v>
      </c>
      <c r="C161" s="68" t="s">
        <v>305</v>
      </c>
      <c r="D161" s="68"/>
      <c r="E161" s="68" t="s">
        <v>488</v>
      </c>
      <c r="F161" s="58">
        <v>2021</v>
      </c>
      <c r="G161" s="71">
        <f t="shared" ref="G161" si="172">G155</f>
        <v>0.81</v>
      </c>
      <c r="H161" s="71"/>
      <c r="I161" s="71"/>
      <c r="J161" s="71">
        <f t="shared" ref="J161:N161" si="173">J155</f>
        <v>106.027397260274</v>
      </c>
      <c r="K161" s="71">
        <f t="shared" si="173"/>
        <v>4.9315068493150704</v>
      </c>
      <c r="L161" s="71">
        <f t="shared" si="173"/>
        <v>106.027397260274</v>
      </c>
      <c r="M161" s="71">
        <f t="shared" si="173"/>
        <v>4.9315068493150704</v>
      </c>
      <c r="N161" s="71">
        <f t="shared" si="173"/>
        <v>23</v>
      </c>
      <c r="O161" s="75">
        <v>31.54</v>
      </c>
      <c r="R161" s="61">
        <v>15</v>
      </c>
      <c r="U161" s="80" t="s">
        <v>491</v>
      </c>
      <c r="W161" s="80" t="s">
        <v>39</v>
      </c>
      <c r="X161" s="80" t="s">
        <v>40</v>
      </c>
    </row>
    <row r="162" spans="2:24">
      <c r="B162" s="68" t="s">
        <v>492</v>
      </c>
      <c r="C162" s="68" t="s">
        <v>307</v>
      </c>
      <c r="D162" s="68"/>
      <c r="E162" s="68" t="s">
        <v>488</v>
      </c>
      <c r="F162" s="58">
        <v>2021</v>
      </c>
      <c r="G162" s="71">
        <f t="shared" ref="G162" si="174">G156</f>
        <v>0.98</v>
      </c>
      <c r="H162" s="71"/>
      <c r="I162" s="71"/>
      <c r="J162" s="71">
        <f t="shared" ref="J162:N162" si="175">J156</f>
        <v>72.424242424242394</v>
      </c>
      <c r="K162" s="71">
        <f t="shared" si="175"/>
        <v>0.78787878787878796</v>
      </c>
      <c r="L162" s="71">
        <f t="shared" si="175"/>
        <v>72.424242424242394</v>
      </c>
      <c r="M162" s="71">
        <f t="shared" si="175"/>
        <v>0.78787878787878796</v>
      </c>
      <c r="N162" s="71">
        <f t="shared" si="175"/>
        <v>15</v>
      </c>
      <c r="O162" s="75">
        <v>31.54</v>
      </c>
      <c r="R162" s="61">
        <v>15</v>
      </c>
      <c r="U162" s="80" t="s">
        <v>492</v>
      </c>
      <c r="W162" s="80" t="s">
        <v>39</v>
      </c>
      <c r="X162" s="80" t="s">
        <v>40</v>
      </c>
    </row>
    <row r="163" spans="2:24">
      <c r="B163" s="68" t="s">
        <v>493</v>
      </c>
      <c r="C163" s="68" t="s">
        <v>309</v>
      </c>
      <c r="D163" s="68"/>
      <c r="E163" s="68" t="s">
        <v>488</v>
      </c>
      <c r="F163" s="58">
        <v>2021</v>
      </c>
      <c r="G163" s="71">
        <f t="shared" ref="G163:G164" si="176">G157</f>
        <v>0.88</v>
      </c>
      <c r="H163" s="71"/>
      <c r="I163" s="71"/>
      <c r="J163" s="71">
        <f t="shared" ref="J163:N163" si="177">J157</f>
        <v>85.811935027958896</v>
      </c>
      <c r="K163" s="71">
        <f t="shared" si="177"/>
        <v>2.8065754674871202</v>
      </c>
      <c r="L163" s="71">
        <f t="shared" si="177"/>
        <v>85.811935027958896</v>
      </c>
      <c r="M163" s="71">
        <f t="shared" si="177"/>
        <v>2.8065754674871202</v>
      </c>
      <c r="N163" s="71">
        <f t="shared" si="177"/>
        <v>20.399999999999999</v>
      </c>
      <c r="O163" s="75">
        <v>31.54</v>
      </c>
      <c r="R163" s="61">
        <v>15</v>
      </c>
      <c r="U163" s="80" t="s">
        <v>493</v>
      </c>
      <c r="W163" s="80" t="s">
        <v>39</v>
      </c>
      <c r="X163" s="80" t="s">
        <v>40</v>
      </c>
    </row>
    <row r="164" spans="2:24">
      <c r="B164" s="68" t="s">
        <v>494</v>
      </c>
      <c r="C164" s="68" t="s">
        <v>258</v>
      </c>
      <c r="D164" s="68"/>
      <c r="E164" s="68" t="s">
        <v>495</v>
      </c>
      <c r="F164" s="58">
        <v>2021</v>
      </c>
      <c r="G164" s="71">
        <f t="shared" si="176"/>
        <v>1</v>
      </c>
      <c r="H164" s="71"/>
      <c r="I164" s="71"/>
      <c r="J164" s="71">
        <f t="shared" ref="J164:N164" si="178">J158</f>
        <v>109.786117647059</v>
      </c>
      <c r="K164" s="71">
        <f t="shared" si="178"/>
        <v>0.64225882352941199</v>
      </c>
      <c r="L164" s="71">
        <f t="shared" si="178"/>
        <v>109.786117647059</v>
      </c>
      <c r="M164" s="71">
        <f t="shared" si="178"/>
        <v>0.64225882352941199</v>
      </c>
      <c r="N164" s="71">
        <f t="shared" si="178"/>
        <v>18</v>
      </c>
      <c r="O164" s="75">
        <v>31.54</v>
      </c>
      <c r="R164" s="61">
        <v>15</v>
      </c>
      <c r="U164" s="80" t="s">
        <v>494</v>
      </c>
      <c r="W164" s="80" t="s">
        <v>39</v>
      </c>
      <c r="X164" s="80" t="s">
        <v>40</v>
      </c>
    </row>
    <row r="165" spans="2:24">
      <c r="B165" s="68" t="s">
        <v>496</v>
      </c>
      <c r="C165" s="68" t="s">
        <v>301</v>
      </c>
      <c r="D165" s="68"/>
      <c r="E165" s="68" t="s">
        <v>495</v>
      </c>
      <c r="F165" s="58">
        <v>2021</v>
      </c>
      <c r="G165" s="71">
        <f t="shared" ref="G165" si="179">G159</f>
        <v>0.8</v>
      </c>
      <c r="H165" s="71"/>
      <c r="I165" s="71"/>
      <c r="J165" s="71">
        <f t="shared" ref="J165:N165" si="180">J159</f>
        <v>34.794520547945197</v>
      </c>
      <c r="K165" s="71">
        <f t="shared" si="180"/>
        <v>2.7397260273972601</v>
      </c>
      <c r="L165" s="71">
        <f t="shared" si="180"/>
        <v>34.794520547945197</v>
      </c>
      <c r="M165" s="71">
        <f t="shared" si="180"/>
        <v>2.7397260273972601</v>
      </c>
      <c r="N165" s="71">
        <f t="shared" si="180"/>
        <v>23</v>
      </c>
      <c r="O165" s="75">
        <v>31.54</v>
      </c>
      <c r="R165" s="61">
        <v>15</v>
      </c>
      <c r="U165" s="80" t="s">
        <v>496</v>
      </c>
      <c r="W165" s="80" t="s">
        <v>39</v>
      </c>
      <c r="X165" s="80" t="s">
        <v>40</v>
      </c>
    </row>
    <row r="166" spans="2:24">
      <c r="B166" s="68" t="s">
        <v>497</v>
      </c>
      <c r="C166" s="68" t="s">
        <v>303</v>
      </c>
      <c r="D166" s="68"/>
      <c r="E166" s="68" t="s">
        <v>495</v>
      </c>
      <c r="F166" s="58">
        <v>2021</v>
      </c>
      <c r="G166" s="71">
        <f t="shared" ref="G166" si="181">G160</f>
        <v>0.81</v>
      </c>
      <c r="H166" s="71"/>
      <c r="I166" s="71"/>
      <c r="J166" s="71">
        <f t="shared" ref="J166:N166" si="182">J160</f>
        <v>106.027397260274</v>
      </c>
      <c r="K166" s="71">
        <f t="shared" si="182"/>
        <v>4.9315068493150704</v>
      </c>
      <c r="L166" s="71">
        <f t="shared" si="182"/>
        <v>106.027397260274</v>
      </c>
      <c r="M166" s="71">
        <f t="shared" si="182"/>
        <v>4.9315068493150704</v>
      </c>
      <c r="N166" s="71">
        <f t="shared" si="182"/>
        <v>23</v>
      </c>
      <c r="O166" s="75">
        <v>31.54</v>
      </c>
      <c r="R166" s="61">
        <v>15</v>
      </c>
      <c r="U166" s="80" t="s">
        <v>497</v>
      </c>
      <c r="W166" s="80" t="s">
        <v>39</v>
      </c>
      <c r="X166" s="80" t="s">
        <v>40</v>
      </c>
    </row>
    <row r="167" spans="2:24">
      <c r="B167" s="68" t="s">
        <v>498</v>
      </c>
      <c r="C167" s="68" t="s">
        <v>305</v>
      </c>
      <c r="D167" s="68"/>
      <c r="E167" s="68" t="s">
        <v>495</v>
      </c>
      <c r="F167" s="58">
        <v>2021</v>
      </c>
      <c r="G167" s="71">
        <f t="shared" ref="G167" si="183">G161</f>
        <v>0.81</v>
      </c>
      <c r="H167" s="71"/>
      <c r="I167" s="71"/>
      <c r="J167" s="71">
        <f t="shared" ref="J167:N167" si="184">J161</f>
        <v>106.027397260274</v>
      </c>
      <c r="K167" s="71">
        <f t="shared" si="184"/>
        <v>4.9315068493150704</v>
      </c>
      <c r="L167" s="71">
        <f t="shared" si="184"/>
        <v>106.027397260274</v>
      </c>
      <c r="M167" s="71">
        <f t="shared" si="184"/>
        <v>4.9315068493150704</v>
      </c>
      <c r="N167" s="71">
        <f t="shared" si="184"/>
        <v>23</v>
      </c>
      <c r="O167" s="75">
        <v>31.54</v>
      </c>
      <c r="R167" s="61">
        <v>15</v>
      </c>
      <c r="U167" s="80" t="s">
        <v>498</v>
      </c>
      <c r="W167" s="80" t="s">
        <v>39</v>
      </c>
      <c r="X167" s="80" t="s">
        <v>40</v>
      </c>
    </row>
    <row r="168" spans="2:24">
      <c r="B168" s="68" t="s">
        <v>499</v>
      </c>
      <c r="C168" s="68" t="s">
        <v>307</v>
      </c>
      <c r="D168" s="68"/>
      <c r="E168" s="68" t="s">
        <v>495</v>
      </c>
      <c r="F168" s="58">
        <v>2021</v>
      </c>
      <c r="G168" s="71">
        <f t="shared" ref="G168" si="185">G162</f>
        <v>0.98</v>
      </c>
      <c r="H168" s="71"/>
      <c r="I168" s="71"/>
      <c r="J168" s="71">
        <f t="shared" ref="J168:N168" si="186">J162</f>
        <v>72.424242424242394</v>
      </c>
      <c r="K168" s="71">
        <f t="shared" si="186"/>
        <v>0.78787878787878796</v>
      </c>
      <c r="L168" s="71">
        <f t="shared" si="186"/>
        <v>72.424242424242394</v>
      </c>
      <c r="M168" s="71">
        <f t="shared" si="186"/>
        <v>0.78787878787878796</v>
      </c>
      <c r="N168" s="71">
        <f t="shared" si="186"/>
        <v>15</v>
      </c>
      <c r="O168" s="75">
        <v>31.54</v>
      </c>
      <c r="R168" s="61">
        <v>15</v>
      </c>
      <c r="U168" s="80" t="s">
        <v>499</v>
      </c>
      <c r="W168" s="80" t="s">
        <v>39</v>
      </c>
      <c r="X168" s="80" t="s">
        <v>40</v>
      </c>
    </row>
    <row r="169" spans="2:24">
      <c r="B169" s="68" t="s">
        <v>500</v>
      </c>
      <c r="C169" s="68" t="s">
        <v>309</v>
      </c>
      <c r="D169" s="68"/>
      <c r="E169" s="68" t="s">
        <v>495</v>
      </c>
      <c r="F169" s="58">
        <v>2021</v>
      </c>
      <c r="G169" s="71">
        <f t="shared" ref="G169:G170" si="187">G163</f>
        <v>0.88</v>
      </c>
      <c r="H169" s="71"/>
      <c r="I169" s="71"/>
      <c r="J169" s="71">
        <f t="shared" ref="J169:N169" si="188">J163</f>
        <v>85.811935027958896</v>
      </c>
      <c r="K169" s="71">
        <f t="shared" si="188"/>
        <v>2.8065754674871202</v>
      </c>
      <c r="L169" s="71">
        <f t="shared" si="188"/>
        <v>85.811935027958896</v>
      </c>
      <c r="M169" s="71">
        <f t="shared" si="188"/>
        <v>2.8065754674871202</v>
      </c>
      <c r="N169" s="71">
        <f t="shared" si="188"/>
        <v>20.399999999999999</v>
      </c>
      <c r="O169" s="75">
        <v>31.54</v>
      </c>
      <c r="R169" s="61">
        <v>15</v>
      </c>
      <c r="U169" s="80" t="s">
        <v>500</v>
      </c>
      <c r="W169" s="80" t="s">
        <v>39</v>
      </c>
      <c r="X169" s="80" t="s">
        <v>40</v>
      </c>
    </row>
    <row r="170" spans="2:24">
      <c r="B170" s="68" t="s">
        <v>501</v>
      </c>
      <c r="C170" s="68" t="s">
        <v>258</v>
      </c>
      <c r="D170" s="68"/>
      <c r="E170" s="68" t="s">
        <v>502</v>
      </c>
      <c r="F170" s="58">
        <v>2021</v>
      </c>
      <c r="G170" s="71">
        <f t="shared" si="187"/>
        <v>1</v>
      </c>
      <c r="H170" s="71"/>
      <c r="I170" s="71"/>
      <c r="J170" s="71">
        <f t="shared" ref="J170:N170" si="189">J164</f>
        <v>109.786117647059</v>
      </c>
      <c r="K170" s="71">
        <f t="shared" si="189"/>
        <v>0.64225882352941199</v>
      </c>
      <c r="L170" s="71">
        <f t="shared" si="189"/>
        <v>109.786117647059</v>
      </c>
      <c r="M170" s="71">
        <f t="shared" si="189"/>
        <v>0.64225882352941199</v>
      </c>
      <c r="N170" s="71">
        <f t="shared" si="189"/>
        <v>18</v>
      </c>
      <c r="O170" s="75">
        <v>31.54</v>
      </c>
      <c r="R170" s="61">
        <v>15</v>
      </c>
      <c r="U170" s="80" t="s">
        <v>501</v>
      </c>
      <c r="W170" s="80" t="s">
        <v>39</v>
      </c>
      <c r="X170" s="80" t="s">
        <v>40</v>
      </c>
    </row>
    <row r="171" spans="2:24">
      <c r="B171" s="68" t="s">
        <v>503</v>
      </c>
      <c r="C171" s="68" t="s">
        <v>301</v>
      </c>
      <c r="D171" s="68"/>
      <c r="E171" s="68" t="s">
        <v>502</v>
      </c>
      <c r="F171" s="58">
        <v>2021</v>
      </c>
      <c r="G171" s="71">
        <f t="shared" ref="G171" si="190">G165</f>
        <v>0.8</v>
      </c>
      <c r="H171" s="71"/>
      <c r="I171" s="71"/>
      <c r="J171" s="71">
        <f t="shared" ref="J171:N171" si="191">J165</f>
        <v>34.794520547945197</v>
      </c>
      <c r="K171" s="71">
        <f t="shared" si="191"/>
        <v>2.7397260273972601</v>
      </c>
      <c r="L171" s="71">
        <f t="shared" si="191"/>
        <v>34.794520547945197</v>
      </c>
      <c r="M171" s="71">
        <f t="shared" si="191"/>
        <v>2.7397260273972601</v>
      </c>
      <c r="N171" s="71">
        <f t="shared" si="191"/>
        <v>23</v>
      </c>
      <c r="O171" s="75">
        <v>31.54</v>
      </c>
      <c r="R171" s="61">
        <v>15</v>
      </c>
      <c r="U171" s="80" t="s">
        <v>503</v>
      </c>
      <c r="W171" s="80" t="s">
        <v>39</v>
      </c>
      <c r="X171" s="80" t="s">
        <v>40</v>
      </c>
    </row>
    <row r="172" spans="2:24">
      <c r="B172" s="68" t="s">
        <v>504</v>
      </c>
      <c r="C172" s="68" t="s">
        <v>303</v>
      </c>
      <c r="D172" s="68"/>
      <c r="E172" s="68" t="s">
        <v>502</v>
      </c>
      <c r="F172" s="58">
        <v>2021</v>
      </c>
      <c r="G172" s="71">
        <f t="shared" ref="G172" si="192">G166</f>
        <v>0.81</v>
      </c>
      <c r="H172" s="71"/>
      <c r="I172" s="71"/>
      <c r="J172" s="71">
        <f t="shared" ref="J172:N172" si="193">J166</f>
        <v>106.027397260274</v>
      </c>
      <c r="K172" s="71">
        <f t="shared" si="193"/>
        <v>4.9315068493150704</v>
      </c>
      <c r="L172" s="71">
        <f t="shared" si="193"/>
        <v>106.027397260274</v>
      </c>
      <c r="M172" s="71">
        <f t="shared" si="193"/>
        <v>4.9315068493150704</v>
      </c>
      <c r="N172" s="71">
        <f t="shared" si="193"/>
        <v>23</v>
      </c>
      <c r="O172" s="75">
        <v>31.54</v>
      </c>
      <c r="R172" s="61">
        <v>15</v>
      </c>
      <c r="U172" s="80" t="s">
        <v>504</v>
      </c>
      <c r="W172" s="80" t="s">
        <v>39</v>
      </c>
      <c r="X172" s="80" t="s">
        <v>40</v>
      </c>
    </row>
    <row r="173" spans="2:24">
      <c r="B173" s="68" t="s">
        <v>505</v>
      </c>
      <c r="C173" s="68" t="s">
        <v>305</v>
      </c>
      <c r="D173" s="68"/>
      <c r="E173" s="68" t="s">
        <v>502</v>
      </c>
      <c r="F173" s="58">
        <v>2021</v>
      </c>
      <c r="G173" s="71">
        <f t="shared" ref="G173" si="194">G167</f>
        <v>0.81</v>
      </c>
      <c r="H173" s="71"/>
      <c r="I173" s="71"/>
      <c r="J173" s="71">
        <f t="shared" ref="J173:N173" si="195">J167</f>
        <v>106.027397260274</v>
      </c>
      <c r="K173" s="71">
        <f t="shared" si="195"/>
        <v>4.9315068493150704</v>
      </c>
      <c r="L173" s="71">
        <f t="shared" si="195"/>
        <v>106.027397260274</v>
      </c>
      <c r="M173" s="71">
        <f t="shared" si="195"/>
        <v>4.9315068493150704</v>
      </c>
      <c r="N173" s="71">
        <f t="shared" si="195"/>
        <v>23</v>
      </c>
      <c r="O173" s="75">
        <v>31.54</v>
      </c>
      <c r="R173" s="61">
        <v>15</v>
      </c>
      <c r="U173" s="80" t="s">
        <v>505</v>
      </c>
      <c r="W173" s="80" t="s">
        <v>39</v>
      </c>
      <c r="X173" s="80" t="s">
        <v>40</v>
      </c>
    </row>
    <row r="174" spans="2:24">
      <c r="B174" s="68" t="s">
        <v>506</v>
      </c>
      <c r="C174" s="68" t="s">
        <v>307</v>
      </c>
      <c r="D174" s="68"/>
      <c r="E174" s="68" t="s">
        <v>502</v>
      </c>
      <c r="F174" s="58">
        <v>2021</v>
      </c>
      <c r="G174" s="71">
        <f t="shared" ref="G174" si="196">G168</f>
        <v>0.98</v>
      </c>
      <c r="H174" s="71"/>
      <c r="I174" s="71"/>
      <c r="J174" s="71">
        <f t="shared" ref="J174:N174" si="197">J168</f>
        <v>72.424242424242394</v>
      </c>
      <c r="K174" s="71">
        <f t="shared" si="197"/>
        <v>0.78787878787878796</v>
      </c>
      <c r="L174" s="71">
        <f t="shared" si="197"/>
        <v>72.424242424242394</v>
      </c>
      <c r="M174" s="71">
        <f t="shared" si="197"/>
        <v>0.78787878787878796</v>
      </c>
      <c r="N174" s="71">
        <f t="shared" si="197"/>
        <v>15</v>
      </c>
      <c r="O174" s="75">
        <v>31.54</v>
      </c>
      <c r="R174" s="61">
        <v>15</v>
      </c>
      <c r="U174" s="80" t="s">
        <v>506</v>
      </c>
      <c r="W174" s="80" t="s">
        <v>39</v>
      </c>
      <c r="X174" s="80" t="s">
        <v>40</v>
      </c>
    </row>
    <row r="175" spans="2:24">
      <c r="B175" s="68" t="s">
        <v>507</v>
      </c>
      <c r="C175" s="68" t="s">
        <v>309</v>
      </c>
      <c r="D175" s="68"/>
      <c r="E175" s="68" t="s">
        <v>502</v>
      </c>
      <c r="F175" s="58">
        <v>2021</v>
      </c>
      <c r="G175" s="71">
        <f t="shared" ref="G175:G176" si="198">G169</f>
        <v>0.88</v>
      </c>
      <c r="H175" s="71"/>
      <c r="I175" s="71"/>
      <c r="J175" s="71">
        <f t="shared" ref="J175:N175" si="199">J169</f>
        <v>85.811935027958896</v>
      </c>
      <c r="K175" s="71">
        <f t="shared" si="199"/>
        <v>2.8065754674871202</v>
      </c>
      <c r="L175" s="71">
        <f t="shared" si="199"/>
        <v>85.811935027958896</v>
      </c>
      <c r="M175" s="71">
        <f t="shared" si="199"/>
        <v>2.8065754674871202</v>
      </c>
      <c r="N175" s="71">
        <f t="shared" si="199"/>
        <v>20.399999999999999</v>
      </c>
      <c r="O175" s="75">
        <v>31.54</v>
      </c>
      <c r="R175" s="61">
        <v>15</v>
      </c>
      <c r="U175" s="80" t="s">
        <v>507</v>
      </c>
      <c r="W175" s="80" t="s">
        <v>39</v>
      </c>
      <c r="X175" s="80" t="s">
        <v>40</v>
      </c>
    </row>
    <row r="176" spans="2:24">
      <c r="B176" s="68" t="s">
        <v>508</v>
      </c>
      <c r="C176" s="68" t="s">
        <v>258</v>
      </c>
      <c r="D176" s="68"/>
      <c r="E176" s="68" t="s">
        <v>509</v>
      </c>
      <c r="F176" s="58">
        <v>2021</v>
      </c>
      <c r="G176" s="71">
        <f t="shared" si="198"/>
        <v>1</v>
      </c>
      <c r="H176" s="71"/>
      <c r="I176" s="71"/>
      <c r="J176" s="71">
        <f t="shared" ref="J176:N176" si="200">J170</f>
        <v>109.786117647059</v>
      </c>
      <c r="K176" s="71">
        <f t="shared" si="200"/>
        <v>0.64225882352941199</v>
      </c>
      <c r="L176" s="71">
        <f t="shared" si="200"/>
        <v>109.786117647059</v>
      </c>
      <c r="M176" s="71">
        <f t="shared" si="200"/>
        <v>0.64225882352941199</v>
      </c>
      <c r="N176" s="71">
        <f t="shared" si="200"/>
        <v>18</v>
      </c>
      <c r="O176" s="75">
        <v>31.54</v>
      </c>
      <c r="R176" s="61">
        <v>15</v>
      </c>
      <c r="U176" s="80" t="s">
        <v>508</v>
      </c>
      <c r="W176" s="80" t="s">
        <v>39</v>
      </c>
      <c r="X176" s="80" t="s">
        <v>40</v>
      </c>
    </row>
    <row r="177" spans="2:24">
      <c r="B177" s="68" t="s">
        <v>510</v>
      </c>
      <c r="C177" s="68" t="s">
        <v>301</v>
      </c>
      <c r="D177" s="68"/>
      <c r="E177" s="68" t="s">
        <v>509</v>
      </c>
      <c r="F177" s="58">
        <v>2021</v>
      </c>
      <c r="G177" s="71">
        <f t="shared" ref="G177" si="201">G171</f>
        <v>0.8</v>
      </c>
      <c r="H177" s="71"/>
      <c r="I177" s="71"/>
      <c r="J177" s="71">
        <f t="shared" ref="J177:N177" si="202">J171</f>
        <v>34.794520547945197</v>
      </c>
      <c r="K177" s="71">
        <f t="shared" si="202"/>
        <v>2.7397260273972601</v>
      </c>
      <c r="L177" s="71">
        <f t="shared" si="202"/>
        <v>34.794520547945197</v>
      </c>
      <c r="M177" s="71">
        <f t="shared" si="202"/>
        <v>2.7397260273972601</v>
      </c>
      <c r="N177" s="71">
        <f t="shared" si="202"/>
        <v>23</v>
      </c>
      <c r="O177" s="75">
        <v>31.54</v>
      </c>
      <c r="R177" s="61">
        <v>15</v>
      </c>
      <c r="U177" s="80" t="s">
        <v>510</v>
      </c>
      <c r="W177" s="80" t="s">
        <v>39</v>
      </c>
      <c r="X177" s="80" t="s">
        <v>40</v>
      </c>
    </row>
    <row r="178" spans="2:24">
      <c r="B178" s="68" t="s">
        <v>511</v>
      </c>
      <c r="C178" s="68" t="s">
        <v>303</v>
      </c>
      <c r="D178" s="68"/>
      <c r="E178" s="68" t="s">
        <v>509</v>
      </c>
      <c r="F178" s="58">
        <v>2021</v>
      </c>
      <c r="G178" s="71">
        <f t="shared" ref="G178" si="203">G172</f>
        <v>0.81</v>
      </c>
      <c r="H178" s="71"/>
      <c r="I178" s="71"/>
      <c r="J178" s="71">
        <f t="shared" ref="J178:N178" si="204">J172</f>
        <v>106.027397260274</v>
      </c>
      <c r="K178" s="71">
        <f t="shared" si="204"/>
        <v>4.9315068493150704</v>
      </c>
      <c r="L178" s="71">
        <f t="shared" si="204"/>
        <v>106.027397260274</v>
      </c>
      <c r="M178" s="71">
        <f t="shared" si="204"/>
        <v>4.9315068493150704</v>
      </c>
      <c r="N178" s="71">
        <f t="shared" si="204"/>
        <v>23</v>
      </c>
      <c r="O178" s="75">
        <v>31.54</v>
      </c>
      <c r="R178" s="61">
        <v>15</v>
      </c>
      <c r="U178" s="80" t="s">
        <v>511</v>
      </c>
      <c r="W178" s="80" t="s">
        <v>39</v>
      </c>
      <c r="X178" s="80" t="s">
        <v>40</v>
      </c>
    </row>
    <row r="179" spans="2:24">
      <c r="B179" s="68" t="s">
        <v>512</v>
      </c>
      <c r="C179" s="68" t="s">
        <v>305</v>
      </c>
      <c r="D179" s="68"/>
      <c r="E179" s="68" t="s">
        <v>509</v>
      </c>
      <c r="F179" s="58">
        <v>2021</v>
      </c>
      <c r="G179" s="71">
        <f t="shared" ref="G179" si="205">G173</f>
        <v>0.81</v>
      </c>
      <c r="H179" s="71"/>
      <c r="I179" s="71"/>
      <c r="J179" s="71">
        <f t="shared" ref="J179:N179" si="206">J173</f>
        <v>106.027397260274</v>
      </c>
      <c r="K179" s="71">
        <f t="shared" si="206"/>
        <v>4.9315068493150704</v>
      </c>
      <c r="L179" s="71">
        <f t="shared" si="206"/>
        <v>106.027397260274</v>
      </c>
      <c r="M179" s="71">
        <f t="shared" si="206"/>
        <v>4.9315068493150704</v>
      </c>
      <c r="N179" s="71">
        <f t="shared" si="206"/>
        <v>23</v>
      </c>
      <c r="O179" s="75">
        <v>31.54</v>
      </c>
      <c r="R179" s="61">
        <v>15</v>
      </c>
      <c r="U179" s="80" t="s">
        <v>512</v>
      </c>
      <c r="W179" s="80" t="s">
        <v>39</v>
      </c>
      <c r="X179" s="80" t="s">
        <v>40</v>
      </c>
    </row>
    <row r="180" spans="2:24">
      <c r="B180" s="68" t="s">
        <v>513</v>
      </c>
      <c r="C180" s="68" t="s">
        <v>307</v>
      </c>
      <c r="D180" s="68"/>
      <c r="E180" s="68" t="s">
        <v>509</v>
      </c>
      <c r="F180" s="58">
        <v>2021</v>
      </c>
      <c r="G180" s="71">
        <f t="shared" ref="G180" si="207">G174</f>
        <v>0.98</v>
      </c>
      <c r="H180" s="71"/>
      <c r="I180" s="71"/>
      <c r="J180" s="71">
        <f t="shared" ref="J180:N180" si="208">J174</f>
        <v>72.424242424242394</v>
      </c>
      <c r="K180" s="71">
        <f t="shared" si="208"/>
        <v>0.78787878787878796</v>
      </c>
      <c r="L180" s="71">
        <f t="shared" si="208"/>
        <v>72.424242424242394</v>
      </c>
      <c r="M180" s="71">
        <f t="shared" si="208"/>
        <v>0.78787878787878796</v>
      </c>
      <c r="N180" s="71">
        <f t="shared" si="208"/>
        <v>15</v>
      </c>
      <c r="O180" s="75">
        <v>31.54</v>
      </c>
      <c r="R180" s="61">
        <v>15</v>
      </c>
      <c r="U180" s="80" t="s">
        <v>513</v>
      </c>
      <c r="W180" s="80" t="s">
        <v>39</v>
      </c>
      <c r="X180" s="80" t="s">
        <v>40</v>
      </c>
    </row>
    <row r="181" spans="2:24">
      <c r="B181" s="68" t="s">
        <v>514</v>
      </c>
      <c r="C181" s="68" t="s">
        <v>309</v>
      </c>
      <c r="D181" s="68"/>
      <c r="E181" s="68" t="s">
        <v>509</v>
      </c>
      <c r="F181" s="58">
        <v>2021</v>
      </c>
      <c r="G181" s="71">
        <f t="shared" ref="G181:G182" si="209">G175</f>
        <v>0.88</v>
      </c>
      <c r="H181" s="71"/>
      <c r="I181" s="71"/>
      <c r="J181" s="71">
        <f t="shared" ref="J181:N181" si="210">J175</f>
        <v>85.811935027958896</v>
      </c>
      <c r="K181" s="71">
        <f t="shared" si="210"/>
        <v>2.8065754674871202</v>
      </c>
      <c r="L181" s="71">
        <f t="shared" si="210"/>
        <v>85.811935027958896</v>
      </c>
      <c r="M181" s="71">
        <f t="shared" si="210"/>
        <v>2.8065754674871202</v>
      </c>
      <c r="N181" s="71">
        <f t="shared" si="210"/>
        <v>20.399999999999999</v>
      </c>
      <c r="O181" s="75">
        <v>31.54</v>
      </c>
      <c r="R181" s="61">
        <v>15</v>
      </c>
      <c r="U181" s="80" t="s">
        <v>514</v>
      </c>
      <c r="W181" s="80" t="s">
        <v>39</v>
      </c>
      <c r="X181" s="80" t="s">
        <v>40</v>
      </c>
    </row>
    <row r="182" spans="2:24">
      <c r="B182" s="68" t="s">
        <v>515</v>
      </c>
      <c r="C182" s="68" t="s">
        <v>258</v>
      </c>
      <c r="D182" s="68"/>
      <c r="E182" s="68" t="s">
        <v>516</v>
      </c>
      <c r="F182" s="58">
        <v>2021</v>
      </c>
      <c r="G182" s="71">
        <f t="shared" si="209"/>
        <v>1</v>
      </c>
      <c r="H182" s="71"/>
      <c r="I182" s="71"/>
      <c r="J182" s="71">
        <f t="shared" ref="J182:N182" si="211">J176</f>
        <v>109.786117647059</v>
      </c>
      <c r="K182" s="71">
        <f t="shared" si="211"/>
        <v>0.64225882352941199</v>
      </c>
      <c r="L182" s="71">
        <f t="shared" si="211"/>
        <v>109.786117647059</v>
      </c>
      <c r="M182" s="71">
        <f t="shared" si="211"/>
        <v>0.64225882352941199</v>
      </c>
      <c r="N182" s="71">
        <f t="shared" si="211"/>
        <v>18</v>
      </c>
      <c r="O182" s="75">
        <v>31.54</v>
      </c>
      <c r="R182" s="61">
        <v>15</v>
      </c>
      <c r="U182" s="80" t="s">
        <v>515</v>
      </c>
      <c r="W182" s="80" t="s">
        <v>39</v>
      </c>
      <c r="X182" s="80" t="s">
        <v>40</v>
      </c>
    </row>
    <row r="183" spans="2:24">
      <c r="B183" s="68" t="s">
        <v>517</v>
      </c>
      <c r="C183" s="68" t="s">
        <v>301</v>
      </c>
      <c r="D183" s="68"/>
      <c r="E183" s="68" t="s">
        <v>516</v>
      </c>
      <c r="F183" s="58">
        <v>2021</v>
      </c>
      <c r="G183" s="71">
        <f t="shared" ref="G183" si="212">G177</f>
        <v>0.8</v>
      </c>
      <c r="H183" s="71"/>
      <c r="I183" s="71"/>
      <c r="J183" s="71">
        <f t="shared" ref="J183:N183" si="213">J177</f>
        <v>34.794520547945197</v>
      </c>
      <c r="K183" s="71">
        <f t="shared" si="213"/>
        <v>2.7397260273972601</v>
      </c>
      <c r="L183" s="71">
        <f t="shared" si="213"/>
        <v>34.794520547945197</v>
      </c>
      <c r="M183" s="71">
        <f t="shared" si="213"/>
        <v>2.7397260273972601</v>
      </c>
      <c r="N183" s="71">
        <f t="shared" si="213"/>
        <v>23</v>
      </c>
      <c r="O183" s="75">
        <v>31.54</v>
      </c>
      <c r="R183" s="61">
        <v>15</v>
      </c>
      <c r="U183" s="80" t="s">
        <v>517</v>
      </c>
      <c r="W183" s="80" t="s">
        <v>39</v>
      </c>
      <c r="X183" s="80" t="s">
        <v>40</v>
      </c>
    </row>
    <row r="184" spans="2:24">
      <c r="B184" s="68" t="s">
        <v>518</v>
      </c>
      <c r="C184" s="68" t="s">
        <v>303</v>
      </c>
      <c r="D184" s="68"/>
      <c r="E184" s="68" t="s">
        <v>516</v>
      </c>
      <c r="F184" s="58">
        <v>2021</v>
      </c>
      <c r="G184" s="71">
        <f t="shared" ref="G184" si="214">G178</f>
        <v>0.81</v>
      </c>
      <c r="H184" s="71"/>
      <c r="I184" s="71"/>
      <c r="J184" s="71">
        <f t="shared" ref="J184:N184" si="215">J178</f>
        <v>106.027397260274</v>
      </c>
      <c r="K184" s="71">
        <f t="shared" si="215"/>
        <v>4.9315068493150704</v>
      </c>
      <c r="L184" s="71">
        <f t="shared" si="215"/>
        <v>106.027397260274</v>
      </c>
      <c r="M184" s="71">
        <f t="shared" si="215"/>
        <v>4.9315068493150704</v>
      </c>
      <c r="N184" s="71">
        <f t="shared" si="215"/>
        <v>23</v>
      </c>
      <c r="O184" s="75">
        <v>31.54</v>
      </c>
      <c r="R184" s="61">
        <v>15</v>
      </c>
      <c r="U184" s="80" t="s">
        <v>518</v>
      </c>
      <c r="W184" s="80" t="s">
        <v>39</v>
      </c>
      <c r="X184" s="80" t="s">
        <v>40</v>
      </c>
    </row>
    <row r="185" spans="2:24">
      <c r="B185" s="68" t="s">
        <v>519</v>
      </c>
      <c r="C185" s="68" t="s">
        <v>305</v>
      </c>
      <c r="D185" s="68"/>
      <c r="E185" s="68" t="s">
        <v>516</v>
      </c>
      <c r="F185" s="58">
        <v>2021</v>
      </c>
      <c r="G185" s="71">
        <f t="shared" ref="G185" si="216">G179</f>
        <v>0.81</v>
      </c>
      <c r="H185" s="71"/>
      <c r="I185" s="71"/>
      <c r="J185" s="71">
        <f t="shared" ref="J185:N185" si="217">J179</f>
        <v>106.027397260274</v>
      </c>
      <c r="K185" s="71">
        <f t="shared" si="217"/>
        <v>4.9315068493150704</v>
      </c>
      <c r="L185" s="71">
        <f t="shared" si="217"/>
        <v>106.027397260274</v>
      </c>
      <c r="M185" s="71">
        <f t="shared" si="217"/>
        <v>4.9315068493150704</v>
      </c>
      <c r="N185" s="71">
        <f t="shared" si="217"/>
        <v>23</v>
      </c>
      <c r="O185" s="75">
        <v>31.54</v>
      </c>
      <c r="R185" s="61">
        <v>15</v>
      </c>
      <c r="U185" s="80" t="s">
        <v>519</v>
      </c>
      <c r="W185" s="80" t="s">
        <v>39</v>
      </c>
      <c r="X185" s="80" t="s">
        <v>40</v>
      </c>
    </row>
    <row r="186" spans="2:24">
      <c r="B186" s="68" t="s">
        <v>520</v>
      </c>
      <c r="C186" s="68" t="s">
        <v>307</v>
      </c>
      <c r="D186" s="68"/>
      <c r="E186" s="68" t="s">
        <v>516</v>
      </c>
      <c r="F186" s="58">
        <v>2021</v>
      </c>
      <c r="G186" s="71">
        <f t="shared" ref="G186" si="218">G180</f>
        <v>0.98</v>
      </c>
      <c r="H186" s="71"/>
      <c r="I186" s="71"/>
      <c r="J186" s="71">
        <f t="shared" ref="J186:N186" si="219">J180</f>
        <v>72.424242424242394</v>
      </c>
      <c r="K186" s="71">
        <f t="shared" si="219"/>
        <v>0.78787878787878796</v>
      </c>
      <c r="L186" s="71">
        <f t="shared" si="219"/>
        <v>72.424242424242394</v>
      </c>
      <c r="M186" s="71">
        <f t="shared" si="219"/>
        <v>0.78787878787878796</v>
      </c>
      <c r="N186" s="71">
        <f t="shared" si="219"/>
        <v>15</v>
      </c>
      <c r="O186" s="75">
        <v>31.54</v>
      </c>
      <c r="R186" s="61">
        <v>15</v>
      </c>
      <c r="U186" s="80" t="s">
        <v>520</v>
      </c>
      <c r="W186" s="80" t="s">
        <v>39</v>
      </c>
      <c r="X186" s="80" t="s">
        <v>40</v>
      </c>
    </row>
    <row r="187" spans="2:24">
      <c r="B187" s="68" t="s">
        <v>521</v>
      </c>
      <c r="C187" s="68" t="s">
        <v>309</v>
      </c>
      <c r="D187" s="68"/>
      <c r="E187" s="68" t="s">
        <v>516</v>
      </c>
      <c r="F187" s="58">
        <v>2021</v>
      </c>
      <c r="G187" s="71">
        <f t="shared" ref="G187:G188" si="220">G181</f>
        <v>0.88</v>
      </c>
      <c r="H187" s="71"/>
      <c r="I187" s="71"/>
      <c r="J187" s="71">
        <f t="shared" ref="J187:N187" si="221">J181</f>
        <v>85.811935027958896</v>
      </c>
      <c r="K187" s="71">
        <f t="shared" si="221"/>
        <v>2.8065754674871202</v>
      </c>
      <c r="L187" s="71">
        <f t="shared" si="221"/>
        <v>85.811935027958896</v>
      </c>
      <c r="M187" s="71">
        <f t="shared" si="221"/>
        <v>2.8065754674871202</v>
      </c>
      <c r="N187" s="71">
        <f t="shared" si="221"/>
        <v>20.399999999999999</v>
      </c>
      <c r="O187" s="75">
        <v>31.54</v>
      </c>
      <c r="R187" s="61">
        <v>15</v>
      </c>
      <c r="U187" s="80" t="s">
        <v>521</v>
      </c>
      <c r="W187" s="80" t="s">
        <v>39</v>
      </c>
      <c r="X187" s="80" t="s">
        <v>40</v>
      </c>
    </row>
    <row r="188" spans="2:24">
      <c r="B188" s="68" t="s">
        <v>522</v>
      </c>
      <c r="C188" s="68" t="s">
        <v>258</v>
      </c>
      <c r="D188" s="68"/>
      <c r="E188" s="68" t="s">
        <v>523</v>
      </c>
      <c r="F188" s="58">
        <v>2021</v>
      </c>
      <c r="G188" s="71">
        <f t="shared" si="220"/>
        <v>1</v>
      </c>
      <c r="H188" s="71"/>
      <c r="I188" s="71"/>
      <c r="J188" s="71">
        <f t="shared" ref="J188:N188" si="222">J182</f>
        <v>109.786117647059</v>
      </c>
      <c r="K188" s="71">
        <f t="shared" si="222"/>
        <v>0.64225882352941199</v>
      </c>
      <c r="L188" s="71">
        <f t="shared" si="222"/>
        <v>109.786117647059</v>
      </c>
      <c r="M188" s="71">
        <f t="shared" si="222"/>
        <v>0.64225882352941199</v>
      </c>
      <c r="N188" s="71">
        <f t="shared" si="222"/>
        <v>18</v>
      </c>
      <c r="O188" s="75">
        <v>31.54</v>
      </c>
      <c r="R188" s="61">
        <v>15</v>
      </c>
      <c r="U188" s="80" t="s">
        <v>522</v>
      </c>
      <c r="W188" s="80" t="s">
        <v>39</v>
      </c>
      <c r="X188" s="80" t="s">
        <v>40</v>
      </c>
    </row>
    <row r="189" spans="2:24">
      <c r="B189" s="68" t="s">
        <v>524</v>
      </c>
      <c r="C189" s="68" t="s">
        <v>301</v>
      </c>
      <c r="D189" s="68"/>
      <c r="E189" s="68" t="s">
        <v>523</v>
      </c>
      <c r="F189" s="58">
        <v>2021</v>
      </c>
      <c r="G189" s="71">
        <f t="shared" ref="G189" si="223">G183</f>
        <v>0.8</v>
      </c>
      <c r="H189" s="71"/>
      <c r="I189" s="71"/>
      <c r="J189" s="71">
        <f t="shared" ref="J189:N189" si="224">J183</f>
        <v>34.794520547945197</v>
      </c>
      <c r="K189" s="71">
        <f t="shared" si="224"/>
        <v>2.7397260273972601</v>
      </c>
      <c r="L189" s="71">
        <f t="shared" si="224"/>
        <v>34.794520547945197</v>
      </c>
      <c r="M189" s="71">
        <f t="shared" si="224"/>
        <v>2.7397260273972601</v>
      </c>
      <c r="N189" s="71">
        <f t="shared" si="224"/>
        <v>23</v>
      </c>
      <c r="O189" s="75">
        <v>31.54</v>
      </c>
      <c r="R189" s="61">
        <v>15</v>
      </c>
      <c r="U189" s="80" t="s">
        <v>524</v>
      </c>
      <c r="W189" s="80" t="s">
        <v>39</v>
      </c>
      <c r="X189" s="80" t="s">
        <v>40</v>
      </c>
    </row>
    <row r="190" spans="2:24">
      <c r="B190" s="68" t="s">
        <v>525</v>
      </c>
      <c r="C190" s="68" t="s">
        <v>303</v>
      </c>
      <c r="D190" s="68"/>
      <c r="E190" s="68" t="s">
        <v>523</v>
      </c>
      <c r="F190" s="58">
        <v>2021</v>
      </c>
      <c r="G190" s="71">
        <f t="shared" ref="G190" si="225">G184</f>
        <v>0.81</v>
      </c>
      <c r="H190" s="71"/>
      <c r="I190" s="71"/>
      <c r="J190" s="71">
        <f t="shared" ref="J190:N190" si="226">J184</f>
        <v>106.027397260274</v>
      </c>
      <c r="K190" s="71">
        <f t="shared" si="226"/>
        <v>4.9315068493150704</v>
      </c>
      <c r="L190" s="71">
        <f t="shared" si="226"/>
        <v>106.027397260274</v>
      </c>
      <c r="M190" s="71">
        <f t="shared" si="226"/>
        <v>4.9315068493150704</v>
      </c>
      <c r="N190" s="71">
        <f t="shared" si="226"/>
        <v>23</v>
      </c>
      <c r="O190" s="75">
        <v>31.54</v>
      </c>
      <c r="R190" s="61">
        <v>15</v>
      </c>
      <c r="U190" s="80" t="s">
        <v>525</v>
      </c>
      <c r="W190" s="80" t="s">
        <v>39</v>
      </c>
      <c r="X190" s="80" t="s">
        <v>40</v>
      </c>
    </row>
    <row r="191" spans="2:24">
      <c r="B191" s="68" t="s">
        <v>526</v>
      </c>
      <c r="C191" s="68" t="s">
        <v>305</v>
      </c>
      <c r="D191" s="68"/>
      <c r="E191" s="68" t="s">
        <v>523</v>
      </c>
      <c r="F191" s="58">
        <v>2021</v>
      </c>
      <c r="G191" s="71">
        <f t="shared" ref="G191" si="227">G185</f>
        <v>0.81</v>
      </c>
      <c r="H191" s="71"/>
      <c r="I191" s="71"/>
      <c r="J191" s="71">
        <f t="shared" ref="J191:N191" si="228">J185</f>
        <v>106.027397260274</v>
      </c>
      <c r="K191" s="71">
        <f t="shared" si="228"/>
        <v>4.9315068493150704</v>
      </c>
      <c r="L191" s="71">
        <f t="shared" si="228"/>
        <v>106.027397260274</v>
      </c>
      <c r="M191" s="71">
        <f t="shared" si="228"/>
        <v>4.9315068493150704</v>
      </c>
      <c r="N191" s="71">
        <f t="shared" si="228"/>
        <v>23</v>
      </c>
      <c r="O191" s="75">
        <v>31.54</v>
      </c>
      <c r="R191" s="61">
        <v>15</v>
      </c>
      <c r="U191" s="80" t="s">
        <v>526</v>
      </c>
      <c r="W191" s="80" t="s">
        <v>39</v>
      </c>
      <c r="X191" s="80" t="s">
        <v>40</v>
      </c>
    </row>
    <row r="192" spans="2:24">
      <c r="B192" s="68" t="s">
        <v>527</v>
      </c>
      <c r="C192" s="68" t="s">
        <v>307</v>
      </c>
      <c r="D192" s="68"/>
      <c r="E192" s="68" t="s">
        <v>523</v>
      </c>
      <c r="F192" s="58">
        <v>2021</v>
      </c>
      <c r="G192" s="71">
        <f t="shared" ref="G192" si="229">G186</f>
        <v>0.98</v>
      </c>
      <c r="H192" s="71"/>
      <c r="I192" s="71"/>
      <c r="J192" s="71">
        <f t="shared" ref="J192:N192" si="230">J186</f>
        <v>72.424242424242394</v>
      </c>
      <c r="K192" s="71">
        <f t="shared" si="230"/>
        <v>0.78787878787878796</v>
      </c>
      <c r="L192" s="71">
        <f t="shared" si="230"/>
        <v>72.424242424242394</v>
      </c>
      <c r="M192" s="71">
        <f t="shared" si="230"/>
        <v>0.78787878787878796</v>
      </c>
      <c r="N192" s="71">
        <f t="shared" si="230"/>
        <v>15</v>
      </c>
      <c r="O192" s="75">
        <v>31.54</v>
      </c>
      <c r="R192" s="61">
        <v>15</v>
      </c>
      <c r="U192" s="80" t="s">
        <v>527</v>
      </c>
      <c r="W192" s="80" t="s">
        <v>39</v>
      </c>
      <c r="X192" s="80" t="s">
        <v>40</v>
      </c>
    </row>
    <row r="193" spans="2:24">
      <c r="B193" s="68" t="s">
        <v>528</v>
      </c>
      <c r="C193" s="68" t="s">
        <v>309</v>
      </c>
      <c r="D193" s="68"/>
      <c r="E193" s="68" t="s">
        <v>523</v>
      </c>
      <c r="F193" s="58">
        <v>2021</v>
      </c>
      <c r="G193" s="71">
        <f t="shared" ref="G193:G194" si="231">G187</f>
        <v>0.88</v>
      </c>
      <c r="H193" s="71"/>
      <c r="I193" s="71"/>
      <c r="J193" s="71">
        <f t="shared" ref="J193:N193" si="232">J187</f>
        <v>85.811935027958896</v>
      </c>
      <c r="K193" s="71">
        <f t="shared" si="232"/>
        <v>2.8065754674871202</v>
      </c>
      <c r="L193" s="71">
        <f t="shared" si="232"/>
        <v>85.811935027958896</v>
      </c>
      <c r="M193" s="71">
        <f t="shared" si="232"/>
        <v>2.8065754674871202</v>
      </c>
      <c r="N193" s="71">
        <f t="shared" si="232"/>
        <v>20.399999999999999</v>
      </c>
      <c r="O193" s="75">
        <v>31.54</v>
      </c>
      <c r="R193" s="61">
        <v>15</v>
      </c>
      <c r="U193" s="80" t="s">
        <v>528</v>
      </c>
      <c r="W193" s="80" t="s">
        <v>39</v>
      </c>
      <c r="X193" s="80" t="s">
        <v>40</v>
      </c>
    </row>
    <row r="194" spans="2:24">
      <c r="B194" s="68" t="s">
        <v>529</v>
      </c>
      <c r="C194" s="68" t="s">
        <v>258</v>
      </c>
      <c r="D194" s="68"/>
      <c r="E194" s="68" t="s">
        <v>530</v>
      </c>
      <c r="F194" s="58">
        <v>2021</v>
      </c>
      <c r="G194" s="71">
        <f t="shared" si="231"/>
        <v>1</v>
      </c>
      <c r="H194" s="71"/>
      <c r="I194" s="71"/>
      <c r="J194" s="71">
        <f t="shared" ref="J194:N194" si="233">J188</f>
        <v>109.786117647059</v>
      </c>
      <c r="K194" s="71">
        <f t="shared" si="233"/>
        <v>0.64225882352941199</v>
      </c>
      <c r="L194" s="71">
        <f t="shared" si="233"/>
        <v>109.786117647059</v>
      </c>
      <c r="M194" s="71">
        <f t="shared" si="233"/>
        <v>0.64225882352941199</v>
      </c>
      <c r="N194" s="71">
        <f t="shared" si="233"/>
        <v>18</v>
      </c>
      <c r="O194" s="75">
        <v>31.54</v>
      </c>
      <c r="R194" s="61">
        <v>15</v>
      </c>
      <c r="U194" s="80" t="s">
        <v>529</v>
      </c>
      <c r="W194" s="80" t="s">
        <v>39</v>
      </c>
      <c r="X194" s="80" t="s">
        <v>40</v>
      </c>
    </row>
    <row r="195" spans="2:24">
      <c r="B195" s="68" t="s">
        <v>531</v>
      </c>
      <c r="C195" s="68" t="s">
        <v>301</v>
      </c>
      <c r="D195" s="68"/>
      <c r="E195" s="68" t="s">
        <v>530</v>
      </c>
      <c r="F195" s="58">
        <v>2021</v>
      </c>
      <c r="G195" s="71">
        <f t="shared" ref="G195" si="234">G189</f>
        <v>0.8</v>
      </c>
      <c r="H195" s="71"/>
      <c r="I195" s="71"/>
      <c r="J195" s="71">
        <f t="shared" ref="J195:N195" si="235">J189</f>
        <v>34.794520547945197</v>
      </c>
      <c r="K195" s="71">
        <f t="shared" si="235"/>
        <v>2.7397260273972601</v>
      </c>
      <c r="L195" s="71">
        <f t="shared" si="235"/>
        <v>34.794520547945197</v>
      </c>
      <c r="M195" s="71">
        <f t="shared" si="235"/>
        <v>2.7397260273972601</v>
      </c>
      <c r="N195" s="71">
        <f t="shared" si="235"/>
        <v>23</v>
      </c>
      <c r="O195" s="75">
        <v>31.54</v>
      </c>
      <c r="R195" s="61">
        <v>15</v>
      </c>
      <c r="U195" s="80" t="s">
        <v>531</v>
      </c>
      <c r="W195" s="80" t="s">
        <v>39</v>
      </c>
      <c r="X195" s="80" t="s">
        <v>40</v>
      </c>
    </row>
    <row r="196" spans="2:24">
      <c r="B196" s="68" t="s">
        <v>532</v>
      </c>
      <c r="C196" s="68" t="s">
        <v>303</v>
      </c>
      <c r="D196" s="68"/>
      <c r="E196" s="68" t="s">
        <v>530</v>
      </c>
      <c r="F196" s="58">
        <v>2021</v>
      </c>
      <c r="G196" s="71">
        <f t="shared" ref="G196" si="236">G190</f>
        <v>0.81</v>
      </c>
      <c r="H196" s="71"/>
      <c r="I196" s="71"/>
      <c r="J196" s="71">
        <f t="shared" ref="J196:N196" si="237">J190</f>
        <v>106.027397260274</v>
      </c>
      <c r="K196" s="71">
        <f t="shared" si="237"/>
        <v>4.9315068493150704</v>
      </c>
      <c r="L196" s="71">
        <f t="shared" si="237"/>
        <v>106.027397260274</v>
      </c>
      <c r="M196" s="71">
        <f t="shared" si="237"/>
        <v>4.9315068493150704</v>
      </c>
      <c r="N196" s="71">
        <f t="shared" si="237"/>
        <v>23</v>
      </c>
      <c r="O196" s="75">
        <v>31.54</v>
      </c>
      <c r="R196" s="61">
        <v>15</v>
      </c>
      <c r="U196" s="80" t="s">
        <v>532</v>
      </c>
      <c r="W196" s="80" t="s">
        <v>39</v>
      </c>
      <c r="X196" s="80" t="s">
        <v>40</v>
      </c>
    </row>
    <row r="197" spans="2:24">
      <c r="B197" s="68" t="s">
        <v>533</v>
      </c>
      <c r="C197" s="68" t="s">
        <v>305</v>
      </c>
      <c r="D197" s="68"/>
      <c r="E197" s="68" t="s">
        <v>530</v>
      </c>
      <c r="F197" s="58">
        <v>2021</v>
      </c>
      <c r="G197" s="71">
        <f t="shared" ref="G197" si="238">G191</f>
        <v>0.81</v>
      </c>
      <c r="H197" s="71"/>
      <c r="I197" s="71"/>
      <c r="J197" s="71">
        <f t="shared" ref="J197:N197" si="239">J191</f>
        <v>106.027397260274</v>
      </c>
      <c r="K197" s="71">
        <f t="shared" si="239"/>
        <v>4.9315068493150704</v>
      </c>
      <c r="L197" s="71">
        <f t="shared" si="239"/>
        <v>106.027397260274</v>
      </c>
      <c r="M197" s="71">
        <f t="shared" si="239"/>
        <v>4.9315068493150704</v>
      </c>
      <c r="N197" s="71">
        <f t="shared" si="239"/>
        <v>23</v>
      </c>
      <c r="O197" s="75">
        <v>31.54</v>
      </c>
      <c r="R197" s="61">
        <v>15</v>
      </c>
      <c r="U197" s="80" t="s">
        <v>533</v>
      </c>
      <c r="W197" s="80" t="s">
        <v>39</v>
      </c>
      <c r="X197" s="80" t="s">
        <v>40</v>
      </c>
    </row>
    <row r="198" spans="2:24">
      <c r="B198" s="68" t="s">
        <v>534</v>
      </c>
      <c r="C198" s="68" t="s">
        <v>307</v>
      </c>
      <c r="D198" s="68"/>
      <c r="E198" s="68" t="s">
        <v>530</v>
      </c>
      <c r="F198" s="58">
        <v>2021</v>
      </c>
      <c r="G198" s="71">
        <f t="shared" ref="G198" si="240">G192</f>
        <v>0.98</v>
      </c>
      <c r="H198" s="71"/>
      <c r="I198" s="71"/>
      <c r="J198" s="71">
        <f t="shared" ref="J198:N198" si="241">J192</f>
        <v>72.424242424242394</v>
      </c>
      <c r="K198" s="71">
        <f t="shared" si="241"/>
        <v>0.78787878787878796</v>
      </c>
      <c r="L198" s="71">
        <f t="shared" si="241"/>
        <v>72.424242424242394</v>
      </c>
      <c r="M198" s="71">
        <f t="shared" si="241"/>
        <v>0.78787878787878796</v>
      </c>
      <c r="N198" s="71">
        <f t="shared" si="241"/>
        <v>15</v>
      </c>
      <c r="O198" s="75">
        <v>31.54</v>
      </c>
      <c r="R198" s="61">
        <v>15</v>
      </c>
      <c r="U198" s="80" t="s">
        <v>534</v>
      </c>
      <c r="W198" s="80" t="s">
        <v>39</v>
      </c>
      <c r="X198" s="80" t="s">
        <v>40</v>
      </c>
    </row>
    <row r="199" spans="2:24">
      <c r="B199" s="68" t="s">
        <v>535</v>
      </c>
      <c r="C199" s="68" t="s">
        <v>309</v>
      </c>
      <c r="D199" s="68"/>
      <c r="E199" s="68" t="s">
        <v>530</v>
      </c>
      <c r="F199" s="58">
        <v>2021</v>
      </c>
      <c r="G199" s="71">
        <f t="shared" ref="G199:G200" si="242">G193</f>
        <v>0.88</v>
      </c>
      <c r="H199" s="71"/>
      <c r="I199" s="71"/>
      <c r="J199" s="71">
        <f t="shared" ref="J199:N199" si="243">J193</f>
        <v>85.811935027958896</v>
      </c>
      <c r="K199" s="71">
        <f t="shared" si="243"/>
        <v>2.8065754674871202</v>
      </c>
      <c r="L199" s="71">
        <f t="shared" si="243"/>
        <v>85.811935027958896</v>
      </c>
      <c r="M199" s="71">
        <f t="shared" si="243"/>
        <v>2.8065754674871202</v>
      </c>
      <c r="N199" s="71">
        <f t="shared" si="243"/>
        <v>20.399999999999999</v>
      </c>
      <c r="O199" s="75">
        <v>31.54</v>
      </c>
      <c r="R199" s="61">
        <v>15</v>
      </c>
      <c r="U199" s="80" t="s">
        <v>535</v>
      </c>
      <c r="W199" s="80" t="s">
        <v>39</v>
      </c>
      <c r="X199" s="80" t="s">
        <v>40</v>
      </c>
    </row>
    <row r="200" spans="2:24">
      <c r="B200" s="68" t="s">
        <v>536</v>
      </c>
      <c r="C200" s="68" t="s">
        <v>258</v>
      </c>
      <c r="D200" s="68"/>
      <c r="E200" s="68" t="s">
        <v>537</v>
      </c>
      <c r="F200" s="58">
        <v>2021</v>
      </c>
      <c r="G200" s="71">
        <f t="shared" si="242"/>
        <v>1</v>
      </c>
      <c r="H200" s="71"/>
      <c r="I200" s="71"/>
      <c r="J200" s="71">
        <f t="shared" ref="J200:N200" si="244">J194</f>
        <v>109.786117647059</v>
      </c>
      <c r="K200" s="71">
        <f t="shared" si="244"/>
        <v>0.64225882352941199</v>
      </c>
      <c r="L200" s="71">
        <f t="shared" si="244"/>
        <v>109.786117647059</v>
      </c>
      <c r="M200" s="71">
        <f t="shared" si="244"/>
        <v>0.64225882352941199</v>
      </c>
      <c r="N200" s="71">
        <f t="shared" si="244"/>
        <v>18</v>
      </c>
      <c r="O200" s="75">
        <v>31.54</v>
      </c>
      <c r="R200" s="61">
        <v>15</v>
      </c>
      <c r="U200" s="80" t="s">
        <v>536</v>
      </c>
      <c r="W200" s="80" t="s">
        <v>39</v>
      </c>
      <c r="X200" s="80" t="s">
        <v>40</v>
      </c>
    </row>
    <row r="201" spans="2:24">
      <c r="B201" s="68" t="s">
        <v>538</v>
      </c>
      <c r="C201" s="68" t="s">
        <v>301</v>
      </c>
      <c r="D201" s="68"/>
      <c r="E201" s="68" t="s">
        <v>537</v>
      </c>
      <c r="F201" s="58">
        <v>2021</v>
      </c>
      <c r="G201" s="71">
        <f t="shared" ref="G201" si="245">G195</f>
        <v>0.8</v>
      </c>
      <c r="H201" s="71"/>
      <c r="I201" s="71"/>
      <c r="J201" s="71">
        <f t="shared" ref="J201:N201" si="246">J195</f>
        <v>34.794520547945197</v>
      </c>
      <c r="K201" s="71">
        <f t="shared" si="246"/>
        <v>2.7397260273972601</v>
      </c>
      <c r="L201" s="71">
        <f t="shared" si="246"/>
        <v>34.794520547945197</v>
      </c>
      <c r="M201" s="71">
        <f t="shared" si="246"/>
        <v>2.7397260273972601</v>
      </c>
      <c r="N201" s="71">
        <f t="shared" si="246"/>
        <v>23</v>
      </c>
      <c r="O201" s="75">
        <v>31.54</v>
      </c>
      <c r="R201" s="61">
        <v>15</v>
      </c>
      <c r="U201" s="80" t="s">
        <v>538</v>
      </c>
      <c r="W201" s="80" t="s">
        <v>39</v>
      </c>
      <c r="X201" s="80" t="s">
        <v>40</v>
      </c>
    </row>
    <row r="202" spans="2:24">
      <c r="B202" s="68" t="s">
        <v>539</v>
      </c>
      <c r="C202" s="68" t="s">
        <v>303</v>
      </c>
      <c r="D202" s="68"/>
      <c r="E202" s="68" t="s">
        <v>537</v>
      </c>
      <c r="F202" s="58">
        <v>2021</v>
      </c>
      <c r="G202" s="71">
        <f t="shared" ref="G202" si="247">G196</f>
        <v>0.81</v>
      </c>
      <c r="H202" s="71"/>
      <c r="I202" s="71"/>
      <c r="J202" s="71">
        <f t="shared" ref="J202:N202" si="248">J196</f>
        <v>106.027397260274</v>
      </c>
      <c r="K202" s="71">
        <f t="shared" si="248"/>
        <v>4.9315068493150704</v>
      </c>
      <c r="L202" s="71">
        <f t="shared" si="248"/>
        <v>106.027397260274</v>
      </c>
      <c r="M202" s="71">
        <f t="shared" si="248"/>
        <v>4.9315068493150704</v>
      </c>
      <c r="N202" s="71">
        <f t="shared" si="248"/>
        <v>23</v>
      </c>
      <c r="O202" s="75">
        <v>31.54</v>
      </c>
      <c r="R202" s="61">
        <v>15</v>
      </c>
      <c r="U202" s="80" t="s">
        <v>539</v>
      </c>
      <c r="W202" s="80" t="s">
        <v>39</v>
      </c>
      <c r="X202" s="80" t="s">
        <v>40</v>
      </c>
    </row>
    <row r="203" spans="2:24">
      <c r="B203" s="68" t="s">
        <v>540</v>
      </c>
      <c r="C203" s="68" t="s">
        <v>305</v>
      </c>
      <c r="D203" s="68"/>
      <c r="E203" s="68" t="s">
        <v>537</v>
      </c>
      <c r="F203" s="58">
        <v>2021</v>
      </c>
      <c r="G203" s="71">
        <f t="shared" ref="G203" si="249">G197</f>
        <v>0.81</v>
      </c>
      <c r="H203" s="71"/>
      <c r="I203" s="71"/>
      <c r="J203" s="71">
        <f t="shared" ref="J203:N203" si="250">J197</f>
        <v>106.027397260274</v>
      </c>
      <c r="K203" s="71">
        <f t="shared" si="250"/>
        <v>4.9315068493150704</v>
      </c>
      <c r="L203" s="71">
        <f t="shared" si="250"/>
        <v>106.027397260274</v>
      </c>
      <c r="M203" s="71">
        <f t="shared" si="250"/>
        <v>4.9315068493150704</v>
      </c>
      <c r="N203" s="71">
        <f t="shared" si="250"/>
        <v>23</v>
      </c>
      <c r="O203" s="75">
        <v>31.54</v>
      </c>
      <c r="R203" s="61">
        <v>15</v>
      </c>
      <c r="U203" s="80" t="s">
        <v>540</v>
      </c>
      <c r="W203" s="80" t="s">
        <v>39</v>
      </c>
      <c r="X203" s="80" t="s">
        <v>40</v>
      </c>
    </row>
    <row r="204" spans="2:24">
      <c r="B204" s="68" t="s">
        <v>541</v>
      </c>
      <c r="C204" s="68" t="s">
        <v>307</v>
      </c>
      <c r="D204" s="68"/>
      <c r="E204" s="68" t="s">
        <v>537</v>
      </c>
      <c r="F204" s="58">
        <v>2021</v>
      </c>
      <c r="G204" s="71">
        <f t="shared" ref="G204" si="251">G198</f>
        <v>0.98</v>
      </c>
      <c r="H204" s="71"/>
      <c r="I204" s="71"/>
      <c r="J204" s="71">
        <f t="shared" ref="J204:N204" si="252">J198</f>
        <v>72.424242424242394</v>
      </c>
      <c r="K204" s="71">
        <f t="shared" si="252"/>
        <v>0.78787878787878796</v>
      </c>
      <c r="L204" s="71">
        <f t="shared" si="252"/>
        <v>72.424242424242394</v>
      </c>
      <c r="M204" s="71">
        <f t="shared" si="252"/>
        <v>0.78787878787878796</v>
      </c>
      <c r="N204" s="71">
        <f t="shared" si="252"/>
        <v>15</v>
      </c>
      <c r="O204" s="75">
        <v>31.54</v>
      </c>
      <c r="R204" s="61">
        <v>15</v>
      </c>
      <c r="U204" s="80" t="s">
        <v>541</v>
      </c>
      <c r="W204" s="80" t="s">
        <v>39</v>
      </c>
      <c r="X204" s="80" t="s">
        <v>40</v>
      </c>
    </row>
    <row r="205" spans="2:24">
      <c r="B205" s="68" t="s">
        <v>542</v>
      </c>
      <c r="C205" s="68" t="s">
        <v>309</v>
      </c>
      <c r="D205" s="68"/>
      <c r="E205" s="68" t="s">
        <v>537</v>
      </c>
      <c r="F205" s="58">
        <v>2021</v>
      </c>
      <c r="G205" s="71">
        <f t="shared" ref="G205" si="253">G199</f>
        <v>0.88</v>
      </c>
      <c r="H205" s="71"/>
      <c r="I205" s="71"/>
      <c r="J205" s="71">
        <f t="shared" ref="J205:N205" si="254">J199</f>
        <v>85.811935027958896</v>
      </c>
      <c r="K205" s="71">
        <f t="shared" si="254"/>
        <v>2.8065754674871202</v>
      </c>
      <c r="L205" s="71">
        <f t="shared" si="254"/>
        <v>85.811935027958896</v>
      </c>
      <c r="M205" s="71">
        <f t="shared" si="254"/>
        <v>2.8065754674871202</v>
      </c>
      <c r="N205" s="71">
        <f t="shared" si="254"/>
        <v>20.399999999999999</v>
      </c>
      <c r="O205" s="75">
        <v>31.54</v>
      </c>
      <c r="R205" s="61">
        <v>15</v>
      </c>
      <c r="U205" s="80" t="s">
        <v>542</v>
      </c>
      <c r="W205" s="80" t="s">
        <v>39</v>
      </c>
      <c r="X205" s="80" t="s">
        <v>40</v>
      </c>
    </row>
    <row r="206" spans="2:24">
      <c r="B206" s="68" t="s">
        <v>543</v>
      </c>
      <c r="C206" s="68" t="s">
        <v>258</v>
      </c>
      <c r="D206" s="68"/>
      <c r="E206" s="68" t="s">
        <v>409</v>
      </c>
      <c r="F206" s="58">
        <v>2021</v>
      </c>
      <c r="G206" s="71">
        <f>3.8</f>
        <v>3.8</v>
      </c>
      <c r="H206" s="71"/>
      <c r="I206" s="71"/>
      <c r="J206" s="71">
        <f>11870/(90/3.412)</f>
        <v>450.00488888888901</v>
      </c>
      <c r="K206" s="71">
        <f>370/(90/3.412)</f>
        <v>14.0271111111111</v>
      </c>
      <c r="L206" s="71">
        <f t="shared" si="156"/>
        <v>450.00488888888901</v>
      </c>
      <c r="M206" s="71">
        <f t="shared" si="157"/>
        <v>14.0271111111111</v>
      </c>
      <c r="N206" s="71">
        <v>21</v>
      </c>
      <c r="O206" s="75">
        <v>31.54</v>
      </c>
      <c r="R206" s="61">
        <v>10</v>
      </c>
      <c r="U206" s="80" t="s">
        <v>543</v>
      </c>
      <c r="W206" s="80" t="s">
        <v>39</v>
      </c>
      <c r="X206" s="80" t="s">
        <v>40</v>
      </c>
    </row>
    <row r="207" spans="2:24">
      <c r="B207" s="68" t="s">
        <v>544</v>
      </c>
      <c r="C207" s="68" t="s">
        <v>301</v>
      </c>
      <c r="D207" s="68"/>
      <c r="E207" s="68" t="s">
        <v>409</v>
      </c>
      <c r="F207" s="58">
        <v>2021</v>
      </c>
      <c r="G207" s="71">
        <v>1.2</v>
      </c>
      <c r="H207" s="71"/>
      <c r="I207" s="71"/>
      <c r="J207" s="71">
        <f>4110/3.517*1</f>
        <v>1168.6096104634601</v>
      </c>
      <c r="K207" s="71">
        <f>70/(11*3.517)</f>
        <v>1.8093933362628301</v>
      </c>
      <c r="L207" s="71">
        <f t="shared" si="156"/>
        <v>1168.6096104634601</v>
      </c>
      <c r="M207" s="71">
        <f t="shared" si="157"/>
        <v>1.8093933362628301</v>
      </c>
      <c r="N207" s="71">
        <v>15</v>
      </c>
      <c r="O207" s="75">
        <v>31.54</v>
      </c>
      <c r="R207" s="61">
        <v>10</v>
      </c>
      <c r="U207" s="80" t="s">
        <v>544</v>
      </c>
      <c r="W207" s="80" t="s">
        <v>39</v>
      </c>
      <c r="X207" s="80" t="s">
        <v>40</v>
      </c>
    </row>
    <row r="208" spans="2:24">
      <c r="B208" s="68" t="s">
        <v>545</v>
      </c>
      <c r="C208" s="68" t="s">
        <v>258</v>
      </c>
      <c r="D208" s="68"/>
      <c r="E208" s="68" t="s">
        <v>413</v>
      </c>
      <c r="F208" s="58">
        <v>2021</v>
      </c>
      <c r="G208" s="92">
        <f>G206</f>
        <v>3.8</v>
      </c>
      <c r="H208" s="92"/>
      <c r="I208" s="92"/>
      <c r="J208" s="92">
        <f t="shared" ref="J208:N209" si="255">J206</f>
        <v>450.00488888888901</v>
      </c>
      <c r="K208" s="92">
        <f t="shared" si="255"/>
        <v>14.0271111111111</v>
      </c>
      <c r="L208" s="92">
        <f t="shared" si="255"/>
        <v>450.00488888888901</v>
      </c>
      <c r="M208" s="92">
        <f t="shared" si="255"/>
        <v>14.0271111111111</v>
      </c>
      <c r="N208" s="92">
        <f t="shared" si="255"/>
        <v>21</v>
      </c>
      <c r="O208" s="75">
        <v>31.54</v>
      </c>
      <c r="R208" s="61">
        <v>10</v>
      </c>
      <c r="U208" s="80" t="s">
        <v>545</v>
      </c>
      <c r="W208" s="80" t="s">
        <v>39</v>
      </c>
      <c r="X208" s="80" t="s">
        <v>40</v>
      </c>
    </row>
    <row r="209" spans="2:24">
      <c r="B209" s="68" t="s">
        <v>546</v>
      </c>
      <c r="C209" s="68" t="s">
        <v>301</v>
      </c>
      <c r="D209" s="68"/>
      <c r="E209" s="68" t="s">
        <v>413</v>
      </c>
      <c r="F209" s="58">
        <v>2021</v>
      </c>
      <c r="G209" s="92">
        <f>G207</f>
        <v>1.2</v>
      </c>
      <c r="H209" s="92"/>
      <c r="I209" s="92"/>
      <c r="J209" s="92">
        <f t="shared" si="255"/>
        <v>1168.6096104634601</v>
      </c>
      <c r="K209" s="92">
        <f t="shared" si="255"/>
        <v>1.8093933362628301</v>
      </c>
      <c r="L209" s="92">
        <f t="shared" si="255"/>
        <v>1168.6096104634601</v>
      </c>
      <c r="M209" s="92">
        <f t="shared" si="255"/>
        <v>1.8093933362628301</v>
      </c>
      <c r="N209" s="92">
        <f t="shared" si="255"/>
        <v>15</v>
      </c>
      <c r="O209" s="75">
        <v>31.54</v>
      </c>
      <c r="R209" s="61">
        <v>10</v>
      </c>
      <c r="U209" s="80" t="s">
        <v>546</v>
      </c>
      <c r="W209" s="80" t="s">
        <v>39</v>
      </c>
      <c r="X209" s="80" t="s">
        <v>40</v>
      </c>
    </row>
    <row r="210" spans="2:24">
      <c r="B210" s="68" t="s">
        <v>547</v>
      </c>
      <c r="C210" s="68" t="s">
        <v>258</v>
      </c>
      <c r="D210" s="68"/>
      <c r="E210" s="68" t="s">
        <v>418</v>
      </c>
      <c r="F210" s="58">
        <v>2021</v>
      </c>
      <c r="G210" s="92">
        <f>G208</f>
        <v>3.8</v>
      </c>
      <c r="H210" s="92"/>
      <c r="I210" s="92"/>
      <c r="J210" s="92">
        <f t="shared" ref="J210:N210" si="256">J208</f>
        <v>450.00488888888901</v>
      </c>
      <c r="K210" s="92">
        <f t="shared" si="256"/>
        <v>14.0271111111111</v>
      </c>
      <c r="L210" s="92">
        <f t="shared" si="256"/>
        <v>450.00488888888901</v>
      </c>
      <c r="M210" s="92">
        <f t="shared" si="256"/>
        <v>14.0271111111111</v>
      </c>
      <c r="N210" s="92">
        <f t="shared" si="256"/>
        <v>21</v>
      </c>
      <c r="O210" s="75">
        <v>31.54</v>
      </c>
      <c r="R210" s="61">
        <v>10</v>
      </c>
      <c r="U210" s="80" t="s">
        <v>547</v>
      </c>
      <c r="W210" s="80" t="s">
        <v>39</v>
      </c>
      <c r="X210" s="80" t="s">
        <v>40</v>
      </c>
    </row>
    <row r="211" spans="2:24">
      <c r="B211" s="68" t="s">
        <v>548</v>
      </c>
      <c r="C211" s="68" t="s">
        <v>301</v>
      </c>
      <c r="D211" s="68"/>
      <c r="E211" s="68" t="s">
        <v>418</v>
      </c>
      <c r="F211" s="58">
        <v>2021</v>
      </c>
      <c r="G211" s="92">
        <f>G209</f>
        <v>1.2</v>
      </c>
      <c r="H211" s="92"/>
      <c r="I211" s="92"/>
      <c r="J211" s="92">
        <f t="shared" ref="J211:N211" si="257">J209</f>
        <v>1168.6096104634601</v>
      </c>
      <c r="K211" s="92">
        <f t="shared" si="257"/>
        <v>1.8093933362628301</v>
      </c>
      <c r="L211" s="92">
        <f t="shared" si="257"/>
        <v>1168.6096104634601</v>
      </c>
      <c r="M211" s="92">
        <f t="shared" si="257"/>
        <v>1.8093933362628301</v>
      </c>
      <c r="N211" s="92">
        <f t="shared" si="257"/>
        <v>15</v>
      </c>
      <c r="O211" s="75">
        <v>31.54</v>
      </c>
      <c r="R211" s="61">
        <v>10</v>
      </c>
      <c r="U211" s="80" t="s">
        <v>548</v>
      </c>
      <c r="W211" s="80" t="s">
        <v>39</v>
      </c>
      <c r="X211" s="80" t="s">
        <v>40</v>
      </c>
    </row>
    <row r="212" spans="2:24">
      <c r="B212" s="68" t="s">
        <v>549</v>
      </c>
      <c r="C212" s="68" t="s">
        <v>258</v>
      </c>
      <c r="D212" s="68"/>
      <c r="E212" s="68" t="s">
        <v>422</v>
      </c>
      <c r="F212" s="58">
        <v>2021</v>
      </c>
      <c r="G212" s="92">
        <f t="shared" ref="G212:G225" si="258">G210</f>
        <v>3.8</v>
      </c>
      <c r="H212" s="92"/>
      <c r="I212" s="92"/>
      <c r="J212" s="92">
        <f t="shared" ref="J212:N212" si="259">J210</f>
        <v>450.00488888888901</v>
      </c>
      <c r="K212" s="92">
        <f t="shared" si="259"/>
        <v>14.0271111111111</v>
      </c>
      <c r="L212" s="92">
        <f t="shared" si="259"/>
        <v>450.00488888888901</v>
      </c>
      <c r="M212" s="92">
        <f t="shared" si="259"/>
        <v>14.0271111111111</v>
      </c>
      <c r="N212" s="92">
        <f t="shared" si="259"/>
        <v>21</v>
      </c>
      <c r="O212" s="75">
        <v>31.54</v>
      </c>
      <c r="R212" s="61">
        <v>10</v>
      </c>
      <c r="U212" s="80" t="s">
        <v>549</v>
      </c>
      <c r="W212" s="80" t="s">
        <v>39</v>
      </c>
      <c r="X212" s="80" t="s">
        <v>40</v>
      </c>
    </row>
    <row r="213" spans="2:24">
      <c r="B213" s="68" t="s">
        <v>550</v>
      </c>
      <c r="C213" s="68" t="s">
        <v>301</v>
      </c>
      <c r="D213" s="68"/>
      <c r="E213" s="68" t="s">
        <v>422</v>
      </c>
      <c r="F213" s="58">
        <v>2021</v>
      </c>
      <c r="G213" s="92">
        <f t="shared" si="258"/>
        <v>1.2</v>
      </c>
      <c r="H213" s="92"/>
      <c r="I213" s="92"/>
      <c r="J213" s="92">
        <f t="shared" ref="J213:N213" si="260">J211</f>
        <v>1168.6096104634601</v>
      </c>
      <c r="K213" s="92">
        <f t="shared" si="260"/>
        <v>1.8093933362628301</v>
      </c>
      <c r="L213" s="92">
        <f t="shared" si="260"/>
        <v>1168.6096104634601</v>
      </c>
      <c r="M213" s="92">
        <f t="shared" si="260"/>
        <v>1.8093933362628301</v>
      </c>
      <c r="N213" s="92">
        <f t="shared" si="260"/>
        <v>15</v>
      </c>
      <c r="O213" s="75">
        <v>31.54</v>
      </c>
      <c r="R213" s="61">
        <v>10</v>
      </c>
      <c r="U213" s="80" t="s">
        <v>550</v>
      </c>
      <c r="W213" s="80" t="s">
        <v>39</v>
      </c>
      <c r="X213" s="80" t="s">
        <v>40</v>
      </c>
    </row>
    <row r="214" spans="2:24">
      <c r="B214" s="68" t="s">
        <v>551</v>
      </c>
      <c r="C214" s="68" t="s">
        <v>258</v>
      </c>
      <c r="D214" s="68"/>
      <c r="E214" s="68" t="s">
        <v>426</v>
      </c>
      <c r="F214" s="58">
        <v>2021</v>
      </c>
      <c r="G214" s="92">
        <f t="shared" si="258"/>
        <v>3.8</v>
      </c>
      <c r="H214" s="92"/>
      <c r="I214" s="92"/>
      <c r="J214" s="92">
        <f t="shared" ref="J214:N214" si="261">J212</f>
        <v>450.00488888888901</v>
      </c>
      <c r="K214" s="92">
        <f t="shared" si="261"/>
        <v>14.0271111111111</v>
      </c>
      <c r="L214" s="92">
        <f t="shared" si="261"/>
        <v>450.00488888888901</v>
      </c>
      <c r="M214" s="92">
        <f t="shared" si="261"/>
        <v>14.0271111111111</v>
      </c>
      <c r="N214" s="92">
        <f t="shared" si="261"/>
        <v>21</v>
      </c>
      <c r="O214" s="75">
        <v>31.54</v>
      </c>
      <c r="R214" s="61">
        <v>10</v>
      </c>
      <c r="U214" s="80" t="s">
        <v>551</v>
      </c>
      <c r="W214" s="80" t="s">
        <v>39</v>
      </c>
      <c r="X214" s="80" t="s">
        <v>40</v>
      </c>
    </row>
    <row r="215" spans="2:24">
      <c r="B215" s="68" t="s">
        <v>552</v>
      </c>
      <c r="C215" s="68" t="s">
        <v>301</v>
      </c>
      <c r="D215" s="68"/>
      <c r="E215" s="68" t="s">
        <v>426</v>
      </c>
      <c r="F215" s="58">
        <v>2021</v>
      </c>
      <c r="G215" s="92">
        <f t="shared" si="258"/>
        <v>1.2</v>
      </c>
      <c r="H215" s="92"/>
      <c r="I215" s="92"/>
      <c r="J215" s="92">
        <f t="shared" ref="J215:N215" si="262">J213</f>
        <v>1168.6096104634601</v>
      </c>
      <c r="K215" s="92">
        <f t="shared" si="262"/>
        <v>1.8093933362628301</v>
      </c>
      <c r="L215" s="92">
        <f t="shared" si="262"/>
        <v>1168.6096104634601</v>
      </c>
      <c r="M215" s="92">
        <f t="shared" si="262"/>
        <v>1.8093933362628301</v>
      </c>
      <c r="N215" s="92">
        <f t="shared" si="262"/>
        <v>15</v>
      </c>
      <c r="O215" s="75">
        <v>31.54</v>
      </c>
      <c r="R215" s="61">
        <v>10</v>
      </c>
      <c r="U215" s="80" t="s">
        <v>552</v>
      </c>
      <c r="W215" s="80" t="s">
        <v>39</v>
      </c>
      <c r="X215" s="80" t="s">
        <v>40</v>
      </c>
    </row>
    <row r="216" spans="2:24">
      <c r="B216" s="68" t="s">
        <v>553</v>
      </c>
      <c r="C216" s="68" t="s">
        <v>258</v>
      </c>
      <c r="D216" s="68"/>
      <c r="E216" s="68" t="s">
        <v>431</v>
      </c>
      <c r="F216" s="58">
        <v>2021</v>
      </c>
      <c r="G216" s="92">
        <f t="shared" si="258"/>
        <v>3.8</v>
      </c>
      <c r="H216" s="92"/>
      <c r="I216" s="92"/>
      <c r="J216" s="92">
        <f t="shared" ref="J216:N216" si="263">J214</f>
        <v>450.00488888888901</v>
      </c>
      <c r="K216" s="92">
        <f t="shared" si="263"/>
        <v>14.0271111111111</v>
      </c>
      <c r="L216" s="92">
        <f t="shared" si="263"/>
        <v>450.00488888888901</v>
      </c>
      <c r="M216" s="92">
        <f t="shared" si="263"/>
        <v>14.0271111111111</v>
      </c>
      <c r="N216" s="92">
        <f t="shared" si="263"/>
        <v>21</v>
      </c>
      <c r="O216" s="75">
        <v>31.54</v>
      </c>
      <c r="R216" s="61">
        <v>10</v>
      </c>
      <c r="U216" s="80" t="s">
        <v>553</v>
      </c>
      <c r="W216" s="80" t="s">
        <v>39</v>
      </c>
      <c r="X216" s="80" t="s">
        <v>40</v>
      </c>
    </row>
    <row r="217" spans="2:24">
      <c r="B217" s="68" t="s">
        <v>554</v>
      </c>
      <c r="C217" s="68" t="s">
        <v>301</v>
      </c>
      <c r="D217" s="68"/>
      <c r="E217" s="68" t="s">
        <v>431</v>
      </c>
      <c r="F217" s="58">
        <v>2021</v>
      </c>
      <c r="G217" s="92">
        <f t="shared" si="258"/>
        <v>1.2</v>
      </c>
      <c r="H217" s="92"/>
      <c r="I217" s="92"/>
      <c r="J217" s="92">
        <f t="shared" ref="J217:N217" si="264">J215</f>
        <v>1168.6096104634601</v>
      </c>
      <c r="K217" s="92">
        <f t="shared" si="264"/>
        <v>1.8093933362628301</v>
      </c>
      <c r="L217" s="92">
        <f t="shared" si="264"/>
        <v>1168.6096104634601</v>
      </c>
      <c r="M217" s="92">
        <f t="shared" si="264"/>
        <v>1.8093933362628301</v>
      </c>
      <c r="N217" s="92">
        <f t="shared" si="264"/>
        <v>15</v>
      </c>
      <c r="O217" s="75">
        <v>31.54</v>
      </c>
      <c r="R217" s="61">
        <v>10</v>
      </c>
      <c r="U217" s="80" t="s">
        <v>554</v>
      </c>
      <c r="W217" s="80" t="s">
        <v>39</v>
      </c>
      <c r="X217" s="80" t="s">
        <v>40</v>
      </c>
    </row>
    <row r="218" spans="2:24">
      <c r="B218" s="68" t="s">
        <v>555</v>
      </c>
      <c r="C218" s="68" t="s">
        <v>258</v>
      </c>
      <c r="D218" s="68"/>
      <c r="E218" s="68" t="s">
        <v>435</v>
      </c>
      <c r="F218" s="58">
        <v>2021</v>
      </c>
      <c r="G218" s="92">
        <f t="shared" si="258"/>
        <v>3.8</v>
      </c>
      <c r="H218" s="92"/>
      <c r="I218" s="92"/>
      <c r="J218" s="92">
        <f t="shared" ref="J218:N218" si="265">J216</f>
        <v>450.00488888888901</v>
      </c>
      <c r="K218" s="92">
        <f t="shared" si="265"/>
        <v>14.0271111111111</v>
      </c>
      <c r="L218" s="92">
        <f t="shared" si="265"/>
        <v>450.00488888888901</v>
      </c>
      <c r="M218" s="92">
        <f t="shared" si="265"/>
        <v>14.0271111111111</v>
      </c>
      <c r="N218" s="92">
        <f t="shared" si="265"/>
        <v>21</v>
      </c>
      <c r="O218" s="75">
        <v>31.54</v>
      </c>
      <c r="R218" s="61">
        <v>10</v>
      </c>
      <c r="U218" s="80" t="s">
        <v>555</v>
      </c>
      <c r="W218" s="80" t="s">
        <v>39</v>
      </c>
      <c r="X218" s="80" t="s">
        <v>40</v>
      </c>
    </row>
    <row r="219" spans="2:24">
      <c r="B219" s="68" t="s">
        <v>556</v>
      </c>
      <c r="C219" s="68" t="s">
        <v>301</v>
      </c>
      <c r="D219" s="68"/>
      <c r="E219" s="68" t="s">
        <v>435</v>
      </c>
      <c r="F219" s="58">
        <v>2021</v>
      </c>
      <c r="G219" s="92">
        <f t="shared" si="258"/>
        <v>1.2</v>
      </c>
      <c r="H219" s="92"/>
      <c r="I219" s="92"/>
      <c r="J219" s="92">
        <f t="shared" ref="J219:N219" si="266">J217</f>
        <v>1168.6096104634601</v>
      </c>
      <c r="K219" s="92">
        <f t="shared" si="266"/>
        <v>1.8093933362628301</v>
      </c>
      <c r="L219" s="92">
        <f t="shared" si="266"/>
        <v>1168.6096104634601</v>
      </c>
      <c r="M219" s="92">
        <f t="shared" si="266"/>
        <v>1.8093933362628301</v>
      </c>
      <c r="N219" s="92">
        <f t="shared" si="266"/>
        <v>15</v>
      </c>
      <c r="O219" s="75">
        <v>31.54</v>
      </c>
      <c r="R219" s="61">
        <v>10</v>
      </c>
      <c r="U219" s="80" t="s">
        <v>556</v>
      </c>
      <c r="W219" s="80" t="s">
        <v>39</v>
      </c>
      <c r="X219" s="80" t="s">
        <v>40</v>
      </c>
    </row>
    <row r="220" spans="2:24">
      <c r="B220" s="68" t="s">
        <v>557</v>
      </c>
      <c r="C220" s="68" t="s">
        <v>258</v>
      </c>
      <c r="D220" s="68"/>
      <c r="E220" s="68" t="s">
        <v>439</v>
      </c>
      <c r="F220" s="58">
        <v>2021</v>
      </c>
      <c r="G220" s="92">
        <f t="shared" si="258"/>
        <v>3.8</v>
      </c>
      <c r="H220" s="92"/>
      <c r="I220" s="92"/>
      <c r="J220" s="92">
        <f t="shared" ref="J220:N220" si="267">J218</f>
        <v>450.00488888888901</v>
      </c>
      <c r="K220" s="92">
        <f t="shared" si="267"/>
        <v>14.0271111111111</v>
      </c>
      <c r="L220" s="92">
        <f t="shared" si="267"/>
        <v>450.00488888888901</v>
      </c>
      <c r="M220" s="92">
        <f t="shared" si="267"/>
        <v>14.0271111111111</v>
      </c>
      <c r="N220" s="92">
        <f t="shared" si="267"/>
        <v>21</v>
      </c>
      <c r="O220" s="75">
        <v>31.54</v>
      </c>
      <c r="R220" s="61">
        <v>10</v>
      </c>
      <c r="U220" s="80" t="s">
        <v>557</v>
      </c>
      <c r="W220" s="80" t="s">
        <v>39</v>
      </c>
      <c r="X220" s="80" t="s">
        <v>40</v>
      </c>
    </row>
    <row r="221" spans="2:24">
      <c r="B221" s="68" t="s">
        <v>558</v>
      </c>
      <c r="C221" s="68" t="s">
        <v>301</v>
      </c>
      <c r="D221" s="68"/>
      <c r="E221" s="68" t="s">
        <v>439</v>
      </c>
      <c r="F221" s="58">
        <v>2021</v>
      </c>
      <c r="G221" s="92">
        <f t="shared" si="258"/>
        <v>1.2</v>
      </c>
      <c r="H221" s="92"/>
      <c r="I221" s="92"/>
      <c r="J221" s="92">
        <f t="shared" ref="J221:N221" si="268">J219</f>
        <v>1168.6096104634601</v>
      </c>
      <c r="K221" s="92">
        <f t="shared" si="268"/>
        <v>1.8093933362628301</v>
      </c>
      <c r="L221" s="92">
        <f t="shared" si="268"/>
        <v>1168.6096104634601</v>
      </c>
      <c r="M221" s="92">
        <f t="shared" si="268"/>
        <v>1.8093933362628301</v>
      </c>
      <c r="N221" s="92">
        <f t="shared" si="268"/>
        <v>15</v>
      </c>
      <c r="O221" s="75">
        <v>31.54</v>
      </c>
      <c r="R221" s="61">
        <v>10</v>
      </c>
      <c r="U221" s="80" t="s">
        <v>558</v>
      </c>
      <c r="W221" s="80" t="s">
        <v>39</v>
      </c>
      <c r="X221" s="80" t="s">
        <v>40</v>
      </c>
    </row>
    <row r="222" spans="2:24">
      <c r="B222" s="68" t="s">
        <v>559</v>
      </c>
      <c r="C222" s="68" t="s">
        <v>258</v>
      </c>
      <c r="D222" s="68"/>
      <c r="E222" s="68" t="s">
        <v>444</v>
      </c>
      <c r="F222" s="58">
        <v>2021</v>
      </c>
      <c r="G222" s="92">
        <f t="shared" si="258"/>
        <v>3.8</v>
      </c>
      <c r="H222" s="92"/>
      <c r="I222" s="92"/>
      <c r="J222" s="92">
        <f t="shared" ref="J222:N222" si="269">J220</f>
        <v>450.00488888888901</v>
      </c>
      <c r="K222" s="92">
        <f t="shared" si="269"/>
        <v>14.0271111111111</v>
      </c>
      <c r="L222" s="92">
        <f t="shared" si="269"/>
        <v>450.00488888888901</v>
      </c>
      <c r="M222" s="92">
        <f t="shared" si="269"/>
        <v>14.0271111111111</v>
      </c>
      <c r="N222" s="92">
        <f t="shared" si="269"/>
        <v>21</v>
      </c>
      <c r="O222" s="75">
        <v>31.54</v>
      </c>
      <c r="R222" s="61">
        <v>10</v>
      </c>
      <c r="U222" s="80" t="s">
        <v>559</v>
      </c>
      <c r="W222" s="80" t="s">
        <v>39</v>
      </c>
      <c r="X222" s="80" t="s">
        <v>40</v>
      </c>
    </row>
    <row r="223" spans="2:24">
      <c r="B223" s="68" t="s">
        <v>560</v>
      </c>
      <c r="C223" s="68" t="s">
        <v>301</v>
      </c>
      <c r="D223" s="68"/>
      <c r="E223" s="68" t="s">
        <v>444</v>
      </c>
      <c r="F223" s="58">
        <v>2021</v>
      </c>
      <c r="G223" s="92">
        <f t="shared" si="258"/>
        <v>1.2</v>
      </c>
      <c r="H223" s="92"/>
      <c r="I223" s="92"/>
      <c r="J223" s="92">
        <f t="shared" ref="J223:N223" si="270">J221</f>
        <v>1168.6096104634601</v>
      </c>
      <c r="K223" s="92">
        <f t="shared" si="270"/>
        <v>1.8093933362628301</v>
      </c>
      <c r="L223" s="92">
        <f t="shared" si="270"/>
        <v>1168.6096104634601</v>
      </c>
      <c r="M223" s="92">
        <f t="shared" si="270"/>
        <v>1.8093933362628301</v>
      </c>
      <c r="N223" s="92">
        <f t="shared" si="270"/>
        <v>15</v>
      </c>
      <c r="O223" s="75">
        <v>31.54</v>
      </c>
      <c r="R223" s="61">
        <v>10</v>
      </c>
      <c r="U223" s="80" t="s">
        <v>560</v>
      </c>
      <c r="W223" s="80" t="s">
        <v>39</v>
      </c>
      <c r="X223" s="80" t="s">
        <v>40</v>
      </c>
    </row>
    <row r="224" spans="2:24">
      <c r="B224" s="68" t="s">
        <v>561</v>
      </c>
      <c r="C224" s="68" t="s">
        <v>258</v>
      </c>
      <c r="D224" s="68"/>
      <c r="E224" s="68" t="s">
        <v>448</v>
      </c>
      <c r="F224" s="58">
        <v>2021</v>
      </c>
      <c r="G224" s="92">
        <f t="shared" si="258"/>
        <v>3.8</v>
      </c>
      <c r="H224" s="92"/>
      <c r="I224" s="92"/>
      <c r="J224" s="92">
        <f t="shared" ref="J224:N224" si="271">J222</f>
        <v>450.00488888888901</v>
      </c>
      <c r="K224" s="92">
        <f t="shared" si="271"/>
        <v>14.0271111111111</v>
      </c>
      <c r="L224" s="92">
        <f t="shared" si="271"/>
        <v>450.00488888888901</v>
      </c>
      <c r="M224" s="92">
        <f t="shared" si="271"/>
        <v>14.0271111111111</v>
      </c>
      <c r="N224" s="92">
        <f t="shared" si="271"/>
        <v>21</v>
      </c>
      <c r="O224" s="75">
        <v>31.54</v>
      </c>
      <c r="R224" s="61">
        <v>10</v>
      </c>
      <c r="U224" s="80" t="s">
        <v>561</v>
      </c>
      <c r="W224" s="80" t="s">
        <v>39</v>
      </c>
      <c r="X224" s="80" t="s">
        <v>40</v>
      </c>
    </row>
    <row r="225" spans="2:24">
      <c r="B225" s="68" t="s">
        <v>562</v>
      </c>
      <c r="C225" s="68" t="s">
        <v>301</v>
      </c>
      <c r="D225" s="68"/>
      <c r="E225" s="68" t="s">
        <v>448</v>
      </c>
      <c r="F225" s="58">
        <v>2021</v>
      </c>
      <c r="G225" s="92">
        <f t="shared" si="258"/>
        <v>1.2</v>
      </c>
      <c r="H225" s="92"/>
      <c r="I225" s="92"/>
      <c r="J225" s="92">
        <f t="shared" ref="J225:N225" si="272">J223</f>
        <v>1168.6096104634601</v>
      </c>
      <c r="K225" s="92">
        <f t="shared" si="272"/>
        <v>1.8093933362628301</v>
      </c>
      <c r="L225" s="92">
        <f t="shared" si="272"/>
        <v>1168.6096104634601</v>
      </c>
      <c r="M225" s="92">
        <f t="shared" si="272"/>
        <v>1.8093933362628301</v>
      </c>
      <c r="N225" s="92">
        <f t="shared" si="272"/>
        <v>15</v>
      </c>
      <c r="O225" s="75">
        <v>31.54</v>
      </c>
      <c r="R225" s="61">
        <v>10</v>
      </c>
      <c r="U225" s="80" t="s">
        <v>562</v>
      </c>
      <c r="W225" s="80" t="s">
        <v>39</v>
      </c>
      <c r="X225" s="80" t="s">
        <v>40</v>
      </c>
    </row>
    <row r="226" spans="2:24">
      <c r="B226" s="92" t="str">
        <f>U226</f>
        <v>WST-SpHeat_HET1</v>
      </c>
      <c r="C226" s="93" t="s">
        <v>258</v>
      </c>
      <c r="D226" s="93"/>
      <c r="E226" s="93" t="s">
        <v>474</v>
      </c>
      <c r="F226" s="92">
        <v>2021</v>
      </c>
      <c r="G226" s="92">
        <v>1</v>
      </c>
      <c r="H226" s="92"/>
      <c r="I226" s="92">
        <v>1</v>
      </c>
      <c r="J226" s="71">
        <f>AVERAGE(17350,25580)/(48/3.412)*1</f>
        <v>1525.80375</v>
      </c>
      <c r="K226" s="71">
        <f>180/(48/3.412)*1</f>
        <v>12.795</v>
      </c>
      <c r="L226" s="71">
        <f>J226</f>
        <v>1525.80375</v>
      </c>
      <c r="M226" s="71">
        <f>K226</f>
        <v>12.795</v>
      </c>
      <c r="N226" s="71">
        <f>AVERAGE(21,8)</f>
        <v>14.5</v>
      </c>
      <c r="O226" s="75">
        <v>31.54</v>
      </c>
      <c r="P226" s="98">
        <v>0.33</v>
      </c>
      <c r="R226" s="61">
        <v>15</v>
      </c>
      <c r="S226" s="81"/>
      <c r="T226" s="41"/>
      <c r="U226" s="88" t="s">
        <v>375</v>
      </c>
      <c r="V226" s="41"/>
      <c r="W226" s="88" t="s">
        <v>39</v>
      </c>
      <c r="X226" s="88" t="s">
        <v>40</v>
      </c>
    </row>
    <row r="227" spans="2:24">
      <c r="B227" s="92"/>
      <c r="C227" s="94" t="str">
        <f>[2]COMM!$E$19</f>
        <v>RSDAHT</v>
      </c>
      <c r="E227" s="92"/>
      <c r="F227" s="92"/>
      <c r="G227" s="92"/>
      <c r="H227" s="92">
        <f>1/3</f>
        <v>0.33333333333333298</v>
      </c>
      <c r="I227" s="92"/>
      <c r="J227" s="92"/>
      <c r="K227" s="92"/>
      <c r="N227" s="95"/>
      <c r="O227" s="95"/>
      <c r="P227" s="95">
        <f>1-P226</f>
        <v>0.67</v>
      </c>
      <c r="S227" s="81"/>
      <c r="T227" s="41"/>
      <c r="U227" s="88" t="s">
        <v>378</v>
      </c>
      <c r="V227" s="41"/>
      <c r="W227" s="88" t="s">
        <v>39</v>
      </c>
      <c r="X227" s="88" t="s">
        <v>40</v>
      </c>
    </row>
    <row r="228" spans="2:24">
      <c r="B228" s="95" t="str">
        <f>U227</f>
        <v>RTS-SpHeat_HET1</v>
      </c>
      <c r="C228" s="96" t="s">
        <v>258</v>
      </c>
      <c r="D228" s="96"/>
      <c r="E228" s="96" t="s">
        <v>481</v>
      </c>
      <c r="F228" s="95">
        <v>2021</v>
      </c>
      <c r="G228" s="60">
        <v>1</v>
      </c>
      <c r="H228" s="60"/>
      <c r="I228" s="92">
        <f>I226</f>
        <v>1</v>
      </c>
      <c r="J228" s="92">
        <f t="shared" ref="J228:N244" si="273">J226</f>
        <v>1525.80375</v>
      </c>
      <c r="K228" s="92">
        <f t="shared" si="273"/>
        <v>12.795</v>
      </c>
      <c r="L228" s="92">
        <f t="shared" si="273"/>
        <v>1525.80375</v>
      </c>
      <c r="M228" s="92">
        <f t="shared" si="273"/>
        <v>12.795</v>
      </c>
      <c r="N228" s="92">
        <f t="shared" si="273"/>
        <v>14.5</v>
      </c>
      <c r="O228" s="99">
        <v>31.54</v>
      </c>
      <c r="P228" s="58">
        <f>P226</f>
        <v>0.33</v>
      </c>
      <c r="R228" s="61">
        <v>15</v>
      </c>
      <c r="S228" s="81"/>
      <c r="T228" s="41"/>
      <c r="U228" s="88" t="s">
        <v>381</v>
      </c>
      <c r="V228" s="41"/>
      <c r="W228" s="88" t="s">
        <v>39</v>
      </c>
      <c r="X228" s="88" t="s">
        <v>40</v>
      </c>
    </row>
    <row r="229" spans="2:24">
      <c r="B229" s="95"/>
      <c r="C229" s="95" t="s">
        <v>184</v>
      </c>
      <c r="D229" s="97" t="str">
        <f>[2]COMM!$E$19</f>
        <v>RSDAHT</v>
      </c>
      <c r="E229" s="95"/>
      <c r="F229" s="95"/>
      <c r="G229" s="60"/>
      <c r="H229" s="60">
        <f>1/3</f>
        <v>0.33333333333333298</v>
      </c>
      <c r="I229" s="60"/>
      <c r="N229" s="95"/>
      <c r="O229" s="95"/>
      <c r="P229" s="58">
        <f t="shared" ref="P229:P260" si="274">P227</f>
        <v>0.67</v>
      </c>
      <c r="S229" s="81"/>
      <c r="T229" s="41"/>
      <c r="U229" s="88" t="s">
        <v>385</v>
      </c>
      <c r="V229" s="41"/>
      <c r="W229" s="88" t="s">
        <v>39</v>
      </c>
      <c r="X229" s="88" t="s">
        <v>40</v>
      </c>
    </row>
    <row r="230" spans="2:24">
      <c r="B230" s="95" t="str">
        <f>U228</f>
        <v>TWS-SpHeat_HET1</v>
      </c>
      <c r="C230" s="96" t="str">
        <f>C228</f>
        <v>COMELC</v>
      </c>
      <c r="D230" s="96"/>
      <c r="E230" s="96" t="s">
        <v>488</v>
      </c>
      <c r="F230" s="95">
        <v>2021</v>
      </c>
      <c r="G230" s="60">
        <v>1</v>
      </c>
      <c r="H230" s="60"/>
      <c r="I230" s="92">
        <f>I228</f>
        <v>1</v>
      </c>
      <c r="J230" s="92">
        <f t="shared" si="273"/>
        <v>1525.80375</v>
      </c>
      <c r="K230" s="92">
        <f t="shared" si="273"/>
        <v>12.795</v>
      </c>
      <c r="L230" s="92">
        <f t="shared" si="273"/>
        <v>1525.80375</v>
      </c>
      <c r="M230" s="92">
        <f t="shared" si="273"/>
        <v>12.795</v>
      </c>
      <c r="N230" s="92">
        <f t="shared" si="273"/>
        <v>14.5</v>
      </c>
      <c r="O230" s="99">
        <v>31.54</v>
      </c>
      <c r="P230" s="58">
        <f t="shared" si="274"/>
        <v>0.33</v>
      </c>
      <c r="R230" s="61">
        <v>15</v>
      </c>
      <c r="S230" s="81"/>
      <c r="T230" s="41"/>
      <c r="U230" s="88" t="s">
        <v>388</v>
      </c>
      <c r="V230" s="41"/>
      <c r="W230" s="88" t="s">
        <v>39</v>
      </c>
      <c r="X230" s="88" t="s">
        <v>40</v>
      </c>
    </row>
    <row r="231" spans="2:24">
      <c r="B231" s="95"/>
      <c r="C231" s="96" t="str">
        <f t="shared" ref="C231:C262" si="275">C229</f>
        <v>RSDAHT</v>
      </c>
      <c r="D231" s="97" t="str">
        <f>[2]COMM!$E$19</f>
        <v>RSDAHT</v>
      </c>
      <c r="E231" s="95"/>
      <c r="F231" s="95"/>
      <c r="G231" s="60"/>
      <c r="H231" s="60">
        <f>1/3</f>
        <v>0.33333333333333298</v>
      </c>
      <c r="I231" s="60"/>
      <c r="N231" s="95"/>
      <c r="O231" s="95"/>
      <c r="P231" s="58">
        <f t="shared" si="274"/>
        <v>0.67</v>
      </c>
      <c r="S231" s="81"/>
      <c r="T231" s="41"/>
      <c r="U231" s="41" t="s">
        <v>391</v>
      </c>
      <c r="V231" s="41"/>
      <c r="W231" s="88" t="s">
        <v>39</v>
      </c>
      <c r="X231" s="88" t="s">
        <v>40</v>
      </c>
    </row>
    <row r="232" spans="2:24">
      <c r="B232" s="95" t="str">
        <f>U229</f>
        <v>ICS-SpHeat_HET1</v>
      </c>
      <c r="C232" s="96" t="str">
        <f t="shared" si="275"/>
        <v>COMELC</v>
      </c>
      <c r="D232" s="96"/>
      <c r="E232" s="96" t="s">
        <v>495</v>
      </c>
      <c r="F232" s="95">
        <v>2021</v>
      </c>
      <c r="G232" s="60">
        <v>1</v>
      </c>
      <c r="H232" s="60"/>
      <c r="I232" s="92">
        <f>I230</f>
        <v>1</v>
      </c>
      <c r="J232" s="92">
        <f t="shared" si="273"/>
        <v>1525.80375</v>
      </c>
      <c r="K232" s="92">
        <f t="shared" si="273"/>
        <v>12.795</v>
      </c>
      <c r="L232" s="92">
        <f t="shared" si="273"/>
        <v>1525.80375</v>
      </c>
      <c r="M232" s="92">
        <f t="shared" si="273"/>
        <v>12.795</v>
      </c>
      <c r="N232" s="92">
        <f t="shared" si="273"/>
        <v>14.5</v>
      </c>
      <c r="O232" s="99">
        <v>31.54</v>
      </c>
      <c r="P232" s="58">
        <f t="shared" si="274"/>
        <v>0.33</v>
      </c>
      <c r="R232" s="61">
        <v>15</v>
      </c>
      <c r="S232" s="81"/>
      <c r="T232" s="41"/>
      <c r="U232" s="41" t="s">
        <v>395</v>
      </c>
      <c r="V232" s="41"/>
      <c r="W232" s="88" t="s">
        <v>39</v>
      </c>
      <c r="X232" s="88" t="s">
        <v>40</v>
      </c>
    </row>
    <row r="233" spans="2:24">
      <c r="B233" s="95"/>
      <c r="C233" s="96" t="str">
        <f t="shared" si="275"/>
        <v>RSDAHT</v>
      </c>
      <c r="D233" s="97" t="str">
        <f>[2]COMM!$E$19</f>
        <v>RSDAHT</v>
      </c>
      <c r="E233" s="95"/>
      <c r="F233" s="95"/>
      <c r="G233" s="60"/>
      <c r="H233" s="60">
        <f>1/3</f>
        <v>0.33333333333333298</v>
      </c>
      <c r="I233" s="60"/>
      <c r="N233" s="95"/>
      <c r="O233" s="95"/>
      <c r="P233" s="58">
        <f t="shared" si="274"/>
        <v>0.67</v>
      </c>
      <c r="S233" s="81"/>
      <c r="T233" s="41"/>
      <c r="U233" s="41" t="s">
        <v>398</v>
      </c>
      <c r="V233" s="41"/>
      <c r="W233" s="88" t="s">
        <v>39</v>
      </c>
      <c r="X233" s="88" t="s">
        <v>40</v>
      </c>
    </row>
    <row r="234" spans="2:24">
      <c r="B234" s="95" t="str">
        <f>U230</f>
        <v>OS-SpHeat_HET1</v>
      </c>
      <c r="C234" s="96" t="str">
        <f t="shared" si="275"/>
        <v>COMELC</v>
      </c>
      <c r="D234" s="96"/>
      <c r="E234" s="96" t="s">
        <v>502</v>
      </c>
      <c r="F234" s="95">
        <v>2021</v>
      </c>
      <c r="G234" s="60">
        <v>1</v>
      </c>
      <c r="H234" s="60"/>
      <c r="I234" s="92">
        <f>I232</f>
        <v>1</v>
      </c>
      <c r="J234" s="92">
        <f t="shared" si="273"/>
        <v>1525.80375</v>
      </c>
      <c r="K234" s="92">
        <f t="shared" si="273"/>
        <v>12.795</v>
      </c>
      <c r="L234" s="92">
        <f t="shared" si="273"/>
        <v>1525.80375</v>
      </c>
      <c r="M234" s="92">
        <f t="shared" si="273"/>
        <v>12.795</v>
      </c>
      <c r="N234" s="92">
        <f t="shared" si="273"/>
        <v>14.5</v>
      </c>
      <c r="O234" s="99">
        <v>31.54</v>
      </c>
      <c r="P234" s="58">
        <f t="shared" si="274"/>
        <v>0.33</v>
      </c>
      <c r="R234" s="61">
        <v>15</v>
      </c>
      <c r="S234" s="81"/>
      <c r="T234" s="41"/>
      <c r="U234" s="41" t="s">
        <v>401</v>
      </c>
      <c r="V234" s="41"/>
      <c r="W234" s="88" t="s">
        <v>39</v>
      </c>
      <c r="X234" s="88" t="s">
        <v>40</v>
      </c>
    </row>
    <row r="235" spans="2:24">
      <c r="B235" s="95"/>
      <c r="C235" s="96" t="str">
        <f t="shared" si="275"/>
        <v>RSDAHT</v>
      </c>
      <c r="D235" s="97" t="str">
        <f>[2]COMM!$E$19</f>
        <v>RSDAHT</v>
      </c>
      <c r="E235" s="95"/>
      <c r="F235" s="95"/>
      <c r="G235" s="60"/>
      <c r="H235" s="60">
        <f>1/3</f>
        <v>0.33333333333333298</v>
      </c>
      <c r="I235" s="60"/>
      <c r="N235" s="95"/>
      <c r="O235" s="95"/>
      <c r="P235" s="58">
        <f t="shared" si="274"/>
        <v>0.67</v>
      </c>
      <c r="S235" s="81"/>
      <c r="T235" s="41"/>
      <c r="U235" s="41" t="s">
        <v>405</v>
      </c>
      <c r="V235" s="41"/>
      <c r="W235" s="88" t="s">
        <v>39</v>
      </c>
      <c r="X235" s="88" t="s">
        <v>40</v>
      </c>
    </row>
    <row r="236" spans="2:24">
      <c r="B236" s="95" t="str">
        <f>U231</f>
        <v>EDU-SpHeat_HET1</v>
      </c>
      <c r="C236" s="96" t="str">
        <f t="shared" si="275"/>
        <v>COMELC</v>
      </c>
      <c r="D236" s="96"/>
      <c r="E236" s="96" t="s">
        <v>509</v>
      </c>
      <c r="F236" s="95">
        <v>2021</v>
      </c>
      <c r="G236" s="60">
        <v>1</v>
      </c>
      <c r="H236" s="60"/>
      <c r="I236" s="92">
        <f>I234</f>
        <v>1</v>
      </c>
      <c r="J236" s="92">
        <f t="shared" si="273"/>
        <v>1525.80375</v>
      </c>
      <c r="K236" s="92">
        <f t="shared" si="273"/>
        <v>12.795</v>
      </c>
      <c r="L236" s="92">
        <f t="shared" si="273"/>
        <v>1525.80375</v>
      </c>
      <c r="M236" s="92">
        <f t="shared" si="273"/>
        <v>12.795</v>
      </c>
      <c r="N236" s="92">
        <f t="shared" si="273"/>
        <v>14.5</v>
      </c>
      <c r="O236" s="99">
        <v>31.54</v>
      </c>
      <c r="P236" s="58">
        <f t="shared" si="274"/>
        <v>0.33</v>
      </c>
      <c r="R236" s="61">
        <v>15</v>
      </c>
      <c r="S236" s="81"/>
      <c r="T236" s="41"/>
      <c r="U236" s="88" t="s">
        <v>408</v>
      </c>
      <c r="V236" s="41"/>
      <c r="W236" s="88" t="s">
        <v>39</v>
      </c>
      <c r="X236" s="88" t="s">
        <v>40</v>
      </c>
    </row>
    <row r="237" spans="2:24">
      <c r="B237" s="95"/>
      <c r="C237" s="96" t="str">
        <f t="shared" si="275"/>
        <v>RSDAHT</v>
      </c>
      <c r="D237" s="97" t="str">
        <f>[2]COMM!$E$19</f>
        <v>RSDAHT</v>
      </c>
      <c r="E237" s="95"/>
      <c r="F237" s="95"/>
      <c r="G237" s="60"/>
      <c r="H237" s="60">
        <f>1/3</f>
        <v>0.33333333333333298</v>
      </c>
      <c r="I237" s="60"/>
      <c r="N237" s="95"/>
      <c r="O237" s="95"/>
      <c r="P237" s="58">
        <f t="shared" si="274"/>
        <v>0.67</v>
      </c>
      <c r="S237" s="81"/>
      <c r="T237" s="41"/>
      <c r="U237" s="88" t="s">
        <v>412</v>
      </c>
      <c r="V237" s="41"/>
      <c r="W237" s="88" t="s">
        <v>39</v>
      </c>
      <c r="X237" s="88" t="s">
        <v>40</v>
      </c>
    </row>
    <row r="238" spans="2:24">
      <c r="B238" s="95" t="str">
        <f>U232</f>
        <v>HSS-SpHeat_HET1</v>
      </c>
      <c r="C238" s="96" t="str">
        <f t="shared" si="275"/>
        <v>COMELC</v>
      </c>
      <c r="D238" s="96"/>
      <c r="E238" s="96" t="s">
        <v>516</v>
      </c>
      <c r="F238" s="95">
        <v>2021</v>
      </c>
      <c r="G238" s="60">
        <v>1</v>
      </c>
      <c r="H238" s="60"/>
      <c r="I238" s="92">
        <f>I236</f>
        <v>1</v>
      </c>
      <c r="J238" s="92">
        <f t="shared" si="273"/>
        <v>1525.80375</v>
      </c>
      <c r="K238" s="92">
        <f t="shared" si="273"/>
        <v>12.795</v>
      </c>
      <c r="L238" s="92">
        <f t="shared" si="273"/>
        <v>1525.80375</v>
      </c>
      <c r="M238" s="92">
        <f t="shared" si="273"/>
        <v>12.795</v>
      </c>
      <c r="N238" s="92">
        <f t="shared" si="273"/>
        <v>14.5</v>
      </c>
      <c r="O238" s="99">
        <v>31.54</v>
      </c>
      <c r="P238" s="58">
        <f t="shared" si="274"/>
        <v>0.33</v>
      </c>
      <c r="R238" s="61">
        <v>15</v>
      </c>
      <c r="S238" s="81"/>
      <c r="T238" s="41"/>
      <c r="U238" s="88" t="s">
        <v>417</v>
      </c>
      <c r="V238" s="41"/>
      <c r="W238" s="88" t="s">
        <v>39</v>
      </c>
      <c r="X238" s="88" t="s">
        <v>40</v>
      </c>
    </row>
    <row r="239" spans="2:24">
      <c r="B239" s="95"/>
      <c r="C239" s="96" t="str">
        <f t="shared" si="275"/>
        <v>RSDAHT</v>
      </c>
      <c r="D239" s="97" t="str">
        <f>[2]COMM!$E$19</f>
        <v>RSDAHT</v>
      </c>
      <c r="E239" s="95"/>
      <c r="F239" s="95"/>
      <c r="G239" s="60"/>
      <c r="H239" s="60">
        <f>1/3</f>
        <v>0.33333333333333298</v>
      </c>
      <c r="I239" s="60"/>
      <c r="N239" s="95"/>
      <c r="O239" s="95"/>
      <c r="P239" s="58">
        <f t="shared" si="274"/>
        <v>0.67</v>
      </c>
      <c r="S239" s="81"/>
      <c r="T239" s="41"/>
      <c r="U239" s="88" t="s">
        <v>421</v>
      </c>
      <c r="V239" s="41"/>
      <c r="W239" s="88" t="s">
        <v>39</v>
      </c>
      <c r="X239" s="88" t="s">
        <v>40</v>
      </c>
    </row>
    <row r="240" spans="2:24">
      <c r="B240" s="95" t="str">
        <f>U233</f>
        <v>ART-SpHeat_HET1</v>
      </c>
      <c r="C240" s="96" t="str">
        <f t="shared" si="275"/>
        <v>COMELC</v>
      </c>
      <c r="D240" s="96"/>
      <c r="E240" s="96" t="s">
        <v>523</v>
      </c>
      <c r="F240" s="95">
        <v>2021</v>
      </c>
      <c r="G240" s="60">
        <v>1</v>
      </c>
      <c r="H240" s="60"/>
      <c r="I240" s="92">
        <f>I238</f>
        <v>1</v>
      </c>
      <c r="J240" s="92">
        <f t="shared" si="273"/>
        <v>1525.80375</v>
      </c>
      <c r="K240" s="92">
        <f t="shared" si="273"/>
        <v>12.795</v>
      </c>
      <c r="L240" s="92">
        <f t="shared" si="273"/>
        <v>1525.80375</v>
      </c>
      <c r="M240" s="92">
        <f t="shared" si="273"/>
        <v>12.795</v>
      </c>
      <c r="N240" s="92">
        <f t="shared" si="273"/>
        <v>14.5</v>
      </c>
      <c r="O240" s="99">
        <v>31.54</v>
      </c>
      <c r="P240" s="58">
        <f t="shared" si="274"/>
        <v>0.33</v>
      </c>
      <c r="R240" s="61">
        <v>15</v>
      </c>
      <c r="S240" s="81"/>
      <c r="T240" s="41"/>
      <c r="U240" s="88" t="s">
        <v>425</v>
      </c>
      <c r="V240" s="41"/>
      <c r="W240" s="88" t="s">
        <v>39</v>
      </c>
      <c r="X240" s="88" t="s">
        <v>40</v>
      </c>
    </row>
    <row r="241" spans="2:25">
      <c r="B241" s="95"/>
      <c r="C241" s="96" t="str">
        <f t="shared" si="275"/>
        <v>RSDAHT</v>
      </c>
      <c r="D241" s="97" t="str">
        <f>[2]COMM!$E$19</f>
        <v>RSDAHT</v>
      </c>
      <c r="E241" s="95"/>
      <c r="F241" s="95"/>
      <c r="G241" s="60"/>
      <c r="H241" s="60">
        <f>1/3</f>
        <v>0.33333333333333298</v>
      </c>
      <c r="I241" s="60"/>
      <c r="N241" s="95"/>
      <c r="O241" s="95"/>
      <c r="P241" s="58">
        <f t="shared" si="274"/>
        <v>0.67</v>
      </c>
      <c r="S241" s="81"/>
      <c r="T241" s="41"/>
      <c r="U241" s="41" t="s">
        <v>430</v>
      </c>
      <c r="V241" s="41"/>
      <c r="W241" s="88" t="s">
        <v>39</v>
      </c>
      <c r="X241" s="88" t="s">
        <v>40</v>
      </c>
    </row>
    <row r="242" spans="2:25">
      <c r="B242" s="95" t="str">
        <f>U234</f>
        <v>AFM-SpHeat_HET1</v>
      </c>
      <c r="C242" s="96" t="str">
        <f t="shared" si="275"/>
        <v>COMELC</v>
      </c>
      <c r="D242" s="96"/>
      <c r="E242" s="96" t="s">
        <v>530</v>
      </c>
      <c r="F242" s="95">
        <v>2021</v>
      </c>
      <c r="G242" s="60">
        <v>1</v>
      </c>
      <c r="H242" s="60"/>
      <c r="I242" s="92">
        <f>I240</f>
        <v>1</v>
      </c>
      <c r="J242" s="92">
        <f t="shared" si="273"/>
        <v>1525.80375</v>
      </c>
      <c r="K242" s="92">
        <f t="shared" si="273"/>
        <v>12.795</v>
      </c>
      <c r="L242" s="92">
        <f t="shared" si="273"/>
        <v>1525.80375</v>
      </c>
      <c r="M242" s="92">
        <f t="shared" si="273"/>
        <v>12.795</v>
      </c>
      <c r="N242" s="92">
        <f t="shared" si="273"/>
        <v>14.5</v>
      </c>
      <c r="O242" s="99">
        <v>31.54</v>
      </c>
      <c r="P242" s="58">
        <f t="shared" si="274"/>
        <v>0.33</v>
      </c>
      <c r="R242" s="61">
        <v>15</v>
      </c>
      <c r="S242" s="81"/>
      <c r="T242" s="41"/>
      <c r="U242" s="41" t="s">
        <v>434</v>
      </c>
      <c r="V242" s="41"/>
      <c r="W242" s="88" t="s">
        <v>39</v>
      </c>
      <c r="X242" s="88" t="s">
        <v>40</v>
      </c>
    </row>
    <row r="243" spans="2:25">
      <c r="B243" s="95"/>
      <c r="C243" s="96" t="str">
        <f t="shared" si="275"/>
        <v>RSDAHT</v>
      </c>
      <c r="D243" s="97" t="str">
        <f>[2]COMM!$E$19</f>
        <v>RSDAHT</v>
      </c>
      <c r="E243" s="95"/>
      <c r="F243" s="95"/>
      <c r="G243" s="60"/>
      <c r="H243" s="60">
        <f>1/3</f>
        <v>0.33333333333333298</v>
      </c>
      <c r="I243" s="60"/>
      <c r="N243" s="95"/>
      <c r="O243" s="95"/>
      <c r="P243" s="58">
        <f t="shared" si="274"/>
        <v>0.67</v>
      </c>
      <c r="S243" s="81"/>
      <c r="T243" s="41"/>
      <c r="U243" s="41" t="s">
        <v>438</v>
      </c>
      <c r="V243" s="41"/>
      <c r="W243" s="88" t="s">
        <v>39</v>
      </c>
      <c r="X243" s="88" t="s">
        <v>40</v>
      </c>
    </row>
    <row r="244" spans="2:25">
      <c r="B244" s="95" t="str">
        <f>U235</f>
        <v>OTH-SpHeat_HET1</v>
      </c>
      <c r="C244" s="96" t="str">
        <f t="shared" si="275"/>
        <v>COMELC</v>
      </c>
      <c r="D244" s="96"/>
      <c r="E244" s="96" t="s">
        <v>537</v>
      </c>
      <c r="F244" s="95">
        <v>2021</v>
      </c>
      <c r="G244" s="60">
        <v>1</v>
      </c>
      <c r="H244" s="60"/>
      <c r="I244" s="92">
        <f>I242</f>
        <v>1</v>
      </c>
      <c r="J244" s="92">
        <f t="shared" si="273"/>
        <v>1525.80375</v>
      </c>
      <c r="K244" s="92">
        <f t="shared" si="273"/>
        <v>12.795</v>
      </c>
      <c r="L244" s="92">
        <f t="shared" si="273"/>
        <v>1525.80375</v>
      </c>
      <c r="M244" s="92">
        <f t="shared" si="273"/>
        <v>12.795</v>
      </c>
      <c r="N244" s="92">
        <f t="shared" si="273"/>
        <v>14.5</v>
      </c>
      <c r="O244" s="99">
        <v>31.54</v>
      </c>
      <c r="P244" s="58">
        <f t="shared" si="274"/>
        <v>0.33</v>
      </c>
      <c r="R244" s="61">
        <v>15</v>
      </c>
      <c r="S244" s="81"/>
      <c r="T244" s="41"/>
      <c r="U244" s="41" t="s">
        <v>443</v>
      </c>
      <c r="V244" s="41"/>
      <c r="W244" s="88" t="s">
        <v>39</v>
      </c>
      <c r="X244" s="88" t="s">
        <v>40</v>
      </c>
    </row>
    <row r="245" spans="2:25">
      <c r="B245" s="95"/>
      <c r="C245" s="96" t="str">
        <f t="shared" si="275"/>
        <v>RSDAHT</v>
      </c>
      <c r="D245" s="97" t="str">
        <f>[2]COMM!$E$19</f>
        <v>RSDAHT</v>
      </c>
      <c r="E245" s="95"/>
      <c r="F245" s="95"/>
      <c r="G245" s="60"/>
      <c r="H245" s="60">
        <f>1/3</f>
        <v>0.33333333333333298</v>
      </c>
      <c r="I245" s="60"/>
      <c r="N245" s="95"/>
      <c r="O245" s="95"/>
      <c r="P245" s="58">
        <f t="shared" si="274"/>
        <v>0.67</v>
      </c>
      <c r="S245" s="81"/>
      <c r="T245" s="41"/>
      <c r="U245" s="41" t="s">
        <v>447</v>
      </c>
      <c r="V245" s="41"/>
      <c r="W245" s="88" t="s">
        <v>39</v>
      </c>
      <c r="X245" s="88" t="s">
        <v>40</v>
      </c>
    </row>
    <row r="246" spans="2:25" s="41" customFormat="1">
      <c r="B246" s="95" t="str">
        <f>U246</f>
        <v>WST-WaterHeat_HET1</v>
      </c>
      <c r="C246" s="96" t="str">
        <f t="shared" si="275"/>
        <v>COMELC</v>
      </c>
      <c r="D246" s="96"/>
      <c r="E246" s="96" t="s">
        <v>374</v>
      </c>
      <c r="F246" s="95">
        <v>2021</v>
      </c>
      <c r="G246" s="92">
        <v>1</v>
      </c>
      <c r="H246" s="92"/>
      <c r="I246" s="92">
        <v>1</v>
      </c>
      <c r="J246" s="92">
        <f>59940/50*1</f>
        <v>1198.8</v>
      </c>
      <c r="K246" s="92">
        <f>120/50*1</f>
        <v>2.4</v>
      </c>
      <c r="L246" s="92">
        <f>J246</f>
        <v>1198.8</v>
      </c>
      <c r="M246" s="92">
        <f>K246</f>
        <v>2.4</v>
      </c>
      <c r="N246" s="92">
        <v>15</v>
      </c>
      <c r="O246" s="100">
        <v>31.54</v>
      </c>
      <c r="P246" s="58">
        <f t="shared" si="274"/>
        <v>0.33</v>
      </c>
      <c r="R246" s="42">
        <v>15</v>
      </c>
      <c r="S246" s="81"/>
      <c r="U246" s="88" t="s">
        <v>563</v>
      </c>
      <c r="W246" s="88" t="s">
        <v>39</v>
      </c>
      <c r="X246" s="88" t="s">
        <v>40</v>
      </c>
      <c r="Y246"/>
    </row>
    <row r="247" spans="2:25" s="41" customFormat="1">
      <c r="B247" s="95"/>
      <c r="C247" s="96" t="str">
        <f t="shared" si="275"/>
        <v>RSDAHT</v>
      </c>
      <c r="D247" s="97" t="str">
        <f>[2]COMM!$E$19</f>
        <v>RSDAHT</v>
      </c>
      <c r="E247" s="95"/>
      <c r="F247" s="95"/>
      <c r="G247" s="60"/>
      <c r="H247" s="92">
        <f>1/3</f>
        <v>0.33333333333333298</v>
      </c>
      <c r="I247" s="60"/>
      <c r="J247" s="60"/>
      <c r="K247" s="60"/>
      <c r="L247" s="60"/>
      <c r="M247" s="60"/>
      <c r="N247" s="95"/>
      <c r="O247" s="95"/>
      <c r="P247" s="58">
        <f t="shared" si="274"/>
        <v>0.67</v>
      </c>
      <c r="R247" s="81"/>
      <c r="S247" s="81"/>
      <c r="U247" s="88" t="s">
        <v>564</v>
      </c>
      <c r="W247" s="88" t="s">
        <v>39</v>
      </c>
      <c r="X247" s="88" t="s">
        <v>40</v>
      </c>
      <c r="Y247"/>
    </row>
    <row r="248" spans="2:25">
      <c r="B248" s="95" t="str">
        <f>U247</f>
        <v>RTS-WaterHeat_HET1</v>
      </c>
      <c r="C248" s="96" t="str">
        <f t="shared" si="275"/>
        <v>COMELC</v>
      </c>
      <c r="D248" s="96"/>
      <c r="E248" s="96" t="s">
        <v>384</v>
      </c>
      <c r="F248" s="95">
        <v>2021</v>
      </c>
      <c r="G248" s="92">
        <v>1</v>
      </c>
      <c r="H248" s="92"/>
      <c r="I248" s="92">
        <v>1</v>
      </c>
      <c r="J248" s="92">
        <f>59940/50*1</f>
        <v>1198.8</v>
      </c>
      <c r="K248" s="92">
        <f>120/50*1</f>
        <v>2.4</v>
      </c>
      <c r="L248" s="92">
        <f>J248</f>
        <v>1198.8</v>
      </c>
      <c r="M248" s="92">
        <f>K248</f>
        <v>2.4</v>
      </c>
      <c r="N248" s="92">
        <v>15</v>
      </c>
      <c r="O248" s="100">
        <v>31.54</v>
      </c>
      <c r="P248" s="58">
        <f t="shared" si="274"/>
        <v>0.33</v>
      </c>
      <c r="Q248" s="41"/>
      <c r="R248" s="42">
        <v>15</v>
      </c>
      <c r="S248" s="81"/>
      <c r="T248" s="41"/>
      <c r="U248" s="88" t="s">
        <v>565</v>
      </c>
      <c r="V248" s="41"/>
      <c r="W248" s="88" t="s">
        <v>39</v>
      </c>
      <c r="X248" s="88" t="s">
        <v>40</v>
      </c>
    </row>
    <row r="249" spans="2:25">
      <c r="B249" s="95"/>
      <c r="C249" s="96" t="str">
        <f t="shared" si="275"/>
        <v>RSDAHT</v>
      </c>
      <c r="D249" s="97" t="str">
        <f>[2]COMM!$E$19</f>
        <v>RSDAHT</v>
      </c>
      <c r="E249" s="95"/>
      <c r="F249" s="95"/>
      <c r="G249" s="60"/>
      <c r="H249" s="92">
        <f>1/3</f>
        <v>0.33333333333333298</v>
      </c>
      <c r="I249" s="60"/>
      <c r="N249" s="95"/>
      <c r="O249" s="95"/>
      <c r="P249" s="58">
        <f t="shared" si="274"/>
        <v>0.67</v>
      </c>
      <c r="Q249" s="41"/>
      <c r="R249" s="81"/>
      <c r="S249" s="81"/>
      <c r="T249" s="41"/>
      <c r="U249" s="88" t="s">
        <v>566</v>
      </c>
      <c r="V249" s="41"/>
      <c r="W249" s="88" t="s">
        <v>39</v>
      </c>
      <c r="X249" s="88" t="s">
        <v>40</v>
      </c>
    </row>
    <row r="250" spans="2:25">
      <c r="B250" s="95" t="str">
        <f>U248</f>
        <v>TWS-WaterHeat_HET1</v>
      </c>
      <c r="C250" s="96" t="str">
        <f t="shared" si="275"/>
        <v>COMELC</v>
      </c>
      <c r="D250" s="96"/>
      <c r="E250" s="96" t="s">
        <v>394</v>
      </c>
      <c r="F250" s="95">
        <v>2021</v>
      </c>
      <c r="G250" s="92">
        <v>1</v>
      </c>
      <c r="H250" s="92"/>
      <c r="I250" s="92">
        <v>1</v>
      </c>
      <c r="J250" s="92">
        <f>59940/50*1</f>
        <v>1198.8</v>
      </c>
      <c r="K250" s="92">
        <f>120/50*1</f>
        <v>2.4</v>
      </c>
      <c r="L250" s="92">
        <f>J250</f>
        <v>1198.8</v>
      </c>
      <c r="M250" s="92">
        <f>K250</f>
        <v>2.4</v>
      </c>
      <c r="N250" s="92">
        <v>15</v>
      </c>
      <c r="O250" s="100">
        <v>31.54</v>
      </c>
      <c r="P250" s="58">
        <f t="shared" si="274"/>
        <v>0.33</v>
      </c>
      <c r="Q250" s="41"/>
      <c r="R250" s="42">
        <v>15</v>
      </c>
      <c r="S250" s="81"/>
      <c r="T250" s="41"/>
      <c r="U250" s="88" t="s">
        <v>567</v>
      </c>
      <c r="V250" s="41"/>
      <c r="W250" s="88" t="s">
        <v>39</v>
      </c>
      <c r="X250" s="88" t="s">
        <v>40</v>
      </c>
    </row>
    <row r="251" spans="2:25">
      <c r="B251" s="95"/>
      <c r="C251" s="96" t="str">
        <f t="shared" si="275"/>
        <v>RSDAHT</v>
      </c>
      <c r="D251" s="97" t="str">
        <f>[2]COMM!$E$19</f>
        <v>RSDAHT</v>
      </c>
      <c r="E251" s="95"/>
      <c r="F251" s="95"/>
      <c r="G251" s="60"/>
      <c r="H251" s="92">
        <f>1/3</f>
        <v>0.33333333333333298</v>
      </c>
      <c r="I251" s="60"/>
      <c r="N251" s="95"/>
      <c r="O251" s="95"/>
      <c r="P251" s="58">
        <f t="shared" si="274"/>
        <v>0.67</v>
      </c>
      <c r="Q251" s="41"/>
      <c r="R251" s="81"/>
      <c r="S251" s="81"/>
      <c r="T251" s="41"/>
      <c r="U251" s="41" t="s">
        <v>568</v>
      </c>
      <c r="V251" s="41"/>
      <c r="W251" s="88" t="s">
        <v>39</v>
      </c>
      <c r="X251" s="88" t="s">
        <v>40</v>
      </c>
    </row>
    <row r="252" spans="2:25">
      <c r="B252" s="95" t="str">
        <f>U249</f>
        <v>ICS-WaterHeat_HET1</v>
      </c>
      <c r="C252" s="96" t="str">
        <f t="shared" si="275"/>
        <v>COMELC</v>
      </c>
      <c r="D252" s="96"/>
      <c r="E252" s="96" t="s">
        <v>404</v>
      </c>
      <c r="F252" s="95">
        <v>2021</v>
      </c>
      <c r="G252" s="92">
        <v>1</v>
      </c>
      <c r="H252" s="92"/>
      <c r="I252" s="92">
        <v>1</v>
      </c>
      <c r="J252" s="92">
        <f>59940/50*1</f>
        <v>1198.8</v>
      </c>
      <c r="K252" s="92">
        <f>120/50*1</f>
        <v>2.4</v>
      </c>
      <c r="L252" s="92">
        <f>J252</f>
        <v>1198.8</v>
      </c>
      <c r="M252" s="92">
        <f>K252</f>
        <v>2.4</v>
      </c>
      <c r="N252" s="92">
        <v>15</v>
      </c>
      <c r="O252" s="100">
        <v>31.54</v>
      </c>
      <c r="P252" s="58">
        <f t="shared" si="274"/>
        <v>0.33</v>
      </c>
      <c r="Q252" s="41"/>
      <c r="R252" s="42">
        <v>15</v>
      </c>
      <c r="S252" s="81"/>
      <c r="T252" s="41"/>
      <c r="U252" s="41" t="s">
        <v>569</v>
      </c>
      <c r="V252" s="41"/>
      <c r="W252" s="88" t="s">
        <v>39</v>
      </c>
      <c r="X252" s="88" t="s">
        <v>40</v>
      </c>
    </row>
    <row r="253" spans="2:25">
      <c r="B253" s="95"/>
      <c r="C253" s="96" t="str">
        <f t="shared" si="275"/>
        <v>RSDAHT</v>
      </c>
      <c r="D253" s="97" t="str">
        <f>[2]COMM!$E$19</f>
        <v>RSDAHT</v>
      </c>
      <c r="E253" s="95"/>
      <c r="F253" s="95"/>
      <c r="G253" s="60"/>
      <c r="H253" s="92">
        <f>1/3</f>
        <v>0.33333333333333298</v>
      </c>
      <c r="I253" s="60"/>
      <c r="N253" s="95"/>
      <c r="O253" s="95"/>
      <c r="P253" s="58">
        <f t="shared" si="274"/>
        <v>0.67</v>
      </c>
      <c r="Q253" s="41"/>
      <c r="R253" s="81"/>
      <c r="S253" s="81"/>
      <c r="T253" s="41"/>
      <c r="U253" s="41" t="s">
        <v>570</v>
      </c>
      <c r="V253" s="41"/>
      <c r="W253" s="88" t="s">
        <v>39</v>
      </c>
      <c r="X253" s="88" t="s">
        <v>40</v>
      </c>
    </row>
    <row r="254" spans="2:25">
      <c r="B254" s="95" t="str">
        <f>U250</f>
        <v>OS-WaterHeat_HET1</v>
      </c>
      <c r="C254" s="96" t="str">
        <f t="shared" si="275"/>
        <v>COMELC</v>
      </c>
      <c r="D254" s="96"/>
      <c r="E254" s="96" t="s">
        <v>416</v>
      </c>
      <c r="F254" s="95">
        <v>2021</v>
      </c>
      <c r="G254" s="92">
        <v>1</v>
      </c>
      <c r="H254" s="92"/>
      <c r="I254" s="92">
        <v>1</v>
      </c>
      <c r="J254" s="92">
        <f>59940/50*1</f>
        <v>1198.8</v>
      </c>
      <c r="K254" s="92">
        <f>120/50*1</f>
        <v>2.4</v>
      </c>
      <c r="L254" s="92">
        <f>J254</f>
        <v>1198.8</v>
      </c>
      <c r="M254" s="92">
        <f>K254</f>
        <v>2.4</v>
      </c>
      <c r="N254" s="92">
        <v>15</v>
      </c>
      <c r="O254" s="100">
        <v>31.54</v>
      </c>
      <c r="P254" s="58">
        <f t="shared" si="274"/>
        <v>0.33</v>
      </c>
      <c r="Q254" s="41"/>
      <c r="R254" s="42">
        <v>15</v>
      </c>
      <c r="S254" s="81"/>
      <c r="T254" s="41"/>
      <c r="U254" s="41" t="s">
        <v>571</v>
      </c>
      <c r="V254" s="41"/>
      <c r="W254" s="88" t="s">
        <v>39</v>
      </c>
      <c r="X254" s="88" t="s">
        <v>40</v>
      </c>
    </row>
    <row r="255" spans="2:25">
      <c r="B255" s="95"/>
      <c r="C255" s="96" t="str">
        <f t="shared" si="275"/>
        <v>RSDAHT</v>
      </c>
      <c r="D255" s="97" t="str">
        <f>[2]COMM!$E$19</f>
        <v>RSDAHT</v>
      </c>
      <c r="E255" s="95"/>
      <c r="F255" s="95"/>
      <c r="G255" s="60"/>
      <c r="H255" s="92">
        <f>1/3</f>
        <v>0.33333333333333298</v>
      </c>
      <c r="I255" s="60"/>
      <c r="N255" s="95"/>
      <c r="O255" s="95"/>
      <c r="P255" s="58">
        <f t="shared" si="274"/>
        <v>0.67</v>
      </c>
      <c r="Q255" s="41"/>
      <c r="R255" s="81"/>
      <c r="S255" s="81"/>
      <c r="T255" s="41"/>
      <c r="U255" s="41" t="s">
        <v>572</v>
      </c>
      <c r="V255" s="41"/>
      <c r="W255" s="88" t="s">
        <v>39</v>
      </c>
      <c r="X255" s="88" t="s">
        <v>40</v>
      </c>
    </row>
    <row r="256" spans="2:25">
      <c r="B256" s="95" t="str">
        <f>U251</f>
        <v>EDU-WaterHeat_HET1</v>
      </c>
      <c r="C256" s="96" t="str">
        <f t="shared" si="275"/>
        <v>COMELC</v>
      </c>
      <c r="D256" s="96"/>
      <c r="E256" s="96" t="s">
        <v>429</v>
      </c>
      <c r="F256" s="95">
        <v>2021</v>
      </c>
      <c r="G256" s="92">
        <v>1</v>
      </c>
      <c r="H256" s="92"/>
      <c r="I256" s="92">
        <v>1</v>
      </c>
      <c r="J256" s="92">
        <f>59940/50*1</f>
        <v>1198.8</v>
      </c>
      <c r="K256" s="92">
        <f>120/50*1</f>
        <v>2.4</v>
      </c>
      <c r="L256" s="92">
        <f>J256</f>
        <v>1198.8</v>
      </c>
      <c r="M256" s="92">
        <f>K256</f>
        <v>2.4</v>
      </c>
      <c r="N256" s="92">
        <v>15</v>
      </c>
      <c r="O256" s="100">
        <v>31.54</v>
      </c>
      <c r="P256" s="58">
        <f t="shared" si="274"/>
        <v>0.33</v>
      </c>
      <c r="Q256" s="41"/>
      <c r="R256" s="42">
        <v>15</v>
      </c>
      <c r="S256" s="24"/>
    </row>
    <row r="257" spans="2:21">
      <c r="B257" s="95"/>
      <c r="C257" s="96" t="str">
        <f t="shared" si="275"/>
        <v>RSDAHT</v>
      </c>
      <c r="D257" s="97" t="str">
        <f>[2]COMM!$E$19</f>
        <v>RSDAHT</v>
      </c>
      <c r="E257" s="95"/>
      <c r="F257" s="95"/>
      <c r="G257" s="60"/>
      <c r="H257" s="92">
        <f>1/3</f>
        <v>0.33333333333333298</v>
      </c>
      <c r="I257" s="60"/>
      <c r="N257" s="95"/>
      <c r="O257" s="95"/>
      <c r="P257" s="58">
        <f t="shared" si="274"/>
        <v>0.67</v>
      </c>
      <c r="Q257" s="41"/>
      <c r="R257" s="81"/>
      <c r="S257" s="24"/>
    </row>
    <row r="258" spans="2:21">
      <c r="B258" s="95" t="str">
        <f>U252</f>
        <v>HSS-WaterHeat_HET1</v>
      </c>
      <c r="C258" s="96" t="str">
        <f t="shared" si="275"/>
        <v>COMELC</v>
      </c>
      <c r="D258" s="96"/>
      <c r="E258" s="96" t="s">
        <v>442</v>
      </c>
      <c r="F258" s="95">
        <v>2021</v>
      </c>
      <c r="G258" s="92">
        <v>1</v>
      </c>
      <c r="H258" s="92"/>
      <c r="I258" s="92">
        <v>1</v>
      </c>
      <c r="J258" s="92">
        <f>59940/50*1</f>
        <v>1198.8</v>
      </c>
      <c r="K258" s="92">
        <f>120/50*1</f>
        <v>2.4</v>
      </c>
      <c r="L258" s="92">
        <f>J258</f>
        <v>1198.8</v>
      </c>
      <c r="M258" s="92">
        <f>K258</f>
        <v>2.4</v>
      </c>
      <c r="N258" s="92">
        <v>15</v>
      </c>
      <c r="O258" s="100">
        <v>31.54</v>
      </c>
      <c r="P258" s="58">
        <f t="shared" si="274"/>
        <v>0.33</v>
      </c>
      <c r="Q258" s="41"/>
      <c r="R258" s="42">
        <v>15</v>
      </c>
      <c r="S258" s="24"/>
    </row>
    <row r="259" spans="2:21">
      <c r="B259" s="95"/>
      <c r="C259" s="96" t="str">
        <f t="shared" si="275"/>
        <v>RSDAHT</v>
      </c>
      <c r="D259" s="97" t="str">
        <f>[2]COMM!$E$19</f>
        <v>RSDAHT</v>
      </c>
      <c r="E259" s="95"/>
      <c r="F259" s="95"/>
      <c r="G259" s="60"/>
      <c r="H259" s="92">
        <f>1/3</f>
        <v>0.33333333333333298</v>
      </c>
      <c r="I259" s="60"/>
      <c r="N259" s="95"/>
      <c r="O259" s="95"/>
      <c r="P259" s="58">
        <f t="shared" si="274"/>
        <v>0.67</v>
      </c>
      <c r="Q259" s="41"/>
      <c r="R259" s="81"/>
      <c r="S259" s="24"/>
    </row>
    <row r="260" spans="2:21">
      <c r="B260" s="95" t="str">
        <f>U253</f>
        <v>ART-WaterHeat_HET1</v>
      </c>
      <c r="C260" s="96" t="str">
        <f t="shared" si="275"/>
        <v>COMELC</v>
      </c>
      <c r="D260" s="96"/>
      <c r="E260" s="96" t="s">
        <v>453</v>
      </c>
      <c r="F260" s="95">
        <v>2021</v>
      </c>
      <c r="G260" s="92">
        <v>1</v>
      </c>
      <c r="H260" s="92"/>
      <c r="I260" s="92">
        <v>1</v>
      </c>
      <c r="J260" s="92">
        <f>59940/50*1</f>
        <v>1198.8</v>
      </c>
      <c r="K260" s="92">
        <f>120/50*1</f>
        <v>2.4</v>
      </c>
      <c r="L260" s="92">
        <f>J260</f>
        <v>1198.8</v>
      </c>
      <c r="M260" s="92">
        <f>K260</f>
        <v>2.4</v>
      </c>
      <c r="N260" s="92">
        <v>15</v>
      </c>
      <c r="O260" s="100">
        <v>31.54</v>
      </c>
      <c r="P260" s="58">
        <f t="shared" si="274"/>
        <v>0.33</v>
      </c>
      <c r="Q260" s="41"/>
      <c r="R260" s="42">
        <v>15</v>
      </c>
      <c r="S260" s="24"/>
    </row>
    <row r="261" spans="2:21">
      <c r="B261" s="95"/>
      <c r="C261" s="96" t="str">
        <f t="shared" si="275"/>
        <v>RSDAHT</v>
      </c>
      <c r="D261" s="97" t="str">
        <f>[2]COMM!$E$19</f>
        <v>RSDAHT</v>
      </c>
      <c r="E261" s="95"/>
      <c r="F261" s="95"/>
      <c r="G261" s="60"/>
      <c r="H261" s="92">
        <f>1/3</f>
        <v>0.33333333333333298</v>
      </c>
      <c r="I261" s="60"/>
      <c r="N261" s="95"/>
      <c r="O261" s="95"/>
      <c r="P261" s="58">
        <f t="shared" ref="P261:P285" si="276">P259</f>
        <v>0.67</v>
      </c>
      <c r="Q261" s="41"/>
      <c r="R261" s="81"/>
      <c r="S261" s="24"/>
    </row>
    <row r="262" spans="2:21">
      <c r="B262" s="95" t="str">
        <f>U254</f>
        <v>AFM-WaterHeat_HET1</v>
      </c>
      <c r="C262" s="96" t="str">
        <f t="shared" si="275"/>
        <v>COMELC</v>
      </c>
      <c r="D262" s="96"/>
      <c r="E262" s="96" t="s">
        <v>460</v>
      </c>
      <c r="F262" s="95">
        <v>2021</v>
      </c>
      <c r="G262" s="92">
        <v>1</v>
      </c>
      <c r="H262" s="92"/>
      <c r="I262" s="92">
        <v>1</v>
      </c>
      <c r="J262" s="92">
        <f>59940/50*1</f>
        <v>1198.8</v>
      </c>
      <c r="K262" s="92">
        <f>120/50*1</f>
        <v>2.4</v>
      </c>
      <c r="L262" s="92">
        <f>J262</f>
        <v>1198.8</v>
      </c>
      <c r="M262" s="92">
        <f>K262</f>
        <v>2.4</v>
      </c>
      <c r="N262" s="92">
        <v>15</v>
      </c>
      <c r="O262" s="100">
        <v>31.54</v>
      </c>
      <c r="P262" s="58">
        <f t="shared" si="276"/>
        <v>0.33</v>
      </c>
      <c r="Q262" s="41"/>
      <c r="R262" s="42">
        <v>15</v>
      </c>
      <c r="S262" s="24"/>
    </row>
    <row r="263" spans="2:21">
      <c r="B263" s="95"/>
      <c r="C263" s="96" t="str">
        <f t="shared" ref="C263:C285" si="277">C261</f>
        <v>RSDAHT</v>
      </c>
      <c r="D263" s="97" t="str">
        <f>[2]COMM!$E$19</f>
        <v>RSDAHT</v>
      </c>
      <c r="E263" s="95"/>
      <c r="F263" s="95"/>
      <c r="G263" s="60"/>
      <c r="H263" s="92">
        <f>1/3</f>
        <v>0.33333333333333298</v>
      </c>
      <c r="I263" s="60"/>
      <c r="N263" s="95"/>
      <c r="O263" s="95"/>
      <c r="P263" s="58">
        <f t="shared" si="276"/>
        <v>0.67</v>
      </c>
      <c r="Q263" s="41"/>
      <c r="R263" s="81"/>
      <c r="S263" s="24"/>
    </row>
    <row r="264" spans="2:21">
      <c r="B264" s="95" t="str">
        <f>U255</f>
        <v>OTH-WaterHeat_HET1</v>
      </c>
      <c r="C264" s="96" t="str">
        <f t="shared" si="277"/>
        <v>COMELC</v>
      </c>
      <c r="D264" s="96"/>
      <c r="E264" s="96" t="s">
        <v>467</v>
      </c>
      <c r="F264" s="95">
        <v>2021</v>
      </c>
      <c r="G264" s="92">
        <v>1</v>
      </c>
      <c r="H264" s="92"/>
      <c r="I264" s="92">
        <v>1</v>
      </c>
      <c r="J264" s="92">
        <f>59940/50*1</f>
        <v>1198.8</v>
      </c>
      <c r="K264" s="92">
        <f>120/50*1</f>
        <v>2.4</v>
      </c>
      <c r="L264" s="92">
        <f>J264</f>
        <v>1198.8</v>
      </c>
      <c r="M264" s="92">
        <f>K264</f>
        <v>2.4</v>
      </c>
      <c r="N264" s="92">
        <v>15</v>
      </c>
      <c r="O264" s="100">
        <v>31.54</v>
      </c>
      <c r="P264" s="58">
        <f t="shared" si="276"/>
        <v>0.33</v>
      </c>
      <c r="Q264" s="41"/>
      <c r="R264" s="42">
        <v>15</v>
      </c>
      <c r="S264" s="24"/>
    </row>
    <row r="265" spans="2:21">
      <c r="B265" s="95"/>
      <c r="C265" s="96" t="str">
        <f t="shared" si="277"/>
        <v>RSDAHT</v>
      </c>
      <c r="D265" s="97" t="str">
        <f>[2]COMM!$E$19</f>
        <v>RSDAHT</v>
      </c>
      <c r="E265" s="95"/>
      <c r="F265" s="95"/>
      <c r="G265" s="60"/>
      <c r="H265" s="92">
        <f>1/3</f>
        <v>0.33333333333333298</v>
      </c>
      <c r="I265" s="60"/>
      <c r="N265" s="95"/>
      <c r="O265" s="95"/>
      <c r="P265" s="58">
        <f t="shared" si="276"/>
        <v>0.67</v>
      </c>
      <c r="Q265" s="41"/>
      <c r="R265" s="81"/>
      <c r="S265" s="24"/>
    </row>
    <row r="266" spans="2:21">
      <c r="B266" s="95" t="str">
        <f>U266</f>
        <v>WST-SpCool_HET1</v>
      </c>
      <c r="C266" s="96" t="str">
        <f t="shared" si="277"/>
        <v>COMELC</v>
      </c>
      <c r="D266" s="96"/>
      <c r="E266" s="96" t="s">
        <v>409</v>
      </c>
      <c r="F266" s="95">
        <v>2021</v>
      </c>
      <c r="G266" s="60">
        <v>1</v>
      </c>
      <c r="H266" s="60"/>
      <c r="I266" s="92">
        <f>I226</f>
        <v>1</v>
      </c>
      <c r="J266" s="92">
        <f t="shared" ref="J266:O266" si="278">J226</f>
        <v>1525.80375</v>
      </c>
      <c r="K266" s="92">
        <f t="shared" si="278"/>
        <v>12.795</v>
      </c>
      <c r="L266" s="92">
        <f t="shared" si="278"/>
        <v>1525.80375</v>
      </c>
      <c r="M266" s="92">
        <f t="shared" si="278"/>
        <v>12.795</v>
      </c>
      <c r="N266" s="92">
        <f t="shared" si="278"/>
        <v>14.5</v>
      </c>
      <c r="O266" s="92">
        <f t="shared" si="278"/>
        <v>31.54</v>
      </c>
      <c r="P266" s="58">
        <f t="shared" si="276"/>
        <v>0.33</v>
      </c>
      <c r="R266" s="61">
        <v>10</v>
      </c>
      <c r="S266" s="24"/>
      <c r="U266" s="101" t="str">
        <f>U236</f>
        <v>WST-SpCool_HET1</v>
      </c>
    </row>
    <row r="267" spans="2:21">
      <c r="B267" s="95"/>
      <c r="C267" s="96" t="str">
        <f t="shared" si="277"/>
        <v>RSDAHT</v>
      </c>
      <c r="D267" s="97" t="str">
        <f>[2]COMM!$E$19</f>
        <v>RSDAHT</v>
      </c>
      <c r="E267" s="95"/>
      <c r="F267" s="95"/>
      <c r="G267" s="60"/>
      <c r="H267" s="60">
        <f>1/3</f>
        <v>0.33333333333333298</v>
      </c>
      <c r="I267" s="92"/>
      <c r="J267" s="92"/>
      <c r="K267" s="92"/>
      <c r="L267" s="92"/>
      <c r="M267" s="92"/>
      <c r="N267" s="92"/>
      <c r="O267" s="92"/>
      <c r="P267" s="58">
        <f t="shared" si="276"/>
        <v>0.67</v>
      </c>
      <c r="S267" s="24"/>
      <c r="U267" s="101" t="str">
        <f t="shared" ref="U267:U275" si="279">U237</f>
        <v>RTS-SpCool_HET1</v>
      </c>
    </row>
    <row r="268" spans="2:21">
      <c r="B268" s="95" t="str">
        <f>U267</f>
        <v>RTS-SpCool_HET1</v>
      </c>
      <c r="C268" s="96" t="str">
        <f t="shared" si="277"/>
        <v>COMELC</v>
      </c>
      <c r="D268" s="96"/>
      <c r="E268" s="96" t="s">
        <v>413</v>
      </c>
      <c r="F268" s="95">
        <v>2021</v>
      </c>
      <c r="G268" s="60">
        <v>1</v>
      </c>
      <c r="H268" s="60"/>
      <c r="I268" s="92">
        <f>I266</f>
        <v>1</v>
      </c>
      <c r="J268" s="92">
        <f t="shared" ref="J268:N268" si="280">J266</f>
        <v>1525.80375</v>
      </c>
      <c r="K268" s="92">
        <f t="shared" si="280"/>
        <v>12.795</v>
      </c>
      <c r="L268" s="92">
        <f t="shared" si="280"/>
        <v>1525.80375</v>
      </c>
      <c r="M268" s="92">
        <f t="shared" si="280"/>
        <v>12.795</v>
      </c>
      <c r="N268" s="92">
        <f t="shared" si="280"/>
        <v>14.5</v>
      </c>
      <c r="O268" s="100">
        <v>31.54</v>
      </c>
      <c r="P268" s="58">
        <f t="shared" si="276"/>
        <v>0.33</v>
      </c>
      <c r="R268" s="61">
        <v>10</v>
      </c>
      <c r="S268" s="24"/>
      <c r="U268" s="101" t="str">
        <f t="shared" si="279"/>
        <v>TWS-SpCool_HET1</v>
      </c>
    </row>
    <row r="269" spans="2:21">
      <c r="B269" s="95"/>
      <c r="C269" s="96" t="str">
        <f t="shared" si="277"/>
        <v>RSDAHT</v>
      </c>
      <c r="D269" s="97" t="str">
        <f>[2]COMM!$E$19</f>
        <v>RSDAHT</v>
      </c>
      <c r="E269" s="95"/>
      <c r="F269" s="95"/>
      <c r="G269" s="60"/>
      <c r="H269" s="60">
        <f>1/3</f>
        <v>0.33333333333333298</v>
      </c>
      <c r="I269" s="92"/>
      <c r="J269" s="92"/>
      <c r="K269" s="92"/>
      <c r="L269" s="92"/>
      <c r="M269" s="92"/>
      <c r="N269" s="92"/>
      <c r="O269" s="92"/>
      <c r="P269" s="58">
        <f t="shared" si="276"/>
        <v>0.67</v>
      </c>
      <c r="S269" s="24"/>
      <c r="U269" s="101" t="str">
        <f t="shared" si="279"/>
        <v>ICS-SpCool_HET1</v>
      </c>
    </row>
    <row r="270" spans="2:21">
      <c r="B270" s="95" t="str">
        <f>U268</f>
        <v>TWS-SpCool_HET1</v>
      </c>
      <c r="C270" s="96" t="str">
        <f t="shared" si="277"/>
        <v>COMELC</v>
      </c>
      <c r="D270" s="96"/>
      <c r="E270" s="96" t="s">
        <v>418</v>
      </c>
      <c r="F270" s="95">
        <v>2021</v>
      </c>
      <c r="G270" s="60">
        <v>1</v>
      </c>
      <c r="H270" s="60"/>
      <c r="I270" s="92">
        <f>I268</f>
        <v>1</v>
      </c>
      <c r="J270" s="92">
        <f t="shared" ref="J270:N270" si="281">J268</f>
        <v>1525.80375</v>
      </c>
      <c r="K270" s="92">
        <f t="shared" si="281"/>
        <v>12.795</v>
      </c>
      <c r="L270" s="92">
        <f t="shared" si="281"/>
        <v>1525.80375</v>
      </c>
      <c r="M270" s="92">
        <f t="shared" si="281"/>
        <v>12.795</v>
      </c>
      <c r="N270" s="92">
        <f t="shared" si="281"/>
        <v>14.5</v>
      </c>
      <c r="O270" s="100">
        <v>31.54</v>
      </c>
      <c r="P270" s="58">
        <f t="shared" si="276"/>
        <v>0.33</v>
      </c>
      <c r="R270" s="61">
        <v>10</v>
      </c>
      <c r="S270" s="24"/>
      <c r="U270" s="101" t="str">
        <f t="shared" si="279"/>
        <v>OS-SpCool_HET1</v>
      </c>
    </row>
    <row r="271" spans="2:21">
      <c r="B271" s="95"/>
      <c r="C271" s="96" t="str">
        <f t="shared" si="277"/>
        <v>RSDAHT</v>
      </c>
      <c r="D271" s="97" t="str">
        <f>[2]COMM!$E$19</f>
        <v>RSDAHT</v>
      </c>
      <c r="E271" s="95"/>
      <c r="F271" s="95"/>
      <c r="G271" s="60"/>
      <c r="H271" s="60">
        <f>1/3</f>
        <v>0.33333333333333298</v>
      </c>
      <c r="I271" s="92"/>
      <c r="J271" s="92"/>
      <c r="K271" s="92"/>
      <c r="L271" s="92"/>
      <c r="M271" s="92"/>
      <c r="N271" s="92"/>
      <c r="O271" s="92"/>
      <c r="P271" s="58">
        <f t="shared" si="276"/>
        <v>0.67</v>
      </c>
      <c r="S271" s="24"/>
      <c r="U271" s="101" t="str">
        <f t="shared" si="279"/>
        <v>EDU-SpCool_HET1</v>
      </c>
    </row>
    <row r="272" spans="2:21">
      <c r="B272" s="95" t="str">
        <f>U269</f>
        <v>ICS-SpCool_HET1</v>
      </c>
      <c r="C272" s="96" t="str">
        <f t="shared" si="277"/>
        <v>COMELC</v>
      </c>
      <c r="D272" s="96"/>
      <c r="E272" s="96" t="s">
        <v>422</v>
      </c>
      <c r="F272" s="95">
        <v>2021</v>
      </c>
      <c r="G272" s="60">
        <v>1</v>
      </c>
      <c r="H272" s="60"/>
      <c r="I272" s="92">
        <f>I270</f>
        <v>1</v>
      </c>
      <c r="J272" s="92">
        <f t="shared" ref="J272:N272" si="282">J270</f>
        <v>1525.80375</v>
      </c>
      <c r="K272" s="92">
        <f t="shared" si="282"/>
        <v>12.795</v>
      </c>
      <c r="L272" s="92">
        <f t="shared" si="282"/>
        <v>1525.80375</v>
      </c>
      <c r="M272" s="92">
        <f t="shared" si="282"/>
        <v>12.795</v>
      </c>
      <c r="N272" s="92">
        <f t="shared" si="282"/>
        <v>14.5</v>
      </c>
      <c r="O272" s="99">
        <v>31.54</v>
      </c>
      <c r="P272" s="58">
        <f t="shared" si="276"/>
        <v>0.33</v>
      </c>
      <c r="R272" s="61">
        <v>10</v>
      </c>
      <c r="S272" s="24"/>
      <c r="U272" s="101" t="str">
        <f t="shared" si="279"/>
        <v>HSS-SpCool_HET1</v>
      </c>
    </row>
    <row r="273" spans="2:21">
      <c r="B273" s="95"/>
      <c r="C273" s="96" t="str">
        <f t="shared" si="277"/>
        <v>RSDAHT</v>
      </c>
      <c r="D273" s="97" t="str">
        <f>[2]COMM!$E$19</f>
        <v>RSDAHT</v>
      </c>
      <c r="E273" s="95"/>
      <c r="F273" s="95"/>
      <c r="G273" s="60"/>
      <c r="H273" s="60">
        <f>1/3</f>
        <v>0.33333333333333298</v>
      </c>
      <c r="I273" s="60"/>
      <c r="N273" s="95"/>
      <c r="O273" s="95"/>
      <c r="P273" s="58">
        <f t="shared" si="276"/>
        <v>0.67</v>
      </c>
      <c r="S273" s="24"/>
      <c r="U273" s="101" t="str">
        <f t="shared" si="279"/>
        <v>ART-SpCool_HET1</v>
      </c>
    </row>
    <row r="274" spans="2:21">
      <c r="B274" s="95" t="str">
        <f>U270</f>
        <v>OS-SpCool_HET1</v>
      </c>
      <c r="C274" s="96" t="str">
        <f t="shared" si="277"/>
        <v>COMELC</v>
      </c>
      <c r="D274" s="96"/>
      <c r="E274" s="96" t="s">
        <v>426</v>
      </c>
      <c r="F274" s="95">
        <v>2021</v>
      </c>
      <c r="G274" s="60">
        <v>1</v>
      </c>
      <c r="H274" s="60"/>
      <c r="I274" s="92">
        <f>I272</f>
        <v>1</v>
      </c>
      <c r="J274" s="92">
        <f t="shared" ref="J274:N274" si="283">J272</f>
        <v>1525.80375</v>
      </c>
      <c r="K274" s="92">
        <f t="shared" si="283"/>
        <v>12.795</v>
      </c>
      <c r="L274" s="92">
        <f t="shared" si="283"/>
        <v>1525.80375</v>
      </c>
      <c r="M274" s="92">
        <f t="shared" si="283"/>
        <v>12.795</v>
      </c>
      <c r="N274" s="92">
        <f t="shared" si="283"/>
        <v>14.5</v>
      </c>
      <c r="O274" s="99">
        <v>31.54</v>
      </c>
      <c r="P274" s="58">
        <f t="shared" si="276"/>
        <v>0.33</v>
      </c>
      <c r="R274" s="61">
        <v>10</v>
      </c>
      <c r="S274" s="24"/>
      <c r="U274" s="101" t="str">
        <f t="shared" si="279"/>
        <v>AFM-SpCool_HET1</v>
      </c>
    </row>
    <row r="275" spans="2:21">
      <c r="B275" s="95"/>
      <c r="C275" s="96" t="str">
        <f t="shared" si="277"/>
        <v>RSDAHT</v>
      </c>
      <c r="D275" s="97" t="str">
        <f>[2]COMM!$E$19</f>
        <v>RSDAHT</v>
      </c>
      <c r="E275" s="95"/>
      <c r="F275" s="95"/>
      <c r="G275" s="60"/>
      <c r="H275" s="60">
        <f>1/3</f>
        <v>0.33333333333333298</v>
      </c>
      <c r="I275" s="60"/>
      <c r="N275" s="95"/>
      <c r="O275" s="95"/>
      <c r="P275" s="58">
        <f t="shared" si="276"/>
        <v>0.67</v>
      </c>
      <c r="S275" s="24"/>
      <c r="U275" s="101" t="str">
        <f t="shared" si="279"/>
        <v>OTH-SpCool_HET1</v>
      </c>
    </row>
    <row r="276" spans="2:21">
      <c r="B276" s="95" t="str">
        <f>U271</f>
        <v>EDU-SpCool_HET1</v>
      </c>
      <c r="C276" s="96" t="str">
        <f t="shared" si="277"/>
        <v>COMELC</v>
      </c>
      <c r="D276" s="96"/>
      <c r="E276" s="96" t="s">
        <v>431</v>
      </c>
      <c r="F276" s="95">
        <v>2021</v>
      </c>
      <c r="G276" s="60">
        <v>1</v>
      </c>
      <c r="H276" s="60"/>
      <c r="I276" s="92">
        <f>I274</f>
        <v>1</v>
      </c>
      <c r="J276" s="92">
        <f t="shared" ref="J276:N276" si="284">J274</f>
        <v>1525.80375</v>
      </c>
      <c r="K276" s="92">
        <f t="shared" si="284"/>
        <v>12.795</v>
      </c>
      <c r="L276" s="92">
        <f t="shared" si="284"/>
        <v>1525.80375</v>
      </c>
      <c r="M276" s="92">
        <f t="shared" si="284"/>
        <v>12.795</v>
      </c>
      <c r="N276" s="92">
        <f t="shared" si="284"/>
        <v>14.5</v>
      </c>
      <c r="O276" s="99">
        <v>31.54</v>
      </c>
      <c r="P276" s="58">
        <f t="shared" si="276"/>
        <v>0.33</v>
      </c>
      <c r="R276" s="61">
        <v>10</v>
      </c>
      <c r="S276" s="24"/>
      <c r="U276" s="101"/>
    </row>
    <row r="277" spans="2:21">
      <c r="B277" s="95"/>
      <c r="C277" s="96" t="str">
        <f t="shared" si="277"/>
        <v>RSDAHT</v>
      </c>
      <c r="D277" s="97" t="str">
        <f>[2]COMM!$E$19</f>
        <v>RSDAHT</v>
      </c>
      <c r="E277" s="95"/>
      <c r="F277" s="95"/>
      <c r="G277" s="60"/>
      <c r="H277" s="60">
        <f>1/3</f>
        <v>0.33333333333333298</v>
      </c>
      <c r="I277" s="60"/>
      <c r="N277" s="95"/>
      <c r="O277" s="95"/>
      <c r="P277" s="58">
        <f t="shared" si="276"/>
        <v>0.67</v>
      </c>
      <c r="S277" s="24"/>
      <c r="U277" s="101"/>
    </row>
    <row r="278" spans="2:21">
      <c r="B278" s="95" t="str">
        <f>U272</f>
        <v>HSS-SpCool_HET1</v>
      </c>
      <c r="C278" s="96" t="str">
        <f t="shared" si="277"/>
        <v>COMELC</v>
      </c>
      <c r="D278" s="96"/>
      <c r="E278" s="96" t="s">
        <v>435</v>
      </c>
      <c r="F278" s="95">
        <v>2021</v>
      </c>
      <c r="G278" s="60">
        <v>1</v>
      </c>
      <c r="H278" s="60"/>
      <c r="I278" s="92">
        <f>I276</f>
        <v>1</v>
      </c>
      <c r="J278" s="92">
        <f t="shared" ref="J278:N278" si="285">J276</f>
        <v>1525.80375</v>
      </c>
      <c r="K278" s="92">
        <f t="shared" si="285"/>
        <v>12.795</v>
      </c>
      <c r="L278" s="92">
        <f t="shared" si="285"/>
        <v>1525.80375</v>
      </c>
      <c r="M278" s="92">
        <f t="shared" si="285"/>
        <v>12.795</v>
      </c>
      <c r="N278" s="92">
        <f t="shared" si="285"/>
        <v>14.5</v>
      </c>
      <c r="O278" s="99">
        <v>31.54</v>
      </c>
      <c r="P278" s="58">
        <f t="shared" si="276"/>
        <v>0.33</v>
      </c>
      <c r="R278" s="61">
        <v>10</v>
      </c>
      <c r="S278" s="24"/>
    </row>
    <row r="279" spans="2:21">
      <c r="B279" s="95"/>
      <c r="C279" s="96" t="str">
        <f t="shared" si="277"/>
        <v>RSDAHT</v>
      </c>
      <c r="D279" s="97" t="str">
        <f>[2]COMM!$E$19</f>
        <v>RSDAHT</v>
      </c>
      <c r="E279" s="95"/>
      <c r="F279" s="95"/>
      <c r="G279" s="60"/>
      <c r="H279" s="60">
        <f>1/3</f>
        <v>0.33333333333333298</v>
      </c>
      <c r="I279" s="60"/>
      <c r="N279" s="95"/>
      <c r="O279" s="95"/>
      <c r="P279" s="58">
        <f t="shared" si="276"/>
        <v>0.67</v>
      </c>
      <c r="S279" s="24"/>
    </row>
    <row r="280" spans="2:21">
      <c r="B280" s="95" t="str">
        <f>U273</f>
        <v>ART-SpCool_HET1</v>
      </c>
      <c r="C280" s="96" t="str">
        <f t="shared" si="277"/>
        <v>COMELC</v>
      </c>
      <c r="D280" s="96"/>
      <c r="E280" s="96" t="s">
        <v>439</v>
      </c>
      <c r="F280" s="95">
        <v>2021</v>
      </c>
      <c r="G280" s="60">
        <v>1</v>
      </c>
      <c r="H280" s="60"/>
      <c r="I280" s="92">
        <f>I278</f>
        <v>1</v>
      </c>
      <c r="J280" s="92">
        <f t="shared" ref="J280:N280" si="286">J278</f>
        <v>1525.80375</v>
      </c>
      <c r="K280" s="92">
        <f t="shared" si="286"/>
        <v>12.795</v>
      </c>
      <c r="L280" s="92">
        <f t="shared" si="286"/>
        <v>1525.80375</v>
      </c>
      <c r="M280" s="92">
        <f t="shared" si="286"/>
        <v>12.795</v>
      </c>
      <c r="N280" s="92">
        <f t="shared" si="286"/>
        <v>14.5</v>
      </c>
      <c r="O280" s="99">
        <v>31.54</v>
      </c>
      <c r="P280" s="58">
        <f t="shared" si="276"/>
        <v>0.33</v>
      </c>
      <c r="R280" s="61">
        <v>10</v>
      </c>
      <c r="S280" s="24"/>
    </row>
    <row r="281" spans="2:21">
      <c r="B281" s="95"/>
      <c r="C281" s="96" t="str">
        <f t="shared" si="277"/>
        <v>RSDAHT</v>
      </c>
      <c r="D281" s="97" t="str">
        <f>[2]COMM!$E$19</f>
        <v>RSDAHT</v>
      </c>
      <c r="E281" s="95"/>
      <c r="F281" s="95"/>
      <c r="G281" s="60"/>
      <c r="H281" s="60">
        <f>1/3</f>
        <v>0.33333333333333298</v>
      </c>
      <c r="I281" s="60"/>
      <c r="N281" s="95"/>
      <c r="O281" s="95"/>
      <c r="P281" s="58">
        <f t="shared" si="276"/>
        <v>0.67</v>
      </c>
      <c r="S281" s="24"/>
    </row>
    <row r="282" spans="2:21">
      <c r="B282" s="95" t="str">
        <f>U274</f>
        <v>AFM-SpCool_HET1</v>
      </c>
      <c r="C282" s="96" t="str">
        <f t="shared" si="277"/>
        <v>COMELC</v>
      </c>
      <c r="D282" s="96"/>
      <c r="E282" s="96" t="s">
        <v>444</v>
      </c>
      <c r="F282" s="95">
        <v>2021</v>
      </c>
      <c r="G282" s="60">
        <v>1</v>
      </c>
      <c r="H282" s="60"/>
      <c r="I282" s="92">
        <f>I280</f>
        <v>1</v>
      </c>
      <c r="J282" s="92">
        <f t="shared" ref="J282:N282" si="287">J280</f>
        <v>1525.80375</v>
      </c>
      <c r="K282" s="92">
        <f t="shared" si="287"/>
        <v>12.795</v>
      </c>
      <c r="L282" s="92">
        <f t="shared" si="287"/>
        <v>1525.80375</v>
      </c>
      <c r="M282" s="92">
        <f t="shared" si="287"/>
        <v>12.795</v>
      </c>
      <c r="N282" s="92">
        <f t="shared" si="287"/>
        <v>14.5</v>
      </c>
      <c r="O282" s="99">
        <v>31.54</v>
      </c>
      <c r="P282" s="58">
        <f t="shared" si="276"/>
        <v>0.33</v>
      </c>
      <c r="R282" s="61">
        <v>10</v>
      </c>
      <c r="S282" s="24"/>
    </row>
    <row r="283" spans="2:21">
      <c r="B283" s="95"/>
      <c r="C283" s="96" t="str">
        <f t="shared" si="277"/>
        <v>RSDAHT</v>
      </c>
      <c r="D283" s="97" t="str">
        <f>[2]COMM!$E$19</f>
        <v>RSDAHT</v>
      </c>
      <c r="E283" s="95"/>
      <c r="F283" s="95"/>
      <c r="G283" s="60"/>
      <c r="H283" s="60">
        <f>1/3</f>
        <v>0.33333333333333298</v>
      </c>
      <c r="I283" s="60"/>
      <c r="N283" s="95"/>
      <c r="O283" s="95"/>
      <c r="P283" s="58">
        <f t="shared" si="276"/>
        <v>0.67</v>
      </c>
      <c r="S283" s="24"/>
    </row>
    <row r="284" spans="2:21">
      <c r="B284" s="95" t="str">
        <f>U275</f>
        <v>OTH-SpCool_HET1</v>
      </c>
      <c r="C284" s="96" t="str">
        <f t="shared" si="277"/>
        <v>COMELC</v>
      </c>
      <c r="D284" s="96"/>
      <c r="E284" s="96" t="s">
        <v>448</v>
      </c>
      <c r="F284" s="95">
        <v>2021</v>
      </c>
      <c r="G284" s="60">
        <v>1</v>
      </c>
      <c r="H284" s="60"/>
      <c r="I284" s="92">
        <f>I282</f>
        <v>1</v>
      </c>
      <c r="J284" s="92">
        <f t="shared" ref="J284:N284" si="288">J282</f>
        <v>1525.80375</v>
      </c>
      <c r="K284" s="92">
        <f t="shared" si="288"/>
        <v>12.795</v>
      </c>
      <c r="L284" s="92">
        <f t="shared" si="288"/>
        <v>1525.80375</v>
      </c>
      <c r="M284" s="92">
        <f t="shared" si="288"/>
        <v>12.795</v>
      </c>
      <c r="N284" s="92">
        <f t="shared" si="288"/>
        <v>14.5</v>
      </c>
      <c r="O284" s="99">
        <v>31.54</v>
      </c>
      <c r="P284" s="58">
        <f t="shared" si="276"/>
        <v>0.33</v>
      </c>
      <c r="R284" s="61">
        <v>10</v>
      </c>
      <c r="S284" s="24"/>
    </row>
    <row r="285" spans="2:21">
      <c r="B285" s="95"/>
      <c r="C285" s="96" t="str">
        <f t="shared" si="277"/>
        <v>RSDAHT</v>
      </c>
      <c r="D285" s="97" t="str">
        <f>[2]COMM!$E$19</f>
        <v>RSDAHT</v>
      </c>
      <c r="E285" s="95"/>
      <c r="F285" s="95"/>
      <c r="G285" s="60"/>
      <c r="H285" s="60">
        <f>1/3</f>
        <v>0.33333333333333298</v>
      </c>
      <c r="I285" s="60"/>
      <c r="N285" s="95"/>
      <c r="O285" s="95"/>
      <c r="P285" s="58">
        <f t="shared" si="276"/>
        <v>0.67</v>
      </c>
      <c r="S285" s="24"/>
    </row>
    <row r="286" spans="2:21">
      <c r="G286" s="60"/>
      <c r="H286" s="60"/>
      <c r="I286" s="60"/>
    </row>
    <row r="287" spans="2:21">
      <c r="G287" s="60"/>
      <c r="H287" s="60"/>
      <c r="I287" s="60"/>
    </row>
    <row r="288" spans="2:21">
      <c r="G288" s="60"/>
      <c r="H288" s="60"/>
      <c r="I288" s="60"/>
    </row>
    <row r="289" spans="7:9">
      <c r="G289" s="60"/>
      <c r="H289" s="60"/>
      <c r="I289" s="60"/>
    </row>
    <row r="290" spans="7:9">
      <c r="G290" s="60"/>
      <c r="H290" s="60"/>
      <c r="I290" s="60"/>
    </row>
    <row r="291" spans="7:9">
      <c r="G291" s="60"/>
      <c r="H291" s="60"/>
      <c r="I291" s="60"/>
    </row>
    <row r="292" spans="7:9">
      <c r="G292" s="60"/>
      <c r="H292" s="60"/>
      <c r="I292" s="60"/>
    </row>
    <row r="293" spans="7:9">
      <c r="G293" s="60"/>
      <c r="H293" s="60"/>
      <c r="I293" s="60"/>
    </row>
    <row r="294" spans="7:9">
      <c r="G294" s="60"/>
      <c r="H294" s="60"/>
      <c r="I294" s="60"/>
    </row>
    <row r="295" spans="7:9">
      <c r="G295" s="60"/>
      <c r="H295" s="60"/>
      <c r="I295" s="60"/>
    </row>
    <row r="296" spans="7:9">
      <c r="G296" s="60"/>
      <c r="H296" s="60"/>
      <c r="I296" s="60"/>
    </row>
    <row r="297" spans="7:9">
      <c r="G297" s="60"/>
      <c r="H297" s="60"/>
      <c r="I297" s="60"/>
    </row>
    <row r="298" spans="7:9">
      <c r="G298" s="60"/>
      <c r="H298" s="60"/>
      <c r="I298" s="60"/>
    </row>
    <row r="299" spans="7:9">
      <c r="G299" s="60"/>
      <c r="H299" s="60"/>
      <c r="I299" s="60"/>
    </row>
    <row r="300" spans="7:9">
      <c r="G300" s="60"/>
      <c r="H300" s="60"/>
      <c r="I300" s="60"/>
    </row>
    <row r="301" spans="7:9">
      <c r="G301" s="60"/>
      <c r="H301" s="60"/>
      <c r="I301" s="60"/>
    </row>
    <row r="302" spans="7:9">
      <c r="G302" s="60"/>
      <c r="H302" s="60"/>
      <c r="I302" s="60"/>
    </row>
    <row r="303" spans="7:9">
      <c r="G303" s="60"/>
      <c r="H303" s="60"/>
      <c r="I303" s="60"/>
    </row>
    <row r="304" spans="7:9">
      <c r="G304" s="60"/>
      <c r="H304" s="60"/>
      <c r="I304" s="60"/>
    </row>
    <row r="305" spans="7:9">
      <c r="G305" s="60"/>
      <c r="H305" s="60"/>
      <c r="I305" s="60"/>
    </row>
    <row r="306" spans="7:9">
      <c r="G306" s="60"/>
      <c r="H306" s="60"/>
      <c r="I306" s="60"/>
    </row>
    <row r="307" spans="7:9">
      <c r="G307" s="60"/>
      <c r="H307" s="60"/>
      <c r="I307" s="60"/>
    </row>
    <row r="308" spans="7:9">
      <c r="G308" s="60"/>
      <c r="H308" s="60"/>
      <c r="I308" s="60"/>
    </row>
    <row r="309" spans="7:9">
      <c r="G309" s="60"/>
      <c r="H309" s="60"/>
      <c r="I309" s="60"/>
    </row>
    <row r="310" spans="7:9">
      <c r="G310" s="60"/>
      <c r="H310" s="60"/>
      <c r="I310" s="60"/>
    </row>
    <row r="311" spans="7:9">
      <c r="G311" s="60"/>
      <c r="H311" s="60"/>
      <c r="I311" s="60"/>
    </row>
    <row r="312" spans="7:9">
      <c r="G312" s="60"/>
      <c r="H312" s="60"/>
      <c r="I312" s="60"/>
    </row>
    <row r="313" spans="7:9">
      <c r="G313" s="60"/>
      <c r="H313" s="60"/>
      <c r="I313" s="60"/>
    </row>
    <row r="314" spans="7:9">
      <c r="G314" s="60"/>
      <c r="H314" s="60"/>
      <c r="I314" s="60"/>
    </row>
    <row r="315" spans="7:9">
      <c r="G315" s="60"/>
      <c r="H315" s="60"/>
      <c r="I315" s="60"/>
    </row>
    <row r="316" spans="7:9">
      <c r="G316" s="60"/>
      <c r="H316" s="60"/>
      <c r="I316" s="60"/>
    </row>
    <row r="317" spans="7:9">
      <c r="G317" s="60"/>
      <c r="H317" s="60"/>
      <c r="I317" s="60"/>
    </row>
    <row r="318" spans="7:9">
      <c r="G318" s="60"/>
      <c r="H318" s="60"/>
      <c r="I318" s="60"/>
    </row>
    <row r="319" spans="7:9">
      <c r="G319" s="60"/>
      <c r="H319" s="60"/>
      <c r="I319" s="60"/>
    </row>
    <row r="320" spans="7:9">
      <c r="G320" s="60"/>
      <c r="H320" s="60"/>
      <c r="I320" s="60"/>
    </row>
    <row r="321" spans="7:9">
      <c r="G321" s="60"/>
      <c r="H321" s="60"/>
      <c r="I321" s="60"/>
    </row>
    <row r="322" spans="7:9">
      <c r="G322" s="60"/>
      <c r="H322" s="60"/>
      <c r="I322" s="60"/>
    </row>
    <row r="323" spans="7:9">
      <c r="G323" s="60"/>
      <c r="H323" s="60"/>
      <c r="I323" s="60"/>
    </row>
    <row r="324" spans="7:9">
      <c r="G324" s="60"/>
      <c r="H324" s="60"/>
      <c r="I324" s="60"/>
    </row>
    <row r="325" spans="7:9">
      <c r="G325" s="60"/>
      <c r="H325" s="60"/>
      <c r="I325" s="60"/>
    </row>
    <row r="326" spans="7:9">
      <c r="G326" s="60"/>
      <c r="H326" s="60"/>
      <c r="I326" s="60"/>
    </row>
    <row r="327" spans="7:9">
      <c r="G327" s="60"/>
      <c r="H327" s="60"/>
      <c r="I327" s="60"/>
    </row>
    <row r="328" spans="7:9">
      <c r="G328" s="60"/>
      <c r="H328" s="60"/>
      <c r="I328" s="60"/>
    </row>
    <row r="329" spans="7:9">
      <c r="G329" s="60"/>
      <c r="H329" s="60"/>
      <c r="I329" s="60"/>
    </row>
    <row r="330" spans="7:9">
      <c r="G330" s="60"/>
      <c r="H330" s="60"/>
      <c r="I330" s="60"/>
    </row>
    <row r="331" spans="7:9">
      <c r="G331" s="60"/>
      <c r="H331" s="60"/>
      <c r="I331" s="60"/>
    </row>
    <row r="332" spans="7:9">
      <c r="G332" s="60"/>
      <c r="H332" s="60"/>
      <c r="I332" s="60"/>
    </row>
    <row r="333" spans="7:9">
      <c r="G333" s="60"/>
      <c r="H333" s="60"/>
      <c r="I333" s="60"/>
    </row>
    <row r="334" spans="7:9">
      <c r="G334" s="60"/>
      <c r="H334" s="60"/>
      <c r="I334" s="60"/>
    </row>
    <row r="335" spans="7:9">
      <c r="G335" s="60"/>
      <c r="H335" s="60"/>
      <c r="I335" s="60"/>
    </row>
    <row r="336" spans="7:9">
      <c r="G336" s="60"/>
      <c r="H336" s="60"/>
      <c r="I336" s="60"/>
    </row>
    <row r="337" spans="7:9">
      <c r="G337" s="60"/>
      <c r="H337" s="60"/>
      <c r="I337" s="60"/>
    </row>
    <row r="338" spans="7:9">
      <c r="G338" s="60"/>
      <c r="H338" s="60"/>
      <c r="I338" s="60"/>
    </row>
    <row r="339" spans="7:9">
      <c r="G339" s="60"/>
      <c r="H339" s="60"/>
      <c r="I339" s="60"/>
    </row>
  </sheetData>
  <pageMargins left="0.7" right="0.7" top="0.75" bottom="0.75" header="0.3" footer="0.3"/>
  <pageSetup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5:AN102"/>
  <sheetViews>
    <sheetView zoomScale="47" zoomScaleNormal="47" workbookViewId="0">
      <selection activeCell="M8" sqref="M8"/>
    </sheetView>
  </sheetViews>
  <sheetFormatPr defaultColWidth="8.7265625" defaultRowHeight="14.5"/>
  <cols>
    <col min="3" max="3" width="31.08984375" customWidth="1"/>
    <col min="6" max="6" width="19.7265625" customWidth="1"/>
    <col min="8" max="8" width="12.81640625"/>
    <col min="10" max="16" width="12.81640625"/>
    <col min="19" max="19" width="17.08984375" customWidth="1"/>
    <col min="23" max="23" width="35" customWidth="1"/>
    <col min="37" max="37" width="12.81640625"/>
  </cols>
  <sheetData>
    <row r="5" spans="3:40">
      <c r="F5" s="12" t="s">
        <v>10</v>
      </c>
      <c r="G5" s="41"/>
      <c r="H5" s="42"/>
      <c r="I5" s="42"/>
      <c r="J5" s="42"/>
      <c r="Q5" s="41"/>
      <c r="V5" s="20" t="s">
        <v>11</v>
      </c>
      <c r="W5" s="20"/>
      <c r="X5" s="48"/>
      <c r="Y5" s="48"/>
      <c r="Z5" s="48"/>
      <c r="AA5" s="48"/>
      <c r="AB5" s="48"/>
      <c r="AC5" s="48"/>
      <c r="AJ5" s="12" t="s">
        <v>10</v>
      </c>
      <c r="AK5" s="41"/>
      <c r="AL5" s="42"/>
      <c r="AM5" s="42"/>
      <c r="AN5" s="42"/>
    </row>
    <row r="6" spans="3:40" ht="26">
      <c r="C6" s="13" t="s">
        <v>12</v>
      </c>
      <c r="D6" s="13" t="s">
        <v>13</v>
      </c>
      <c r="E6" s="43" t="s">
        <v>14</v>
      </c>
      <c r="F6" s="13" t="s">
        <v>15</v>
      </c>
      <c r="G6" s="44" t="s">
        <v>16</v>
      </c>
      <c r="H6" s="45" t="s">
        <v>17</v>
      </c>
      <c r="I6" s="45" t="s">
        <v>573</v>
      </c>
      <c r="J6" s="45" t="s">
        <v>19</v>
      </c>
      <c r="K6" s="15" t="s">
        <v>20</v>
      </c>
      <c r="L6" s="15" t="s">
        <v>21</v>
      </c>
      <c r="M6" s="15" t="s">
        <v>22</v>
      </c>
      <c r="N6" s="15" t="s">
        <v>23</v>
      </c>
      <c r="O6" s="15" t="s">
        <v>24</v>
      </c>
      <c r="P6" s="15" t="s">
        <v>25</v>
      </c>
      <c r="Q6" s="49" t="s">
        <v>26</v>
      </c>
      <c r="R6" s="27" t="s">
        <v>27</v>
      </c>
      <c r="S6" s="50" t="s">
        <v>574</v>
      </c>
      <c r="T6" s="51" t="s">
        <v>28</v>
      </c>
      <c r="V6" s="52" t="s">
        <v>29</v>
      </c>
      <c r="W6" s="52" t="s">
        <v>12</v>
      </c>
      <c r="X6" s="52" t="s">
        <v>30</v>
      </c>
      <c r="Y6" s="52" t="s">
        <v>31</v>
      </c>
      <c r="Z6" s="52" t="s">
        <v>32</v>
      </c>
      <c r="AA6" s="52" t="s">
        <v>33</v>
      </c>
      <c r="AB6" s="52" t="s">
        <v>34</v>
      </c>
      <c r="AC6" s="52"/>
      <c r="AG6" s="13" t="s">
        <v>12</v>
      </c>
      <c r="AH6" s="13" t="s">
        <v>13</v>
      </c>
      <c r="AI6" s="43" t="s">
        <v>14</v>
      </c>
      <c r="AJ6" s="13" t="s">
        <v>15</v>
      </c>
      <c r="AK6" s="55" t="s">
        <v>19</v>
      </c>
      <c r="AL6" s="56" t="s">
        <v>18</v>
      </c>
      <c r="AM6" s="45"/>
      <c r="AN6" s="45"/>
    </row>
    <row r="7" spans="3:40" ht="187.5">
      <c r="C7" t="str">
        <f>W7</f>
        <v>R_ES-SH-SD_GAS_hydrogen_HE1</v>
      </c>
      <c r="D7" t="s">
        <v>44</v>
      </c>
      <c r="F7" t="s">
        <v>37</v>
      </c>
      <c r="G7" s="41">
        <f>RSD!G11</f>
        <v>2021</v>
      </c>
      <c r="H7" s="41">
        <f>RSD!H11</f>
        <v>0.9</v>
      </c>
      <c r="I7" s="41"/>
      <c r="J7" s="41"/>
      <c r="K7" s="41">
        <f>RSD!K11</f>
        <v>573.73784999999998</v>
      </c>
      <c r="L7" s="41">
        <f>RSD!L11</f>
        <v>6</v>
      </c>
      <c r="M7" s="41">
        <f>RSD!M11</f>
        <v>573.73784999999998</v>
      </c>
      <c r="N7" s="41">
        <f>RSD!N11</f>
        <v>6</v>
      </c>
      <c r="O7" s="41">
        <f>RSD!O11</f>
        <v>573.73784999999998</v>
      </c>
      <c r="P7" s="41">
        <f>RSD!P11</f>
        <v>6</v>
      </c>
      <c r="Q7" s="41">
        <f>RSD!Q11</f>
        <v>22</v>
      </c>
      <c r="R7" s="41">
        <f>RSD!R11</f>
        <v>31.54</v>
      </c>
      <c r="S7">
        <f t="shared" ref="S7:S11" si="0">1-S8</f>
        <v>0.8</v>
      </c>
      <c r="T7">
        <f t="shared" ref="T7:T11" si="1">1-T8</f>
        <v>1</v>
      </c>
      <c r="V7" s="53" t="s">
        <v>38</v>
      </c>
      <c r="W7" t="s">
        <v>575</v>
      </c>
      <c r="X7" s="53"/>
      <c r="Y7" s="53" t="s">
        <v>39</v>
      </c>
      <c r="Z7" s="53" t="s">
        <v>40</v>
      </c>
      <c r="AA7" s="53"/>
      <c r="AB7" s="53"/>
      <c r="AC7" s="53"/>
      <c r="AG7" t="str">
        <f>C7</f>
        <v>R_ES-SH-SD_GAS_hydrogen_HE1</v>
      </c>
      <c r="AK7">
        <f>AVERAGE(RSD!J155:J157)</f>
        <v>0.27644125731911001</v>
      </c>
      <c r="AL7" s="57" t="s">
        <v>182</v>
      </c>
    </row>
    <row r="8" spans="3:40" ht="187.5">
      <c r="D8" s="46" t="s">
        <v>576</v>
      </c>
      <c r="S8" s="54">
        <v>0.2</v>
      </c>
      <c r="T8">
        <v>0</v>
      </c>
      <c r="W8" t="s">
        <v>18</v>
      </c>
      <c r="AA8" s="53"/>
      <c r="AG8" t="str">
        <f>C9</f>
        <v>R_ES-SH-SA_GAS_hydrogen_HE1</v>
      </c>
      <c r="AK8">
        <f>RSD!J174</f>
        <v>0.14800955955630901</v>
      </c>
      <c r="AL8" s="57" t="s">
        <v>182</v>
      </c>
    </row>
    <row r="9" spans="3:40" ht="187.5">
      <c r="C9" t="str">
        <f>W9</f>
        <v>R_ES-SH-SA_GAS_hydrogen_HE1</v>
      </c>
      <c r="D9" t="s">
        <v>44</v>
      </c>
      <c r="F9" t="s">
        <v>77</v>
      </c>
      <c r="G9">
        <f>G7</f>
        <v>2021</v>
      </c>
      <c r="H9">
        <f t="shared" ref="H9:R9" si="2">H7</f>
        <v>0.9</v>
      </c>
      <c r="K9">
        <f t="shared" si="2"/>
        <v>573.73784999999998</v>
      </c>
      <c r="L9">
        <f t="shared" si="2"/>
        <v>6</v>
      </c>
      <c r="M9">
        <f t="shared" si="2"/>
        <v>573.73784999999998</v>
      </c>
      <c r="N9">
        <f t="shared" si="2"/>
        <v>6</v>
      </c>
      <c r="O9">
        <f t="shared" si="2"/>
        <v>573.73784999999998</v>
      </c>
      <c r="P9">
        <f t="shared" si="2"/>
        <v>6</v>
      </c>
      <c r="Q9">
        <f t="shared" si="2"/>
        <v>22</v>
      </c>
      <c r="R9">
        <f t="shared" si="2"/>
        <v>31.54</v>
      </c>
      <c r="S9">
        <f t="shared" si="0"/>
        <v>0.8</v>
      </c>
      <c r="T9">
        <f t="shared" si="1"/>
        <v>1</v>
      </c>
      <c r="W9" t="s">
        <v>577</v>
      </c>
      <c r="Y9" s="53" t="s">
        <v>39</v>
      </c>
      <c r="Z9" s="53" t="s">
        <v>40</v>
      </c>
      <c r="AA9" s="53"/>
      <c r="AB9" s="53"/>
      <c r="AC9" s="53"/>
      <c r="AG9" t="str">
        <f>C11</f>
        <v>R_ES-SH-AP_GAS_hydrogen_HE1</v>
      </c>
      <c r="AK9">
        <f>RSD!J193</f>
        <v>0.18900772326984999</v>
      </c>
      <c r="AL9" s="57" t="s">
        <v>182</v>
      </c>
    </row>
    <row r="10" spans="3:40" ht="187.5">
      <c r="D10" t="str">
        <f>D8</f>
        <v>RSDSYNH2CT</v>
      </c>
      <c r="S10">
        <f t="shared" ref="S10:S14" si="3">S8</f>
        <v>0.2</v>
      </c>
      <c r="T10">
        <v>0</v>
      </c>
      <c r="W10" t="s">
        <v>18</v>
      </c>
      <c r="AA10" s="53"/>
      <c r="AG10" t="str">
        <f>C13</f>
        <v>R_ES-SH-MOB_GAS_hydrogen_HE1</v>
      </c>
      <c r="AK10">
        <f>RSD!J212</f>
        <v>0.54266563522157496</v>
      </c>
      <c r="AL10" s="57" t="s">
        <v>182</v>
      </c>
    </row>
    <row r="11" spans="3:40" ht="187.5">
      <c r="C11" t="str">
        <f>W11</f>
        <v>R_ES-SH-AP_GAS_hydrogen_HE1</v>
      </c>
      <c r="D11" t="str">
        <f>D7</f>
        <v>RSDGAS</v>
      </c>
      <c r="F11" t="s">
        <v>92</v>
      </c>
      <c r="G11">
        <f t="shared" ref="G11:R11" si="4">G9</f>
        <v>2021</v>
      </c>
      <c r="H11">
        <f t="shared" si="4"/>
        <v>0.9</v>
      </c>
      <c r="K11">
        <f t="shared" si="4"/>
        <v>573.73784999999998</v>
      </c>
      <c r="L11">
        <f t="shared" si="4"/>
        <v>6</v>
      </c>
      <c r="M11">
        <f t="shared" si="4"/>
        <v>573.73784999999998</v>
      </c>
      <c r="N11">
        <f t="shared" si="4"/>
        <v>6</v>
      </c>
      <c r="O11">
        <f t="shared" si="4"/>
        <v>573.73784999999998</v>
      </c>
      <c r="P11">
        <f t="shared" si="4"/>
        <v>6</v>
      </c>
      <c r="Q11">
        <f t="shared" si="4"/>
        <v>22</v>
      </c>
      <c r="R11">
        <f t="shared" si="4"/>
        <v>31.54</v>
      </c>
      <c r="S11">
        <f t="shared" si="0"/>
        <v>0.8</v>
      </c>
      <c r="T11">
        <f t="shared" si="1"/>
        <v>1</v>
      </c>
      <c r="W11" t="s">
        <v>578</v>
      </c>
      <c r="Y11" s="53" t="s">
        <v>39</v>
      </c>
      <c r="Z11" s="53" t="s">
        <v>40</v>
      </c>
      <c r="AA11" s="53"/>
      <c r="AB11" s="53"/>
      <c r="AC11" s="53"/>
      <c r="AG11" t="s">
        <v>579</v>
      </c>
      <c r="AK11">
        <f>COM!AJ7</f>
        <v>0.4694684934038334</v>
      </c>
      <c r="AL11" s="57" t="s">
        <v>182</v>
      </c>
    </row>
    <row r="12" spans="3:40" ht="175">
      <c r="D12" t="str">
        <f t="shared" ref="D12:D20" si="5">D8</f>
        <v>RSDSYNH2CT</v>
      </c>
      <c r="S12">
        <f t="shared" si="3"/>
        <v>0.2</v>
      </c>
      <c r="T12">
        <v>0</v>
      </c>
      <c r="W12" t="s">
        <v>18</v>
      </c>
      <c r="AA12" s="53"/>
      <c r="AG12" t="s">
        <v>580</v>
      </c>
      <c r="AK12">
        <f>COM!AJ67</f>
        <v>1.3415972844263499E-2</v>
      </c>
      <c r="AL12" s="57" t="s">
        <v>183</v>
      </c>
    </row>
    <row r="13" spans="3:40">
      <c r="C13" t="str">
        <f>W13</f>
        <v>R_ES-SH-MOB_GAS_hydrogen_HE1</v>
      </c>
      <c r="D13" t="str">
        <f t="shared" si="5"/>
        <v>RSDGAS</v>
      </c>
      <c r="F13" t="s">
        <v>107</v>
      </c>
      <c r="G13">
        <f t="shared" ref="G13:R13" si="6">G11</f>
        <v>2021</v>
      </c>
      <c r="H13">
        <f t="shared" si="6"/>
        <v>0.9</v>
      </c>
      <c r="K13">
        <f t="shared" si="6"/>
        <v>573.73784999999998</v>
      </c>
      <c r="L13">
        <f t="shared" si="6"/>
        <v>6</v>
      </c>
      <c r="M13">
        <f t="shared" si="6"/>
        <v>573.73784999999998</v>
      </c>
      <c r="N13">
        <f t="shared" si="6"/>
        <v>6</v>
      </c>
      <c r="O13">
        <f t="shared" si="6"/>
        <v>573.73784999999998</v>
      </c>
      <c r="P13">
        <f t="shared" si="6"/>
        <v>6</v>
      </c>
      <c r="Q13">
        <f t="shared" si="6"/>
        <v>22</v>
      </c>
      <c r="R13">
        <f t="shared" si="6"/>
        <v>31.54</v>
      </c>
      <c r="S13">
        <f t="shared" ref="S13:S17" si="7">1-S14</f>
        <v>0.8</v>
      </c>
      <c r="T13">
        <f t="shared" ref="T13:T17" si="8">1-T14</f>
        <v>1</v>
      </c>
      <c r="W13" t="s">
        <v>581</v>
      </c>
      <c r="Y13" s="53" t="s">
        <v>39</v>
      </c>
      <c r="Z13" s="53" t="s">
        <v>40</v>
      </c>
      <c r="AA13" s="53"/>
      <c r="AB13" s="53"/>
      <c r="AC13" s="53"/>
    </row>
    <row r="14" spans="3:40">
      <c r="D14" t="str">
        <f t="shared" si="5"/>
        <v>RSDSYNH2CT</v>
      </c>
      <c r="S14">
        <f t="shared" si="3"/>
        <v>0.2</v>
      </c>
      <c r="T14">
        <v>0</v>
      </c>
      <c r="W14" t="s">
        <v>18</v>
      </c>
      <c r="AA14" s="53"/>
    </row>
    <row r="15" spans="3:40">
      <c r="C15" s="47" t="str">
        <f>W15</f>
        <v>R_ES-WH-SD_GAS_hydrogen1</v>
      </c>
      <c r="D15" s="47" t="s">
        <v>44</v>
      </c>
      <c r="E15" s="47"/>
      <c r="F15" s="47" t="s">
        <v>130</v>
      </c>
      <c r="G15">
        <f>RSD!G91</f>
        <v>2021</v>
      </c>
      <c r="H15">
        <f>RSD!H91</f>
        <v>0.96332670696629996</v>
      </c>
      <c r="J15">
        <f>RSD!J91</f>
        <v>0.436692238879344</v>
      </c>
      <c r="K15">
        <f>RSD!K91</f>
        <v>188.75</v>
      </c>
      <c r="L15">
        <f>RSD!L91</f>
        <v>1.6666666666666701</v>
      </c>
      <c r="M15">
        <f>RSD!M91</f>
        <v>188.75</v>
      </c>
      <c r="N15">
        <f>RSD!N91</f>
        <v>1.6666666666666701</v>
      </c>
      <c r="O15">
        <f>RSD!O91</f>
        <v>188.75</v>
      </c>
      <c r="P15">
        <f>RSD!P91</f>
        <v>1.6666666666666701</v>
      </c>
      <c r="Q15">
        <f>RSD!Q91</f>
        <v>19</v>
      </c>
      <c r="R15">
        <f>RSD!R91</f>
        <v>31.54</v>
      </c>
      <c r="S15">
        <f t="shared" si="7"/>
        <v>0.8</v>
      </c>
      <c r="T15">
        <f t="shared" si="8"/>
        <v>1</v>
      </c>
      <c r="W15" s="47" t="s">
        <v>582</v>
      </c>
      <c r="Y15" s="53" t="s">
        <v>39</v>
      </c>
      <c r="Z15" s="53" t="s">
        <v>40</v>
      </c>
      <c r="AA15" s="53"/>
      <c r="AB15" s="53"/>
      <c r="AC15" s="53"/>
    </row>
    <row r="16" spans="3:40">
      <c r="C16" s="47"/>
      <c r="D16" t="str">
        <f>D14</f>
        <v>RSDSYNH2CT</v>
      </c>
      <c r="S16" s="54">
        <v>0.2</v>
      </c>
      <c r="T16">
        <v>0</v>
      </c>
      <c r="W16" t="s">
        <v>18</v>
      </c>
      <c r="AA16" s="53"/>
    </row>
    <row r="17" spans="3:29">
      <c r="C17" s="47" t="str">
        <f t="shared" ref="C17:C21" si="9">W17</f>
        <v>R_ES-WH-SA_GAS_hydrogen1</v>
      </c>
      <c r="D17" t="str">
        <f t="shared" si="5"/>
        <v>RSDGAS</v>
      </c>
      <c r="F17" s="47" t="s">
        <v>138</v>
      </c>
      <c r="G17">
        <f>G15</f>
        <v>2021</v>
      </c>
      <c r="H17">
        <f t="shared" ref="H17:R17" si="10">H15</f>
        <v>0.96332670696629996</v>
      </c>
      <c r="J17">
        <f t="shared" si="10"/>
        <v>0.436692238879344</v>
      </c>
      <c r="K17">
        <f t="shared" si="10"/>
        <v>188.75</v>
      </c>
      <c r="L17">
        <f t="shared" si="10"/>
        <v>1.6666666666666701</v>
      </c>
      <c r="M17">
        <f t="shared" si="10"/>
        <v>188.75</v>
      </c>
      <c r="N17">
        <f t="shared" si="10"/>
        <v>1.6666666666666701</v>
      </c>
      <c r="O17">
        <f t="shared" si="10"/>
        <v>188.75</v>
      </c>
      <c r="P17">
        <f t="shared" si="10"/>
        <v>1.6666666666666701</v>
      </c>
      <c r="Q17">
        <f t="shared" si="10"/>
        <v>19</v>
      </c>
      <c r="R17">
        <f t="shared" si="10"/>
        <v>31.54</v>
      </c>
      <c r="S17">
        <f t="shared" si="7"/>
        <v>0.8</v>
      </c>
      <c r="T17">
        <f t="shared" si="8"/>
        <v>1</v>
      </c>
      <c r="W17" s="47" t="s">
        <v>583</v>
      </c>
      <c r="Y17" s="53" t="s">
        <v>39</v>
      </c>
      <c r="Z17" s="53" t="s">
        <v>40</v>
      </c>
      <c r="AA17" s="53"/>
      <c r="AB17" s="53"/>
      <c r="AC17" s="53"/>
    </row>
    <row r="18" spans="3:29">
      <c r="C18" s="47"/>
      <c r="D18" t="str">
        <f t="shared" si="5"/>
        <v>RSDSYNH2CT</v>
      </c>
      <c r="S18">
        <f t="shared" ref="S18:S22" si="11">S16</f>
        <v>0.2</v>
      </c>
      <c r="T18">
        <f t="shared" ref="T18:T22" si="12">T16</f>
        <v>0</v>
      </c>
      <c r="W18" t="s">
        <v>18</v>
      </c>
      <c r="AA18" s="53"/>
    </row>
    <row r="19" spans="3:29">
      <c r="C19" s="47" t="str">
        <f t="shared" si="9"/>
        <v>R_ES-WH-AP_GAS_hydrogen1</v>
      </c>
      <c r="D19" t="str">
        <f t="shared" si="5"/>
        <v>RSDGAS</v>
      </c>
      <c r="F19" s="47" t="s">
        <v>145</v>
      </c>
      <c r="G19">
        <f t="shared" ref="G19:R19" si="13">G17</f>
        <v>2021</v>
      </c>
      <c r="H19">
        <f t="shared" si="13"/>
        <v>0.96332670696629996</v>
      </c>
      <c r="J19">
        <f t="shared" si="13"/>
        <v>0.436692238879344</v>
      </c>
      <c r="K19">
        <f t="shared" si="13"/>
        <v>188.75</v>
      </c>
      <c r="L19">
        <f t="shared" si="13"/>
        <v>1.6666666666666701</v>
      </c>
      <c r="M19">
        <f t="shared" si="13"/>
        <v>188.75</v>
      </c>
      <c r="N19">
        <f t="shared" si="13"/>
        <v>1.6666666666666701</v>
      </c>
      <c r="O19">
        <f t="shared" si="13"/>
        <v>188.75</v>
      </c>
      <c r="P19">
        <f t="shared" si="13"/>
        <v>1.6666666666666701</v>
      </c>
      <c r="Q19">
        <f t="shared" si="13"/>
        <v>19</v>
      </c>
      <c r="R19">
        <f t="shared" si="13"/>
        <v>31.54</v>
      </c>
      <c r="S19">
        <f t="shared" ref="S19:S23" si="14">1-S20</f>
        <v>0.8</v>
      </c>
      <c r="T19">
        <f t="shared" ref="T19:T23" si="15">1-T20</f>
        <v>1</v>
      </c>
      <c r="W19" s="47" t="s">
        <v>584</v>
      </c>
      <c r="Y19" s="53" t="s">
        <v>39</v>
      </c>
      <c r="Z19" s="53" t="s">
        <v>40</v>
      </c>
      <c r="AA19" s="53"/>
      <c r="AB19" s="53"/>
      <c r="AC19" s="53"/>
    </row>
    <row r="20" spans="3:29">
      <c r="C20" s="47"/>
      <c r="D20" t="str">
        <f t="shared" si="5"/>
        <v>RSDSYNH2CT</v>
      </c>
      <c r="S20">
        <f t="shared" si="11"/>
        <v>0.2</v>
      </c>
      <c r="T20">
        <f t="shared" si="12"/>
        <v>0</v>
      </c>
      <c r="W20" t="s">
        <v>18</v>
      </c>
      <c r="AA20" s="53"/>
    </row>
    <row r="21" spans="3:29">
      <c r="C21" s="47" t="str">
        <f t="shared" si="9"/>
        <v>R_ES-WH-MOB_GAS_hydrogen1</v>
      </c>
      <c r="D21" s="47" t="s">
        <v>44</v>
      </c>
      <c r="F21" s="47" t="s">
        <v>152</v>
      </c>
      <c r="G21">
        <f t="shared" ref="G21:R21" si="16">G19</f>
        <v>2021</v>
      </c>
      <c r="H21">
        <f t="shared" si="16"/>
        <v>0.96332670696629996</v>
      </c>
      <c r="J21">
        <f t="shared" si="16"/>
        <v>0.436692238879344</v>
      </c>
      <c r="K21">
        <f t="shared" si="16"/>
        <v>188.75</v>
      </c>
      <c r="L21">
        <f t="shared" si="16"/>
        <v>1.6666666666666701</v>
      </c>
      <c r="M21">
        <f t="shared" si="16"/>
        <v>188.75</v>
      </c>
      <c r="N21">
        <f t="shared" si="16"/>
        <v>1.6666666666666701</v>
      </c>
      <c r="O21">
        <f t="shared" si="16"/>
        <v>188.75</v>
      </c>
      <c r="P21">
        <f t="shared" si="16"/>
        <v>1.6666666666666701</v>
      </c>
      <c r="Q21">
        <f t="shared" si="16"/>
        <v>19</v>
      </c>
      <c r="R21">
        <f t="shared" si="16"/>
        <v>31.54</v>
      </c>
      <c r="S21">
        <f t="shared" si="14"/>
        <v>0.8</v>
      </c>
      <c r="T21">
        <f t="shared" si="15"/>
        <v>1</v>
      </c>
      <c r="W21" s="47" t="s">
        <v>585</v>
      </c>
      <c r="Y21" s="53" t="s">
        <v>39</v>
      </c>
      <c r="Z21" s="53" t="s">
        <v>40</v>
      </c>
      <c r="AA21" s="53"/>
      <c r="AB21" s="53"/>
      <c r="AC21" s="53"/>
    </row>
    <row r="22" spans="3:29">
      <c r="D22" t="str">
        <f>D20</f>
        <v>RSDSYNH2CT</v>
      </c>
      <c r="S22">
        <f t="shared" si="11"/>
        <v>0.2</v>
      </c>
      <c r="T22">
        <f t="shared" si="12"/>
        <v>0</v>
      </c>
      <c r="W22" t="s">
        <v>18</v>
      </c>
      <c r="AA22" s="53"/>
    </row>
    <row r="23" spans="3:29">
      <c r="C23" t="str">
        <f>W23</f>
        <v>WST-AuxiliaryEquip_GAS_hydrogen1</v>
      </c>
      <c r="D23" t="str">
        <f>COM!C27</f>
        <v>COMGAS</v>
      </c>
      <c r="F23" t="str">
        <f>COM!E27</f>
        <v>WST-AuxiliaryEquip</v>
      </c>
      <c r="G23">
        <f>COM!F27</f>
        <v>2021</v>
      </c>
      <c r="H23">
        <f>COM!G27</f>
        <v>0.8</v>
      </c>
      <c r="J23">
        <f>COM!I27</f>
        <v>1</v>
      </c>
      <c r="K23">
        <f>COM!J27</f>
        <v>116.81034482758599</v>
      </c>
      <c r="L23">
        <f>COM!K27</f>
        <v>5.5172413793103496</v>
      </c>
      <c r="O23">
        <f>COM!L27</f>
        <v>116.81034482758599</v>
      </c>
      <c r="P23">
        <f>COM!M27</f>
        <v>5.5172413793103496</v>
      </c>
      <c r="Q23">
        <f>COM!N27</f>
        <v>10</v>
      </c>
      <c r="R23">
        <f>COM!O27</f>
        <v>31.54</v>
      </c>
      <c r="S23">
        <f t="shared" si="14"/>
        <v>0.8</v>
      </c>
      <c r="T23">
        <f t="shared" si="15"/>
        <v>1</v>
      </c>
      <c r="W23" t="s">
        <v>586</v>
      </c>
      <c r="Y23" s="53" t="s">
        <v>39</v>
      </c>
      <c r="Z23" s="53" t="s">
        <v>40</v>
      </c>
      <c r="AA23" s="53"/>
      <c r="AB23" s="53"/>
      <c r="AC23" s="53"/>
    </row>
    <row r="24" spans="3:29">
      <c r="D24" t="str">
        <f>D22</f>
        <v>RSDSYNH2CT</v>
      </c>
      <c r="S24">
        <v>0.2</v>
      </c>
      <c r="T24">
        <v>0</v>
      </c>
      <c r="W24" t="s">
        <v>18</v>
      </c>
      <c r="AA24" s="53"/>
    </row>
    <row r="25" spans="3:29">
      <c r="C25" t="str">
        <f>W25</f>
        <v>RTS-AuxiliaryEquip_GAS_hydrogen1</v>
      </c>
      <c r="D25" t="str">
        <f>COM!C33</f>
        <v>COMGAS</v>
      </c>
      <c r="F25" t="str">
        <f>COM!E33</f>
        <v>RTS-AuxiliaryEquip</v>
      </c>
      <c r="G25">
        <f>COM!F33</f>
        <v>2021</v>
      </c>
      <c r="H25">
        <f>COM!G33</f>
        <v>0.8</v>
      </c>
      <c r="J25">
        <f>COM!I33</f>
        <v>1</v>
      </c>
      <c r="K25">
        <f>COM!J33</f>
        <v>116.81034482758599</v>
      </c>
      <c r="L25">
        <f>COM!K33</f>
        <v>5.5172413793103496</v>
      </c>
      <c r="O25">
        <f>COM!L33</f>
        <v>116.81034482758599</v>
      </c>
      <c r="P25">
        <f>COM!M33</f>
        <v>5.5172413793103496</v>
      </c>
      <c r="Q25">
        <f>COM!N33</f>
        <v>10</v>
      </c>
      <c r="R25">
        <f>COM!O33</f>
        <v>31.54</v>
      </c>
      <c r="S25">
        <f t="shared" ref="S25:S29" si="17">1-S26</f>
        <v>0.8</v>
      </c>
      <c r="T25">
        <f t="shared" ref="T25:T29" si="18">1-T26</f>
        <v>1</v>
      </c>
      <c r="W25" t="s">
        <v>587</v>
      </c>
      <c r="Y25" s="53" t="s">
        <v>39</v>
      </c>
      <c r="Z25" s="53" t="s">
        <v>40</v>
      </c>
      <c r="AA25" s="53"/>
      <c r="AB25" s="53"/>
      <c r="AC25" s="53"/>
    </row>
    <row r="26" spans="3:29">
      <c r="D26" t="str">
        <f t="shared" ref="D26:D31" si="19">D24</f>
        <v>RSDSYNH2CT</v>
      </c>
      <c r="S26">
        <f t="shared" ref="S26:S30" si="20">S24</f>
        <v>0.2</v>
      </c>
      <c r="T26">
        <f t="shared" ref="T26:T30" si="21">T24</f>
        <v>0</v>
      </c>
      <c r="W26" t="s">
        <v>18</v>
      </c>
      <c r="AA26" s="53"/>
    </row>
    <row r="27" spans="3:29">
      <c r="C27" t="str">
        <f t="shared" ref="C27:C57" si="22">W27</f>
        <v>TWS-AuxiliaryEquip_GAS_hydrogen1</v>
      </c>
      <c r="D27" t="str">
        <f>COM!C39</f>
        <v>COMGAS</v>
      </c>
      <c r="F27" t="str">
        <f>COM!E39</f>
        <v>TWS-AuxiliaryEquip</v>
      </c>
      <c r="G27">
        <f>COM!F39</f>
        <v>2021</v>
      </c>
      <c r="H27">
        <f>COM!G39</f>
        <v>0.8</v>
      </c>
      <c r="J27">
        <f>COM!I39</f>
        <v>1</v>
      </c>
      <c r="K27">
        <f>COM!J39</f>
        <v>116.81034482758599</v>
      </c>
      <c r="L27">
        <f>COM!K39</f>
        <v>5.5172413793103496</v>
      </c>
      <c r="O27">
        <f>COM!L39</f>
        <v>116.81034482758599</v>
      </c>
      <c r="P27">
        <f>COM!M39</f>
        <v>5.5172413793103496</v>
      </c>
      <c r="Q27">
        <f>COM!N39</f>
        <v>10</v>
      </c>
      <c r="R27">
        <f>COM!O39</f>
        <v>31.54</v>
      </c>
      <c r="S27">
        <f t="shared" si="17"/>
        <v>0.8</v>
      </c>
      <c r="T27">
        <f t="shared" si="18"/>
        <v>1</v>
      </c>
      <c r="W27" t="s">
        <v>588</v>
      </c>
      <c r="Y27" s="53" t="s">
        <v>39</v>
      </c>
      <c r="Z27" s="53" t="s">
        <v>40</v>
      </c>
      <c r="AA27" s="53"/>
      <c r="AB27" s="53"/>
      <c r="AC27" s="53"/>
    </row>
    <row r="28" spans="3:29">
      <c r="D28" t="str">
        <f t="shared" si="19"/>
        <v>RSDSYNH2CT</v>
      </c>
      <c r="S28">
        <f t="shared" si="20"/>
        <v>0.2</v>
      </c>
      <c r="T28">
        <f t="shared" si="21"/>
        <v>0</v>
      </c>
      <c r="W28" t="s">
        <v>18</v>
      </c>
      <c r="AA28" s="53"/>
    </row>
    <row r="29" spans="3:29">
      <c r="C29" t="str">
        <f t="shared" si="22"/>
        <v>ICS-AuxiliaryEquip_GAS_hydrogen1</v>
      </c>
      <c r="D29" t="str">
        <f>COM!C45</f>
        <v>COMGAS</v>
      </c>
      <c r="F29" t="str">
        <f>COM!E45</f>
        <v>ICS-AuxiliaryEquip</v>
      </c>
      <c r="G29">
        <f>COM!F45</f>
        <v>2021</v>
      </c>
      <c r="H29">
        <f>COM!G45</f>
        <v>0.8</v>
      </c>
      <c r="J29">
        <f>COM!I45</f>
        <v>1</v>
      </c>
      <c r="K29">
        <f>COM!J45</f>
        <v>116.81034482758599</v>
      </c>
      <c r="L29">
        <f>COM!K45</f>
        <v>5.5172413793103496</v>
      </c>
      <c r="O29">
        <f>COM!L45</f>
        <v>116.81034482758599</v>
      </c>
      <c r="P29">
        <f>COM!M45</f>
        <v>5.5172413793103496</v>
      </c>
      <c r="Q29">
        <f>COM!N45</f>
        <v>10</v>
      </c>
      <c r="R29">
        <f>COM!O45</f>
        <v>31.54</v>
      </c>
      <c r="S29">
        <f t="shared" si="17"/>
        <v>0.8</v>
      </c>
      <c r="T29">
        <f t="shared" si="18"/>
        <v>1</v>
      </c>
      <c r="W29" t="s">
        <v>589</v>
      </c>
      <c r="Y29" s="53" t="s">
        <v>39</v>
      </c>
      <c r="Z29" s="53" t="s">
        <v>40</v>
      </c>
      <c r="AA29" s="53"/>
      <c r="AB29" s="53"/>
      <c r="AC29" s="53"/>
    </row>
    <row r="30" spans="3:29">
      <c r="D30" t="str">
        <f t="shared" si="19"/>
        <v>RSDSYNH2CT</v>
      </c>
      <c r="S30">
        <f t="shared" si="20"/>
        <v>0.2</v>
      </c>
      <c r="T30">
        <f t="shared" si="21"/>
        <v>0</v>
      </c>
      <c r="W30" t="s">
        <v>18</v>
      </c>
      <c r="AA30" s="53"/>
    </row>
    <row r="31" spans="3:29">
      <c r="C31" t="str">
        <f t="shared" si="22"/>
        <v>OS-AuxiliaryEquip_GAS_hydrogen1</v>
      </c>
      <c r="D31" t="str">
        <f t="shared" si="19"/>
        <v>COMGAS</v>
      </c>
      <c r="F31" t="str">
        <f>COM!E51</f>
        <v>OS-AuxiliaryEquip</v>
      </c>
      <c r="G31">
        <f>COM!F51</f>
        <v>2021</v>
      </c>
      <c r="H31">
        <f>COM!G51</f>
        <v>0.8</v>
      </c>
      <c r="J31">
        <f>COM!I51</f>
        <v>1</v>
      </c>
      <c r="K31">
        <f>COM!J51</f>
        <v>116.81034482758599</v>
      </c>
      <c r="L31">
        <f>COM!K51</f>
        <v>5.5172413793103496</v>
      </c>
      <c r="O31">
        <f>COM!L51</f>
        <v>116.81034482758599</v>
      </c>
      <c r="P31">
        <f>COM!M51</f>
        <v>5.5172413793103496</v>
      </c>
      <c r="Q31">
        <f>COM!N51</f>
        <v>10</v>
      </c>
      <c r="R31">
        <f>COM!O51</f>
        <v>31.54</v>
      </c>
      <c r="S31">
        <f t="shared" ref="S31:S35" si="23">1-S32</f>
        <v>0.8</v>
      </c>
      <c r="T31">
        <f t="shared" ref="T31:T35" si="24">1-T32</f>
        <v>1</v>
      </c>
      <c r="W31" t="s">
        <v>590</v>
      </c>
      <c r="Y31" s="53" t="s">
        <v>39</v>
      </c>
      <c r="Z31" s="53" t="s">
        <v>40</v>
      </c>
      <c r="AA31" s="53"/>
      <c r="AB31" s="53"/>
      <c r="AC31" s="53"/>
    </row>
    <row r="32" spans="3:29">
      <c r="D32" t="str">
        <f t="shared" ref="D32:D63" si="25">D30</f>
        <v>RSDSYNH2CT</v>
      </c>
      <c r="S32">
        <f>S30</f>
        <v>0.2</v>
      </c>
      <c r="T32">
        <f>T30</f>
        <v>0</v>
      </c>
      <c r="W32" t="s">
        <v>18</v>
      </c>
      <c r="AA32" s="53"/>
    </row>
    <row r="33" spans="3:29">
      <c r="C33" t="str">
        <f t="shared" si="22"/>
        <v>EDU-AuxiliaryEquip_GAS_hydrogen1</v>
      </c>
      <c r="D33" t="str">
        <f t="shared" si="25"/>
        <v>COMGAS</v>
      </c>
      <c r="F33" t="str">
        <f>COM!E57</f>
        <v>EDU-AuxiliaryEquip</v>
      </c>
      <c r="G33">
        <f>COM!F57</f>
        <v>2021</v>
      </c>
      <c r="H33">
        <f>COM!G57</f>
        <v>0.8</v>
      </c>
      <c r="J33">
        <f>COM!I57</f>
        <v>1</v>
      </c>
      <c r="K33">
        <f>COM!J57</f>
        <v>116.81034482758599</v>
      </c>
      <c r="L33">
        <f>COM!K57</f>
        <v>5.5172413793103496</v>
      </c>
      <c r="O33">
        <f>COM!L57</f>
        <v>116.81034482758599</v>
      </c>
      <c r="P33">
        <f>COM!M57</f>
        <v>5.5172413793103496</v>
      </c>
      <c r="Q33">
        <f>COM!N57</f>
        <v>10</v>
      </c>
      <c r="R33">
        <f>COM!O57</f>
        <v>31.54</v>
      </c>
      <c r="S33">
        <f t="shared" si="23"/>
        <v>0.8</v>
      </c>
      <c r="T33">
        <f t="shared" si="24"/>
        <v>1</v>
      </c>
      <c r="W33" t="s">
        <v>591</v>
      </c>
      <c r="Y33" s="53" t="s">
        <v>39</v>
      </c>
      <c r="Z33" s="53" t="s">
        <v>40</v>
      </c>
      <c r="AA33" s="53"/>
      <c r="AB33" s="53"/>
      <c r="AC33" s="53"/>
    </row>
    <row r="34" spans="3:29">
      <c r="D34" t="str">
        <f t="shared" si="25"/>
        <v>RSDSYNH2CT</v>
      </c>
      <c r="S34">
        <v>0.2</v>
      </c>
      <c r="T34">
        <v>0</v>
      </c>
      <c r="W34" t="s">
        <v>18</v>
      </c>
      <c r="AA34" s="53"/>
    </row>
    <row r="35" spans="3:29">
      <c r="C35" t="str">
        <f t="shared" si="22"/>
        <v>HSS-AuxiliaryEquip_GAS_hydrogen1</v>
      </c>
      <c r="D35" t="str">
        <f t="shared" si="25"/>
        <v>COMGAS</v>
      </c>
      <c r="F35" t="str">
        <f>COM!E63</f>
        <v>HSS-AuxiliaryEquip</v>
      </c>
      <c r="G35">
        <f>COM!F63</f>
        <v>2021</v>
      </c>
      <c r="H35">
        <f>COM!G63</f>
        <v>0.8</v>
      </c>
      <c r="J35">
        <f>COM!I63</f>
        <v>1</v>
      </c>
      <c r="K35">
        <f>COM!J63</f>
        <v>116.81034482758599</v>
      </c>
      <c r="L35">
        <f>COM!K63</f>
        <v>5.5172413793103496</v>
      </c>
      <c r="O35">
        <f>COM!L63</f>
        <v>116.81034482758599</v>
      </c>
      <c r="P35">
        <f>COM!M63</f>
        <v>5.5172413793103496</v>
      </c>
      <c r="Q35">
        <f>COM!N63</f>
        <v>10</v>
      </c>
      <c r="R35">
        <f>COM!O63</f>
        <v>31.54</v>
      </c>
      <c r="S35">
        <f t="shared" si="23"/>
        <v>0.8</v>
      </c>
      <c r="T35">
        <f t="shared" si="24"/>
        <v>1</v>
      </c>
      <c r="W35" t="s">
        <v>592</v>
      </c>
      <c r="Y35" s="53" t="s">
        <v>39</v>
      </c>
      <c r="Z35" s="53" t="s">
        <v>40</v>
      </c>
      <c r="AA35" s="53"/>
      <c r="AB35" s="53"/>
      <c r="AC35" s="53"/>
    </row>
    <row r="36" spans="3:29">
      <c r="D36" t="str">
        <f t="shared" si="25"/>
        <v>RSDSYNH2CT</v>
      </c>
      <c r="S36">
        <f t="shared" ref="S36:S40" si="26">S34</f>
        <v>0.2</v>
      </c>
      <c r="T36">
        <f t="shared" ref="T36:T40" si="27">T34</f>
        <v>0</v>
      </c>
      <c r="W36" t="s">
        <v>18</v>
      </c>
      <c r="AA36" s="53"/>
    </row>
    <row r="37" spans="3:29">
      <c r="C37" t="str">
        <f t="shared" si="22"/>
        <v>ART-AuxiliaryEquip_GAS_hydrogen1</v>
      </c>
      <c r="D37" t="str">
        <f t="shared" si="25"/>
        <v>COMGAS</v>
      </c>
      <c r="F37" t="str">
        <f>COM!E69</f>
        <v>ART-AuxiliaryEquip</v>
      </c>
      <c r="G37">
        <f>COM!F69</f>
        <v>2021</v>
      </c>
      <c r="H37">
        <f>COM!G69</f>
        <v>0.8</v>
      </c>
      <c r="J37">
        <f>COM!I69</f>
        <v>1</v>
      </c>
      <c r="K37">
        <f>COM!J69</f>
        <v>116.81034482758599</v>
      </c>
      <c r="L37">
        <f>COM!K69</f>
        <v>5.5172413793103496</v>
      </c>
      <c r="O37">
        <f>COM!L69</f>
        <v>116.81034482758599</v>
      </c>
      <c r="P37">
        <f>COM!M69</f>
        <v>5.5172413793103496</v>
      </c>
      <c r="Q37">
        <f>COM!N69</f>
        <v>10</v>
      </c>
      <c r="R37">
        <f>COM!O69</f>
        <v>31.54</v>
      </c>
      <c r="S37">
        <f t="shared" ref="S37:S41" si="28">1-S38</f>
        <v>0.8</v>
      </c>
      <c r="T37">
        <f t="shared" ref="T37:T41" si="29">1-T38</f>
        <v>1</v>
      </c>
      <c r="W37" t="s">
        <v>593</v>
      </c>
      <c r="Y37" s="53" t="s">
        <v>39</v>
      </c>
      <c r="Z37" s="53" t="s">
        <v>40</v>
      </c>
      <c r="AA37" s="53"/>
      <c r="AB37" s="53"/>
      <c r="AC37" s="53"/>
    </row>
    <row r="38" spans="3:29">
      <c r="D38" t="str">
        <f t="shared" si="25"/>
        <v>RSDSYNH2CT</v>
      </c>
      <c r="S38">
        <f t="shared" si="26"/>
        <v>0.2</v>
      </c>
      <c r="T38">
        <f t="shared" si="27"/>
        <v>0</v>
      </c>
      <c r="W38" t="s">
        <v>18</v>
      </c>
      <c r="AA38" s="53"/>
    </row>
    <row r="39" spans="3:29">
      <c r="C39" t="str">
        <f t="shared" si="22"/>
        <v>AFM-AuxiliaryEquip_GAS_hydrogen1</v>
      </c>
      <c r="D39" t="str">
        <f t="shared" si="25"/>
        <v>COMGAS</v>
      </c>
      <c r="F39" t="str">
        <f>COM!E75</f>
        <v>AFM-AuxiliaryEquip</v>
      </c>
      <c r="G39">
        <f>COM!F75</f>
        <v>2021</v>
      </c>
      <c r="H39">
        <f>COM!G75</f>
        <v>0.8</v>
      </c>
      <c r="J39">
        <f>COM!I75</f>
        <v>1</v>
      </c>
      <c r="K39">
        <f>COM!J75</f>
        <v>116.81034482758599</v>
      </c>
      <c r="L39">
        <f>COM!K75</f>
        <v>5.5172413793103496</v>
      </c>
      <c r="O39">
        <f>COM!L75</f>
        <v>116.81034482758599</v>
      </c>
      <c r="P39">
        <f>COM!M75</f>
        <v>5.5172413793103496</v>
      </c>
      <c r="Q39">
        <f>COM!N75</f>
        <v>10</v>
      </c>
      <c r="R39">
        <f>COM!O75</f>
        <v>31.54</v>
      </c>
      <c r="S39">
        <f t="shared" si="28"/>
        <v>0.8</v>
      </c>
      <c r="T39">
        <f t="shared" si="29"/>
        <v>1</v>
      </c>
      <c r="W39" t="s">
        <v>594</v>
      </c>
      <c r="Y39" s="53" t="s">
        <v>39</v>
      </c>
      <c r="Z39" s="53" t="s">
        <v>40</v>
      </c>
      <c r="AA39" s="53"/>
      <c r="AB39" s="53"/>
      <c r="AC39" s="53"/>
    </row>
    <row r="40" spans="3:29">
      <c r="D40" t="str">
        <f t="shared" si="25"/>
        <v>RSDSYNH2CT</v>
      </c>
      <c r="S40">
        <f t="shared" si="26"/>
        <v>0.2</v>
      </c>
      <c r="T40">
        <f t="shared" si="27"/>
        <v>0</v>
      </c>
      <c r="W40" t="s">
        <v>18</v>
      </c>
      <c r="AA40" s="53"/>
    </row>
    <row r="41" spans="3:29">
      <c r="C41" t="str">
        <f t="shared" si="22"/>
        <v>OTH-AuxiliaryEquip_GAS_hydrogen1</v>
      </c>
      <c r="D41" t="str">
        <f t="shared" si="25"/>
        <v>COMGAS</v>
      </c>
      <c r="F41" t="str">
        <f>COM!E81</f>
        <v>OTH-AuxiliaryEquip</v>
      </c>
      <c r="G41">
        <f>COM!F81</f>
        <v>2021</v>
      </c>
      <c r="H41">
        <f>COM!G81</f>
        <v>0.8</v>
      </c>
      <c r="J41">
        <f>COM!I81</f>
        <v>1</v>
      </c>
      <c r="K41">
        <f>COM!J81</f>
        <v>116.81034482758599</v>
      </c>
      <c r="L41">
        <f>COM!K81</f>
        <v>5.5172413793103496</v>
      </c>
      <c r="O41">
        <f>COM!L81</f>
        <v>116.81034482758599</v>
      </c>
      <c r="P41">
        <f>COM!M81</f>
        <v>5.5172413793103496</v>
      </c>
      <c r="Q41">
        <f>COM!N81</f>
        <v>10</v>
      </c>
      <c r="R41">
        <f>COM!O81</f>
        <v>31.54</v>
      </c>
      <c r="S41">
        <f t="shared" si="28"/>
        <v>0.8</v>
      </c>
      <c r="T41">
        <f t="shared" si="29"/>
        <v>1</v>
      </c>
      <c r="W41" t="s">
        <v>595</v>
      </c>
      <c r="Y41" s="53" t="s">
        <v>39</v>
      </c>
      <c r="Z41" s="53" t="s">
        <v>40</v>
      </c>
      <c r="AA41" s="53"/>
      <c r="AB41" s="53"/>
      <c r="AC41" s="53"/>
    </row>
    <row r="42" spans="3:29">
      <c r="D42" t="str">
        <f t="shared" si="25"/>
        <v>RSDSYNH2CT</v>
      </c>
      <c r="S42">
        <f>S40</f>
        <v>0.2</v>
      </c>
      <c r="T42">
        <f>T40</f>
        <v>0</v>
      </c>
      <c r="W42" t="s">
        <v>18</v>
      </c>
      <c r="AA42" s="53"/>
    </row>
    <row r="43" spans="3:29">
      <c r="C43" t="str">
        <f t="shared" si="22"/>
        <v>WST-WaterHeat_GAS_hydrogen1</v>
      </c>
      <c r="D43" t="str">
        <f t="shared" si="25"/>
        <v>COMGAS</v>
      </c>
      <c r="F43" t="str">
        <f>COM!E87</f>
        <v>WST-WaterHeat</v>
      </c>
      <c r="G43">
        <f>COM!F87</f>
        <v>2021</v>
      </c>
      <c r="H43">
        <f>COM!G87</f>
        <v>0.8</v>
      </c>
      <c r="J43">
        <f>COM!I87</f>
        <v>0.4694684934038334</v>
      </c>
      <c r="K43">
        <f>COM!J87</f>
        <v>116.81034482758599</v>
      </c>
      <c r="L43">
        <f>COM!K87</f>
        <v>5.5172413793103496</v>
      </c>
      <c r="O43">
        <f>COM!L87</f>
        <v>116.81034482758599</v>
      </c>
      <c r="P43">
        <f>COM!M87</f>
        <v>5.5172413793103496</v>
      </c>
      <c r="Q43">
        <f>COM!N87</f>
        <v>10</v>
      </c>
      <c r="R43">
        <f>COM!O87</f>
        <v>31.54</v>
      </c>
      <c r="S43">
        <f t="shared" ref="S43:S47" si="30">1-S44</f>
        <v>0.8</v>
      </c>
      <c r="T43">
        <f t="shared" ref="T43:T47" si="31">1-T44</f>
        <v>1</v>
      </c>
      <c r="W43" t="s">
        <v>596</v>
      </c>
      <c r="Y43" s="53" t="s">
        <v>39</v>
      </c>
      <c r="Z43" s="53" t="s">
        <v>40</v>
      </c>
      <c r="AA43" s="53"/>
      <c r="AB43" s="53"/>
      <c r="AC43" s="53"/>
    </row>
    <row r="44" spans="3:29">
      <c r="D44" t="str">
        <f t="shared" si="25"/>
        <v>RSDSYNH2CT</v>
      </c>
      <c r="S44">
        <v>0.2</v>
      </c>
      <c r="T44">
        <v>0</v>
      </c>
      <c r="W44" t="s">
        <v>18</v>
      </c>
      <c r="AA44" s="53"/>
    </row>
    <row r="45" spans="3:29">
      <c r="C45" t="str">
        <f t="shared" si="22"/>
        <v>RTS-WaterHeat_GAS_hydrogen1</v>
      </c>
      <c r="D45" t="str">
        <f t="shared" si="25"/>
        <v>COMGAS</v>
      </c>
      <c r="F45" t="str">
        <f>COM!E93</f>
        <v>RTS-WaterHeat</v>
      </c>
      <c r="G45">
        <f>COM!F93</f>
        <v>2021</v>
      </c>
      <c r="H45">
        <f>COM!G93</f>
        <v>0.8</v>
      </c>
      <c r="J45">
        <f>COM!I93</f>
        <v>0.4694684934038334</v>
      </c>
      <c r="K45">
        <f>COM!J93</f>
        <v>116.81034482758599</v>
      </c>
      <c r="L45">
        <f>COM!K93</f>
        <v>5.5172413793103496</v>
      </c>
      <c r="O45">
        <f>COM!L93</f>
        <v>116.81034482758599</v>
      </c>
      <c r="P45">
        <f>COM!M93</f>
        <v>5.5172413793103496</v>
      </c>
      <c r="Q45">
        <f>COM!N93</f>
        <v>10</v>
      </c>
      <c r="R45">
        <f>COM!O93</f>
        <v>31.54</v>
      </c>
      <c r="S45">
        <f t="shared" si="30"/>
        <v>0.8</v>
      </c>
      <c r="T45">
        <f t="shared" si="31"/>
        <v>1</v>
      </c>
      <c r="W45" t="s">
        <v>597</v>
      </c>
      <c r="Y45" s="53" t="s">
        <v>39</v>
      </c>
      <c r="Z45" s="53" t="s">
        <v>40</v>
      </c>
      <c r="AA45" s="53"/>
      <c r="AB45" s="53"/>
      <c r="AC45" s="53"/>
    </row>
    <row r="46" spans="3:29">
      <c r="D46" t="str">
        <f t="shared" si="25"/>
        <v>RSDSYNH2CT</v>
      </c>
      <c r="S46">
        <f t="shared" ref="S46:S50" si="32">S44</f>
        <v>0.2</v>
      </c>
      <c r="T46">
        <f t="shared" ref="T46:T50" si="33">T44</f>
        <v>0</v>
      </c>
      <c r="W46" t="s">
        <v>18</v>
      </c>
      <c r="AA46" s="53"/>
    </row>
    <row r="47" spans="3:29">
      <c r="C47" t="str">
        <f t="shared" si="22"/>
        <v>TWS-WaterHeat_GAS_hydrogen1</v>
      </c>
      <c r="D47" t="str">
        <f t="shared" si="25"/>
        <v>COMGAS</v>
      </c>
      <c r="F47" t="str">
        <f>COM!E99</f>
        <v>TWS-WaterHeat</v>
      </c>
      <c r="G47">
        <f>COM!F99</f>
        <v>2021</v>
      </c>
      <c r="H47">
        <f>COM!G99</f>
        <v>0.8</v>
      </c>
      <c r="J47">
        <f>COM!I99</f>
        <v>0.4694684934038334</v>
      </c>
      <c r="K47">
        <f>COM!J99</f>
        <v>116.81034482758599</v>
      </c>
      <c r="L47">
        <f>COM!K99</f>
        <v>5.5172413793103496</v>
      </c>
      <c r="O47">
        <f>COM!L99</f>
        <v>116.81034482758599</v>
      </c>
      <c r="P47">
        <f>COM!M99</f>
        <v>5.5172413793103496</v>
      </c>
      <c r="Q47">
        <f>COM!N99</f>
        <v>10</v>
      </c>
      <c r="R47">
        <f>COM!O99</f>
        <v>31.54</v>
      </c>
      <c r="S47">
        <f t="shared" si="30"/>
        <v>0.8</v>
      </c>
      <c r="T47">
        <f t="shared" si="31"/>
        <v>1</v>
      </c>
      <c r="W47" t="s">
        <v>598</v>
      </c>
      <c r="Y47" s="53" t="s">
        <v>39</v>
      </c>
      <c r="Z47" s="53" t="s">
        <v>40</v>
      </c>
      <c r="AA47" s="53"/>
      <c r="AB47" s="53"/>
      <c r="AC47" s="53"/>
    </row>
    <row r="48" spans="3:29">
      <c r="D48" t="str">
        <f t="shared" si="25"/>
        <v>RSDSYNH2CT</v>
      </c>
      <c r="S48">
        <f t="shared" si="32"/>
        <v>0.2</v>
      </c>
      <c r="T48">
        <f t="shared" si="33"/>
        <v>0</v>
      </c>
      <c r="W48" t="s">
        <v>18</v>
      </c>
      <c r="AA48" s="53"/>
    </row>
    <row r="49" spans="3:29">
      <c r="C49" t="str">
        <f t="shared" si="22"/>
        <v>ICS-WaterHeat_GAS_hydrogen1</v>
      </c>
      <c r="D49" t="str">
        <f t="shared" si="25"/>
        <v>COMGAS</v>
      </c>
      <c r="F49" t="str">
        <f>COM!E105</f>
        <v>ICS-WaterHeat</v>
      </c>
      <c r="G49">
        <f>COM!F105</f>
        <v>2021</v>
      </c>
      <c r="H49">
        <f>COM!G105</f>
        <v>0.8</v>
      </c>
      <c r="J49">
        <f>COM!I105</f>
        <v>0.4694684934038334</v>
      </c>
      <c r="K49">
        <f>COM!J105</f>
        <v>116.81034482758599</v>
      </c>
      <c r="L49">
        <f>COM!K105</f>
        <v>5.5172413793103496</v>
      </c>
      <c r="O49">
        <f>COM!L105</f>
        <v>116.81034482758599</v>
      </c>
      <c r="P49">
        <f>COM!M105</f>
        <v>5.5172413793103496</v>
      </c>
      <c r="Q49">
        <f>COM!N105</f>
        <v>10</v>
      </c>
      <c r="R49">
        <f>COM!O105</f>
        <v>31.54</v>
      </c>
      <c r="S49">
        <f t="shared" ref="S49:S53" si="34">1-S50</f>
        <v>0.8</v>
      </c>
      <c r="T49">
        <f t="shared" ref="T49:T53" si="35">1-T50</f>
        <v>1</v>
      </c>
      <c r="W49" t="s">
        <v>599</v>
      </c>
      <c r="Y49" s="53" t="s">
        <v>39</v>
      </c>
      <c r="Z49" s="53" t="s">
        <v>40</v>
      </c>
      <c r="AA49" s="53"/>
      <c r="AB49" s="53"/>
      <c r="AC49" s="53"/>
    </row>
    <row r="50" spans="3:29">
      <c r="D50" t="str">
        <f t="shared" si="25"/>
        <v>RSDSYNH2CT</v>
      </c>
      <c r="S50">
        <f t="shared" si="32"/>
        <v>0.2</v>
      </c>
      <c r="T50">
        <f t="shared" si="33"/>
        <v>0</v>
      </c>
      <c r="W50" t="s">
        <v>18</v>
      </c>
      <c r="AA50" s="53"/>
    </row>
    <row r="51" spans="3:29">
      <c r="C51" t="str">
        <f t="shared" si="22"/>
        <v>OS-WaterHeat_GAS_hydrogen1</v>
      </c>
      <c r="D51" t="str">
        <f t="shared" si="25"/>
        <v>COMGAS</v>
      </c>
      <c r="F51" t="str">
        <f>COM!E111</f>
        <v>OS-WaterHeat</v>
      </c>
      <c r="G51">
        <f>COM!F111</f>
        <v>2021</v>
      </c>
      <c r="H51">
        <f>COM!G111</f>
        <v>0.8</v>
      </c>
      <c r="J51">
        <f>COM!I111</f>
        <v>0.4694684934038334</v>
      </c>
      <c r="K51">
        <f>COM!J111</f>
        <v>116.81034482758599</v>
      </c>
      <c r="L51">
        <f>COM!K111</f>
        <v>5.5172413793103496</v>
      </c>
      <c r="O51">
        <f>COM!L111</f>
        <v>116.81034482758599</v>
      </c>
      <c r="P51">
        <f>COM!M111</f>
        <v>5.5172413793103496</v>
      </c>
      <c r="Q51">
        <f>COM!N111</f>
        <v>10</v>
      </c>
      <c r="R51">
        <f>COM!O111</f>
        <v>31.54</v>
      </c>
      <c r="S51">
        <f t="shared" si="34"/>
        <v>0.8</v>
      </c>
      <c r="T51">
        <f t="shared" si="35"/>
        <v>1</v>
      </c>
      <c r="W51" t="s">
        <v>600</v>
      </c>
      <c r="Y51" s="53" t="s">
        <v>39</v>
      </c>
      <c r="Z51" s="53" t="s">
        <v>40</v>
      </c>
      <c r="AA51" s="53"/>
      <c r="AB51" s="53"/>
      <c r="AC51" s="53"/>
    </row>
    <row r="52" spans="3:29">
      <c r="D52" t="str">
        <f t="shared" si="25"/>
        <v>RSDSYNH2CT</v>
      </c>
      <c r="S52">
        <f>S50</f>
        <v>0.2</v>
      </c>
      <c r="T52">
        <f>T50</f>
        <v>0</v>
      </c>
      <c r="W52" t="s">
        <v>18</v>
      </c>
      <c r="AA52" s="53"/>
    </row>
    <row r="53" spans="3:29">
      <c r="C53" t="str">
        <f t="shared" si="22"/>
        <v>EDU-WaterHeat_GAS_hydrogen1</v>
      </c>
      <c r="D53" t="str">
        <f t="shared" si="25"/>
        <v>COMGAS</v>
      </c>
      <c r="F53" t="str">
        <f>COM!E117</f>
        <v>EDU-WaterHeat</v>
      </c>
      <c r="G53">
        <f>COM!F117</f>
        <v>2021</v>
      </c>
      <c r="H53">
        <f>COM!G117</f>
        <v>0.8</v>
      </c>
      <c r="J53">
        <f>COM!I117</f>
        <v>0.4694684934038334</v>
      </c>
      <c r="K53">
        <f>COM!J117</f>
        <v>116.81034482758599</v>
      </c>
      <c r="L53">
        <f>COM!K117</f>
        <v>5.5172413793103496</v>
      </c>
      <c r="O53">
        <f>COM!L117</f>
        <v>116.81034482758599</v>
      </c>
      <c r="P53">
        <f>COM!M117</f>
        <v>5.5172413793103496</v>
      </c>
      <c r="Q53">
        <f>COM!N117</f>
        <v>10</v>
      </c>
      <c r="R53">
        <f>COM!O117</f>
        <v>31.54</v>
      </c>
      <c r="S53">
        <f t="shared" si="34"/>
        <v>0.8</v>
      </c>
      <c r="T53">
        <f t="shared" si="35"/>
        <v>1</v>
      </c>
      <c r="W53" t="s">
        <v>601</v>
      </c>
      <c r="Y53" s="53" t="s">
        <v>39</v>
      </c>
      <c r="Z53" s="53" t="s">
        <v>40</v>
      </c>
      <c r="AA53" s="53"/>
      <c r="AB53" s="53"/>
      <c r="AC53" s="53"/>
    </row>
    <row r="54" spans="3:29">
      <c r="D54" t="str">
        <f t="shared" si="25"/>
        <v>RSDSYNH2CT</v>
      </c>
      <c r="S54">
        <v>0.2</v>
      </c>
      <c r="T54">
        <v>0</v>
      </c>
      <c r="W54" t="s">
        <v>18</v>
      </c>
      <c r="AA54" s="53"/>
    </row>
    <row r="55" spans="3:29">
      <c r="C55" t="str">
        <f t="shared" si="22"/>
        <v>HSS-WaterHeat_GAS_hydrogen1</v>
      </c>
      <c r="D55" t="str">
        <f t="shared" si="25"/>
        <v>COMGAS</v>
      </c>
      <c r="F55" t="str">
        <f>COM!E123</f>
        <v>HSS-WaterHeat</v>
      </c>
      <c r="G55">
        <f>COM!F123</f>
        <v>2021</v>
      </c>
      <c r="H55">
        <f>COM!G123</f>
        <v>0.8</v>
      </c>
      <c r="J55">
        <f>COM!I123</f>
        <v>0.4694684934038334</v>
      </c>
      <c r="K55">
        <f>COM!J123</f>
        <v>116.81034482758599</v>
      </c>
      <c r="L55">
        <f>COM!K123</f>
        <v>5.5172413793103496</v>
      </c>
      <c r="O55">
        <f>COM!L123</f>
        <v>116.81034482758599</v>
      </c>
      <c r="P55">
        <f>COM!M123</f>
        <v>5.5172413793103496</v>
      </c>
      <c r="Q55">
        <f>COM!N123</f>
        <v>10</v>
      </c>
      <c r="R55">
        <f>COM!O123</f>
        <v>31.54</v>
      </c>
      <c r="S55">
        <f t="shared" ref="S55:S59" si="36">1-S56</f>
        <v>0.8</v>
      </c>
      <c r="T55">
        <f t="shared" ref="T55:T59" si="37">1-T56</f>
        <v>1</v>
      </c>
      <c r="W55" t="s">
        <v>602</v>
      </c>
      <c r="Y55" s="53" t="s">
        <v>39</v>
      </c>
      <c r="Z55" s="53" t="s">
        <v>40</v>
      </c>
      <c r="AA55" s="53"/>
      <c r="AB55" s="53"/>
      <c r="AC55" s="53"/>
    </row>
    <row r="56" spans="3:29">
      <c r="D56" t="str">
        <f t="shared" si="25"/>
        <v>RSDSYNH2CT</v>
      </c>
      <c r="S56">
        <f t="shared" ref="S56:S60" si="38">S54</f>
        <v>0.2</v>
      </c>
      <c r="T56">
        <f t="shared" ref="T56:T60" si="39">T54</f>
        <v>0</v>
      </c>
      <c r="W56" t="s">
        <v>18</v>
      </c>
      <c r="AA56" s="53"/>
    </row>
    <row r="57" spans="3:29">
      <c r="C57" t="str">
        <f t="shared" si="22"/>
        <v>ART-WaterHeat_GAS_hydrogen1</v>
      </c>
      <c r="D57" t="str">
        <f t="shared" si="25"/>
        <v>COMGAS</v>
      </c>
      <c r="F57" t="str">
        <f>COM!E129</f>
        <v>ART-WaterHeat</v>
      </c>
      <c r="G57">
        <f>COM!F129</f>
        <v>2021</v>
      </c>
      <c r="H57">
        <f>COM!G129</f>
        <v>0.8</v>
      </c>
      <c r="J57">
        <f>COM!I129</f>
        <v>0.4694684934038334</v>
      </c>
      <c r="K57">
        <f>COM!J129</f>
        <v>116.81034482758599</v>
      </c>
      <c r="L57">
        <f>COM!K129</f>
        <v>5.5172413793103496</v>
      </c>
      <c r="O57">
        <f>COM!L129</f>
        <v>116.81034482758599</v>
      </c>
      <c r="P57">
        <f>COM!M129</f>
        <v>5.5172413793103496</v>
      </c>
      <c r="Q57">
        <f>COM!N129</f>
        <v>10</v>
      </c>
      <c r="R57">
        <f>COM!O129</f>
        <v>31.54</v>
      </c>
      <c r="S57">
        <f t="shared" si="36"/>
        <v>0.8</v>
      </c>
      <c r="T57">
        <f t="shared" si="37"/>
        <v>1</v>
      </c>
      <c r="W57" t="s">
        <v>603</v>
      </c>
      <c r="Y57" s="53" t="s">
        <v>39</v>
      </c>
      <c r="Z57" s="53" t="s">
        <v>40</v>
      </c>
      <c r="AA57" s="53"/>
      <c r="AB57" s="53"/>
      <c r="AC57" s="53"/>
    </row>
    <row r="58" spans="3:29">
      <c r="D58" t="str">
        <f t="shared" si="25"/>
        <v>RSDSYNH2CT</v>
      </c>
      <c r="S58">
        <f t="shared" si="38"/>
        <v>0.2</v>
      </c>
      <c r="T58">
        <f t="shared" si="39"/>
        <v>0</v>
      </c>
      <c r="W58" t="s">
        <v>18</v>
      </c>
      <c r="AA58" s="53"/>
    </row>
    <row r="59" spans="3:29">
      <c r="C59" t="str">
        <f>W59</f>
        <v>AFM-WaterHeat_GAS_hydrogen1</v>
      </c>
      <c r="D59" t="str">
        <f t="shared" si="25"/>
        <v>COMGAS</v>
      </c>
      <c r="F59" t="str">
        <f>COM!E135</f>
        <v>AFM-WaterHeat</v>
      </c>
      <c r="G59">
        <f>COM!F135</f>
        <v>2021</v>
      </c>
      <c r="H59">
        <f>COM!G135</f>
        <v>0.8</v>
      </c>
      <c r="J59">
        <f>COM!I135</f>
        <v>0.4694684934038334</v>
      </c>
      <c r="K59">
        <f>COM!J135</f>
        <v>116.81034482758599</v>
      </c>
      <c r="L59">
        <f>COM!K135</f>
        <v>5.5172413793103496</v>
      </c>
      <c r="O59">
        <f>COM!L135</f>
        <v>116.81034482758599</v>
      </c>
      <c r="P59">
        <f>COM!M135</f>
        <v>5.5172413793103496</v>
      </c>
      <c r="Q59">
        <f>COM!N135</f>
        <v>10</v>
      </c>
      <c r="R59">
        <f>COM!O135</f>
        <v>31.54</v>
      </c>
      <c r="S59">
        <f t="shared" si="36"/>
        <v>0.8</v>
      </c>
      <c r="T59">
        <f t="shared" si="37"/>
        <v>1</v>
      </c>
      <c r="W59" t="s">
        <v>604</v>
      </c>
      <c r="Y59" s="53" t="s">
        <v>39</v>
      </c>
      <c r="Z59" s="53" t="s">
        <v>40</v>
      </c>
      <c r="AA59" s="53"/>
      <c r="AB59" s="53"/>
      <c r="AC59" s="53"/>
    </row>
    <row r="60" spans="3:29">
      <c r="D60" t="str">
        <f t="shared" si="25"/>
        <v>RSDSYNH2CT</v>
      </c>
      <c r="S60">
        <f t="shared" si="38"/>
        <v>0.2</v>
      </c>
      <c r="T60">
        <f t="shared" si="39"/>
        <v>0</v>
      </c>
      <c r="W60" t="s">
        <v>18</v>
      </c>
      <c r="AA60" s="53"/>
    </row>
    <row r="61" spans="3:29">
      <c r="C61" t="str">
        <f>W61</f>
        <v>OTH-WaterHeat_GAS_hydrogen1</v>
      </c>
      <c r="D61" t="str">
        <f t="shared" si="25"/>
        <v>COMGAS</v>
      </c>
      <c r="F61" t="str">
        <f>COM!E141</f>
        <v>OTH-WaterHeat</v>
      </c>
      <c r="G61">
        <f>COM!F141</f>
        <v>2021</v>
      </c>
      <c r="H61">
        <f>COM!G141</f>
        <v>0.8</v>
      </c>
      <c r="J61">
        <f>COM!I141</f>
        <v>0.4694684934038334</v>
      </c>
      <c r="K61">
        <f>COM!J141</f>
        <v>116.81034482758599</v>
      </c>
      <c r="L61">
        <f>COM!K141</f>
        <v>5.5172413793103496</v>
      </c>
      <c r="O61">
        <f>COM!L141</f>
        <v>116.81034482758599</v>
      </c>
      <c r="P61">
        <f>COM!M141</f>
        <v>5.5172413793103496</v>
      </c>
      <c r="Q61">
        <f>COM!N141</f>
        <v>10</v>
      </c>
      <c r="R61">
        <f>COM!O141</f>
        <v>31.54</v>
      </c>
      <c r="S61">
        <f t="shared" ref="S61:S65" si="40">1-S62</f>
        <v>0.8</v>
      </c>
      <c r="T61">
        <f t="shared" ref="T61:T65" si="41">1-T62</f>
        <v>1</v>
      </c>
      <c r="W61" t="s">
        <v>605</v>
      </c>
      <c r="Y61" s="53" t="s">
        <v>39</v>
      </c>
      <c r="Z61" s="53" t="s">
        <v>40</v>
      </c>
      <c r="AA61" s="53"/>
      <c r="AB61" s="53"/>
      <c r="AC61" s="53"/>
    </row>
    <row r="62" spans="3:29">
      <c r="D62" t="str">
        <f t="shared" si="25"/>
        <v>RSDSYNH2CT</v>
      </c>
      <c r="S62">
        <f>S60</f>
        <v>0.2</v>
      </c>
      <c r="T62">
        <f>T60</f>
        <v>0</v>
      </c>
      <c r="W62" t="s">
        <v>18</v>
      </c>
      <c r="AA62" s="53"/>
    </row>
    <row r="63" spans="3:29">
      <c r="C63" t="str">
        <f>W63</f>
        <v>WST-SpHeat_GAS_hydrogen1</v>
      </c>
      <c r="D63" t="str">
        <f t="shared" si="25"/>
        <v>COMGAS</v>
      </c>
      <c r="F63" t="str">
        <f>COM!E147</f>
        <v>WST-SpHeat</v>
      </c>
      <c r="G63">
        <f>COM!F147</f>
        <v>2021</v>
      </c>
      <c r="H63">
        <f>COM!G147</f>
        <v>0.8</v>
      </c>
      <c r="K63">
        <f>COM!J147</f>
        <v>34.794520547945197</v>
      </c>
      <c r="L63">
        <f>COM!K147</f>
        <v>2.7397260273972601</v>
      </c>
      <c r="O63">
        <f>COM!L147</f>
        <v>34.794520547945197</v>
      </c>
      <c r="P63">
        <f>COM!M147</f>
        <v>2.7397260273972601</v>
      </c>
      <c r="Q63">
        <f>COM!N147</f>
        <v>23</v>
      </c>
      <c r="R63">
        <f>COM!O147</f>
        <v>31.54</v>
      </c>
      <c r="S63">
        <f t="shared" si="40"/>
        <v>0.8</v>
      </c>
      <c r="T63">
        <f t="shared" si="41"/>
        <v>1</v>
      </c>
      <c r="W63" t="s">
        <v>606</v>
      </c>
      <c r="Y63" s="53" t="s">
        <v>39</v>
      </c>
      <c r="Z63" s="53" t="s">
        <v>40</v>
      </c>
      <c r="AA63" s="53"/>
      <c r="AB63" s="53"/>
      <c r="AC63" s="53"/>
    </row>
    <row r="64" spans="3:29">
      <c r="D64" t="str">
        <f t="shared" ref="D64:D102" si="42">D62</f>
        <v>RSDSYNH2CT</v>
      </c>
      <c r="S64">
        <v>0.2</v>
      </c>
      <c r="T64">
        <v>0</v>
      </c>
      <c r="W64" t="s">
        <v>18</v>
      </c>
      <c r="AA64" s="53"/>
    </row>
    <row r="65" spans="3:29">
      <c r="C65" t="str">
        <f>W65</f>
        <v>RTS-SpHeat_GAS_hydrogen1</v>
      </c>
      <c r="D65" t="str">
        <f t="shared" si="42"/>
        <v>COMGAS</v>
      </c>
      <c r="F65" t="str">
        <f>COM!E153</f>
        <v>RTS-SpHeat</v>
      </c>
      <c r="G65">
        <f>COM!F153</f>
        <v>2021</v>
      </c>
      <c r="H65">
        <f>COM!G153</f>
        <v>0.8</v>
      </c>
      <c r="K65">
        <f>COM!J153</f>
        <v>34.794520547945197</v>
      </c>
      <c r="L65">
        <f>COM!K153</f>
        <v>2.7397260273972601</v>
      </c>
      <c r="O65">
        <f>COM!L153</f>
        <v>34.794520547945197</v>
      </c>
      <c r="P65">
        <f>COM!M153</f>
        <v>2.7397260273972601</v>
      </c>
      <c r="Q65">
        <f>COM!N153</f>
        <v>23</v>
      </c>
      <c r="R65">
        <f>COM!O153</f>
        <v>31.54</v>
      </c>
      <c r="S65">
        <f t="shared" si="40"/>
        <v>0.8</v>
      </c>
      <c r="T65">
        <f t="shared" si="41"/>
        <v>1</v>
      </c>
      <c r="W65" t="s">
        <v>607</v>
      </c>
      <c r="Y65" s="53" t="s">
        <v>39</v>
      </c>
      <c r="Z65" s="53" t="s">
        <v>40</v>
      </c>
      <c r="AA65" s="53"/>
      <c r="AB65" s="53"/>
      <c r="AC65" s="53"/>
    </row>
    <row r="66" spans="3:29">
      <c r="D66" t="str">
        <f t="shared" si="42"/>
        <v>RSDSYNH2CT</v>
      </c>
      <c r="S66">
        <f t="shared" ref="S66:S70" si="43">S64</f>
        <v>0.2</v>
      </c>
      <c r="T66">
        <f t="shared" ref="T66:T70" si="44">T64</f>
        <v>0</v>
      </c>
      <c r="W66" t="s">
        <v>18</v>
      </c>
      <c r="AA66" s="53"/>
    </row>
    <row r="67" spans="3:29">
      <c r="C67" t="str">
        <f>W67</f>
        <v>TWS-SpHeat_GAS_hydrogen1</v>
      </c>
      <c r="D67" t="str">
        <f t="shared" si="42"/>
        <v>COMGAS</v>
      </c>
      <c r="F67" t="str">
        <f>COM!E159</f>
        <v>TWS-SpHeat</v>
      </c>
      <c r="G67">
        <f>COM!F159</f>
        <v>2021</v>
      </c>
      <c r="H67">
        <f>COM!G159</f>
        <v>0.8</v>
      </c>
      <c r="K67">
        <f>COM!J159</f>
        <v>34.794520547945197</v>
      </c>
      <c r="L67">
        <f>COM!K159</f>
        <v>2.7397260273972601</v>
      </c>
      <c r="O67">
        <f>COM!L159</f>
        <v>34.794520547945197</v>
      </c>
      <c r="P67">
        <f>COM!M159</f>
        <v>2.7397260273972601</v>
      </c>
      <c r="Q67">
        <f>COM!N159</f>
        <v>23</v>
      </c>
      <c r="R67">
        <f>COM!O159</f>
        <v>31.54</v>
      </c>
      <c r="S67">
        <f t="shared" ref="S67:S71" si="45">1-S68</f>
        <v>0.8</v>
      </c>
      <c r="T67">
        <f t="shared" ref="T67:T71" si="46">1-T68</f>
        <v>1</v>
      </c>
      <c r="W67" t="s">
        <v>608</v>
      </c>
      <c r="Y67" s="53" t="s">
        <v>39</v>
      </c>
      <c r="Z67" s="53" t="s">
        <v>40</v>
      </c>
      <c r="AA67" s="53"/>
      <c r="AB67" s="53"/>
      <c r="AC67" s="53"/>
    </row>
    <row r="68" spans="3:29">
      <c r="D68" t="str">
        <f t="shared" si="42"/>
        <v>RSDSYNH2CT</v>
      </c>
      <c r="S68">
        <f t="shared" si="43"/>
        <v>0.2</v>
      </c>
      <c r="T68">
        <f t="shared" si="44"/>
        <v>0</v>
      </c>
      <c r="W68" t="s">
        <v>18</v>
      </c>
      <c r="AA68" s="53"/>
    </row>
    <row r="69" spans="3:29">
      <c r="C69" t="str">
        <f>W69</f>
        <v>ICS-SpHeat_GAS_hydrogen1</v>
      </c>
      <c r="D69" t="str">
        <f t="shared" si="42"/>
        <v>COMGAS</v>
      </c>
      <c r="F69" t="str">
        <f>COM!E165</f>
        <v>ICS-SpHeat</v>
      </c>
      <c r="G69">
        <f>COM!F165</f>
        <v>2021</v>
      </c>
      <c r="H69">
        <f>COM!G165</f>
        <v>0.8</v>
      </c>
      <c r="K69">
        <f>COM!J165</f>
        <v>34.794520547945197</v>
      </c>
      <c r="L69">
        <f>COM!K165</f>
        <v>2.7397260273972601</v>
      </c>
      <c r="O69">
        <f>COM!L165</f>
        <v>34.794520547945197</v>
      </c>
      <c r="P69">
        <f>COM!M165</f>
        <v>2.7397260273972601</v>
      </c>
      <c r="Q69">
        <f>COM!N165</f>
        <v>23</v>
      </c>
      <c r="R69">
        <f>COM!O165</f>
        <v>31.54</v>
      </c>
      <c r="S69">
        <f t="shared" si="45"/>
        <v>0.8</v>
      </c>
      <c r="T69">
        <f t="shared" si="46"/>
        <v>1</v>
      </c>
      <c r="W69" t="s">
        <v>609</v>
      </c>
      <c r="Y69" s="53" t="s">
        <v>39</v>
      </c>
      <c r="Z69" s="53" t="s">
        <v>40</v>
      </c>
      <c r="AA69" s="53"/>
      <c r="AB69" s="53"/>
      <c r="AC69" s="53"/>
    </row>
    <row r="70" spans="3:29">
      <c r="D70" t="str">
        <f t="shared" si="42"/>
        <v>RSDSYNH2CT</v>
      </c>
      <c r="S70">
        <f t="shared" si="43"/>
        <v>0.2</v>
      </c>
      <c r="T70">
        <f t="shared" si="44"/>
        <v>0</v>
      </c>
      <c r="W70" t="s">
        <v>18</v>
      </c>
      <c r="AA70" s="53"/>
    </row>
    <row r="71" spans="3:29">
      <c r="C71" t="str">
        <f>W71</f>
        <v>OS-SpHeat_GAS_hydrogen1</v>
      </c>
      <c r="D71" t="str">
        <f t="shared" si="42"/>
        <v>COMGAS</v>
      </c>
      <c r="F71" t="str">
        <f>COM!E171</f>
        <v>OS-SpHeat</v>
      </c>
      <c r="G71">
        <f>COM!F171</f>
        <v>2021</v>
      </c>
      <c r="H71">
        <f>COM!G171</f>
        <v>0.8</v>
      </c>
      <c r="K71">
        <f>COM!J171</f>
        <v>34.794520547945197</v>
      </c>
      <c r="L71">
        <f>COM!K171</f>
        <v>2.7397260273972601</v>
      </c>
      <c r="O71">
        <f>COM!L171</f>
        <v>34.794520547945197</v>
      </c>
      <c r="P71">
        <f>COM!M171</f>
        <v>2.7397260273972601</v>
      </c>
      <c r="Q71">
        <f>COM!N171</f>
        <v>23</v>
      </c>
      <c r="R71">
        <f>COM!O171</f>
        <v>31.54</v>
      </c>
      <c r="S71">
        <f t="shared" si="45"/>
        <v>0.8</v>
      </c>
      <c r="T71">
        <f t="shared" si="46"/>
        <v>1</v>
      </c>
      <c r="W71" t="s">
        <v>610</v>
      </c>
      <c r="Y71" s="53" t="s">
        <v>39</v>
      </c>
      <c r="Z71" s="53" t="s">
        <v>40</v>
      </c>
      <c r="AA71" s="53"/>
      <c r="AB71" s="53"/>
      <c r="AC71" s="53"/>
    </row>
    <row r="72" spans="3:29">
      <c r="D72" t="str">
        <f t="shared" si="42"/>
        <v>RSDSYNH2CT</v>
      </c>
      <c r="S72">
        <f t="shared" ref="S72:T76" si="47">S70</f>
        <v>0.2</v>
      </c>
      <c r="T72">
        <f t="shared" si="47"/>
        <v>0</v>
      </c>
      <c r="W72" t="s">
        <v>18</v>
      </c>
      <c r="AA72" s="53"/>
    </row>
    <row r="73" spans="3:29">
      <c r="C73" t="str">
        <f>W73</f>
        <v>EDU-SpHeat_GAS_hydrogen1</v>
      </c>
      <c r="D73" t="str">
        <f t="shared" si="42"/>
        <v>COMGAS</v>
      </c>
      <c r="F73" t="str">
        <f>COM!E177</f>
        <v>EDU-SpHeat</v>
      </c>
      <c r="G73">
        <f>COM!F177</f>
        <v>2021</v>
      </c>
      <c r="H73">
        <f>COM!G177</f>
        <v>0.8</v>
      </c>
      <c r="K73">
        <f>COM!J177</f>
        <v>34.794520547945197</v>
      </c>
      <c r="L73">
        <f>COM!K177</f>
        <v>2.7397260273972601</v>
      </c>
      <c r="O73">
        <f>COM!L177</f>
        <v>34.794520547945197</v>
      </c>
      <c r="P73">
        <f>COM!M177</f>
        <v>2.7397260273972601</v>
      </c>
      <c r="Q73">
        <f>COM!N177</f>
        <v>23</v>
      </c>
      <c r="R73">
        <f>COM!O177</f>
        <v>31.54</v>
      </c>
      <c r="S73">
        <f t="shared" si="47"/>
        <v>0.8</v>
      </c>
      <c r="T73">
        <f t="shared" si="47"/>
        <v>1</v>
      </c>
      <c r="W73" t="s">
        <v>611</v>
      </c>
      <c r="Y73" s="53" t="s">
        <v>39</v>
      </c>
      <c r="Z73" s="53" t="s">
        <v>40</v>
      </c>
      <c r="AA73" s="53"/>
      <c r="AB73" s="53"/>
      <c r="AC73" s="53"/>
    </row>
    <row r="74" spans="3:29">
      <c r="D74" t="str">
        <f t="shared" si="42"/>
        <v>RSDSYNH2CT</v>
      </c>
      <c r="S74">
        <f t="shared" si="47"/>
        <v>0.2</v>
      </c>
      <c r="T74">
        <f t="shared" si="47"/>
        <v>0</v>
      </c>
      <c r="W74" t="s">
        <v>18</v>
      </c>
      <c r="AA74" s="53"/>
    </row>
    <row r="75" spans="3:29">
      <c r="C75" t="str">
        <f>W75</f>
        <v>HSS-SpHeat_GAS_hydrogen1</v>
      </c>
      <c r="D75" t="str">
        <f t="shared" si="42"/>
        <v>COMGAS</v>
      </c>
      <c r="F75" t="str">
        <f>COM!E183</f>
        <v>HSS-SpHeat</v>
      </c>
      <c r="G75">
        <f>COM!F183</f>
        <v>2021</v>
      </c>
      <c r="H75">
        <f>COM!G183</f>
        <v>0.8</v>
      </c>
      <c r="K75">
        <f>COM!J183</f>
        <v>34.794520547945197</v>
      </c>
      <c r="L75">
        <f>COM!K183</f>
        <v>2.7397260273972601</v>
      </c>
      <c r="O75">
        <f>COM!L183</f>
        <v>34.794520547945197</v>
      </c>
      <c r="P75">
        <f>COM!M183</f>
        <v>2.7397260273972601</v>
      </c>
      <c r="Q75">
        <f>COM!N183</f>
        <v>23</v>
      </c>
      <c r="R75">
        <f>COM!O183</f>
        <v>31.54</v>
      </c>
      <c r="S75">
        <f t="shared" si="47"/>
        <v>0.8</v>
      </c>
      <c r="T75">
        <f t="shared" si="47"/>
        <v>1</v>
      </c>
      <c r="W75" t="s">
        <v>612</v>
      </c>
      <c r="Y75" s="53" t="s">
        <v>39</v>
      </c>
      <c r="Z75" s="53" t="s">
        <v>40</v>
      </c>
      <c r="AA75" s="53"/>
      <c r="AB75" s="53"/>
      <c r="AC75" s="53"/>
    </row>
    <row r="76" spans="3:29">
      <c r="D76" t="str">
        <f t="shared" si="42"/>
        <v>RSDSYNH2CT</v>
      </c>
      <c r="S76">
        <f t="shared" si="47"/>
        <v>0.2</v>
      </c>
      <c r="T76">
        <f t="shared" si="47"/>
        <v>0</v>
      </c>
      <c r="W76" t="s">
        <v>18</v>
      </c>
      <c r="AA76" s="53"/>
    </row>
    <row r="77" spans="3:29">
      <c r="C77" t="str">
        <f>W77</f>
        <v>ART-SpHeat_GAS_hydrogen1</v>
      </c>
      <c r="D77" t="str">
        <f t="shared" si="42"/>
        <v>COMGAS</v>
      </c>
      <c r="F77" t="str">
        <f>COM!E189</f>
        <v>ART-SpHeat</v>
      </c>
      <c r="G77">
        <f>COM!F189</f>
        <v>2021</v>
      </c>
      <c r="H77">
        <f>COM!G189</f>
        <v>0.8</v>
      </c>
      <c r="K77">
        <f>COM!J189</f>
        <v>34.794520547945197</v>
      </c>
      <c r="L77">
        <f>COM!K189</f>
        <v>2.7397260273972601</v>
      </c>
      <c r="O77">
        <f>COM!L189</f>
        <v>34.794520547945197</v>
      </c>
      <c r="P77">
        <f>COM!M189</f>
        <v>2.7397260273972601</v>
      </c>
      <c r="Q77">
        <f>COM!N189</f>
        <v>23</v>
      </c>
      <c r="R77">
        <f>COM!O189</f>
        <v>31.54</v>
      </c>
      <c r="S77">
        <f t="shared" ref="S77:S102" si="48">S75</f>
        <v>0.8</v>
      </c>
      <c r="T77">
        <f t="shared" ref="T77:T102" si="49">T75</f>
        <v>1</v>
      </c>
      <c r="W77" t="s">
        <v>613</v>
      </c>
      <c r="Y77" s="53" t="s">
        <v>39</v>
      </c>
      <c r="Z77" s="53" t="s">
        <v>40</v>
      </c>
      <c r="AA77" s="53"/>
      <c r="AB77" s="53"/>
      <c r="AC77" s="53"/>
    </row>
    <row r="78" spans="3:29">
      <c r="D78" t="str">
        <f t="shared" si="42"/>
        <v>RSDSYNH2CT</v>
      </c>
      <c r="S78">
        <f t="shared" si="48"/>
        <v>0.2</v>
      </c>
      <c r="T78">
        <f t="shared" si="49"/>
        <v>0</v>
      </c>
      <c r="W78" t="s">
        <v>18</v>
      </c>
      <c r="AA78" s="53"/>
    </row>
    <row r="79" spans="3:29">
      <c r="C79" t="str">
        <f>W79</f>
        <v>AFM-SpHeat_GAS_hydrogen1</v>
      </c>
      <c r="D79" t="str">
        <f t="shared" si="42"/>
        <v>COMGAS</v>
      </c>
      <c r="F79" t="str">
        <f>COM!E195</f>
        <v>AFM-SpHeat</v>
      </c>
      <c r="G79">
        <f>COM!F195</f>
        <v>2021</v>
      </c>
      <c r="H79">
        <f>COM!G195</f>
        <v>0.8</v>
      </c>
      <c r="K79">
        <f>COM!J195</f>
        <v>34.794520547945197</v>
      </c>
      <c r="L79">
        <f>COM!K195</f>
        <v>2.7397260273972601</v>
      </c>
      <c r="O79">
        <f>COM!L195</f>
        <v>34.794520547945197</v>
      </c>
      <c r="P79">
        <f>COM!M195</f>
        <v>2.7397260273972601</v>
      </c>
      <c r="Q79">
        <f>COM!N195</f>
        <v>23</v>
      </c>
      <c r="R79">
        <f>COM!O195</f>
        <v>31.54</v>
      </c>
      <c r="S79">
        <f t="shared" si="48"/>
        <v>0.8</v>
      </c>
      <c r="T79">
        <f t="shared" si="49"/>
        <v>1</v>
      </c>
      <c r="W79" t="s">
        <v>614</v>
      </c>
      <c r="Y79" s="53" t="s">
        <v>39</v>
      </c>
      <c r="Z79" s="53" t="s">
        <v>40</v>
      </c>
      <c r="AA79" s="53"/>
      <c r="AB79" s="53"/>
      <c r="AC79" s="53"/>
    </row>
    <row r="80" spans="3:29">
      <c r="D80" t="str">
        <f t="shared" si="42"/>
        <v>RSDSYNH2CT</v>
      </c>
      <c r="S80">
        <f t="shared" si="48"/>
        <v>0.2</v>
      </c>
      <c r="T80">
        <f t="shared" si="49"/>
        <v>0</v>
      </c>
      <c r="W80" t="s">
        <v>18</v>
      </c>
      <c r="AA80" s="53"/>
    </row>
    <row r="81" spans="3:29">
      <c r="C81" t="str">
        <f>W81</f>
        <v>OTH-SpHeat_GAS_hydrogen1</v>
      </c>
      <c r="D81" t="str">
        <f t="shared" si="42"/>
        <v>COMGAS</v>
      </c>
      <c r="F81" t="str">
        <f>COM!E201</f>
        <v>OTH-SpHeat</v>
      </c>
      <c r="G81">
        <f>COM!F201</f>
        <v>2021</v>
      </c>
      <c r="H81">
        <f>COM!G201</f>
        <v>0.8</v>
      </c>
      <c r="K81">
        <f>COM!J201</f>
        <v>34.794520547945197</v>
      </c>
      <c r="L81">
        <f>COM!K201</f>
        <v>2.7397260273972601</v>
      </c>
      <c r="O81">
        <f>COM!L201</f>
        <v>34.794520547945197</v>
      </c>
      <c r="P81">
        <f>COM!M201</f>
        <v>2.7397260273972601</v>
      </c>
      <c r="Q81">
        <f>COM!N201</f>
        <v>23</v>
      </c>
      <c r="R81">
        <f>COM!O201</f>
        <v>31.54</v>
      </c>
      <c r="S81">
        <f t="shared" si="48"/>
        <v>0.8</v>
      </c>
      <c r="T81">
        <f t="shared" si="49"/>
        <v>1</v>
      </c>
      <c r="W81" t="s">
        <v>615</v>
      </c>
      <c r="Y81" s="53" t="s">
        <v>39</v>
      </c>
      <c r="Z81" s="53" t="s">
        <v>40</v>
      </c>
      <c r="AA81" s="53"/>
      <c r="AB81" s="53"/>
      <c r="AC81" s="53"/>
    </row>
    <row r="82" spans="3:29">
      <c r="D82" t="str">
        <f t="shared" si="42"/>
        <v>RSDSYNH2CT</v>
      </c>
      <c r="S82">
        <f t="shared" si="48"/>
        <v>0.2</v>
      </c>
      <c r="T82">
        <f t="shared" si="49"/>
        <v>0</v>
      </c>
      <c r="W82" t="s">
        <v>18</v>
      </c>
      <c r="AA82" s="53"/>
    </row>
    <row r="83" spans="3:29">
      <c r="C83" t="str">
        <f>W83</f>
        <v>WST-SpCool_GAS_hydrogen1</v>
      </c>
      <c r="D83" t="str">
        <f t="shared" si="42"/>
        <v>COMGAS</v>
      </c>
      <c r="F83" t="str">
        <f>COM!E207</f>
        <v>WST-SpCool</v>
      </c>
      <c r="G83">
        <f>COM!F207</f>
        <v>2021</v>
      </c>
      <c r="H83">
        <f>COM!G207</f>
        <v>1.2</v>
      </c>
      <c r="K83">
        <f>COM!J207</f>
        <v>1168.6096104634601</v>
      </c>
      <c r="L83">
        <f>COM!K207</f>
        <v>1.8093933362628301</v>
      </c>
      <c r="O83">
        <f>COM!L207</f>
        <v>1168.6096104634601</v>
      </c>
      <c r="P83">
        <f>COM!M207</f>
        <v>1.8093933362628301</v>
      </c>
      <c r="Q83">
        <f>COM!N207</f>
        <v>15</v>
      </c>
      <c r="R83">
        <f>COM!O207</f>
        <v>31.54</v>
      </c>
      <c r="S83">
        <f t="shared" si="48"/>
        <v>0.8</v>
      </c>
      <c r="T83">
        <f t="shared" si="49"/>
        <v>1</v>
      </c>
      <c r="W83" t="s">
        <v>616</v>
      </c>
      <c r="Y83" s="53" t="s">
        <v>39</v>
      </c>
      <c r="Z83" s="53" t="s">
        <v>40</v>
      </c>
      <c r="AA83" s="53"/>
      <c r="AB83" s="53"/>
      <c r="AC83" s="53"/>
    </row>
    <row r="84" spans="3:29">
      <c r="D84" t="str">
        <f t="shared" si="42"/>
        <v>RSDSYNH2CT</v>
      </c>
      <c r="S84">
        <f t="shared" si="48"/>
        <v>0.2</v>
      </c>
      <c r="T84">
        <f t="shared" si="49"/>
        <v>0</v>
      </c>
      <c r="W84" t="s">
        <v>18</v>
      </c>
      <c r="AA84" s="53"/>
    </row>
    <row r="85" spans="3:29">
      <c r="C85" t="str">
        <f>W85</f>
        <v>RTS-SpCool_GAS_hydrogen1</v>
      </c>
      <c r="D85" t="str">
        <f t="shared" si="42"/>
        <v>COMGAS</v>
      </c>
      <c r="F85" t="str">
        <f>COM!E209</f>
        <v>RTS-SpCool</v>
      </c>
      <c r="G85">
        <f>COM!F209</f>
        <v>2021</v>
      </c>
      <c r="H85">
        <f>COM!G209</f>
        <v>1.2</v>
      </c>
      <c r="K85">
        <f>COM!J209</f>
        <v>1168.6096104634601</v>
      </c>
      <c r="L85">
        <f>COM!K209</f>
        <v>1.8093933362628301</v>
      </c>
      <c r="O85">
        <f>COM!L209</f>
        <v>1168.6096104634601</v>
      </c>
      <c r="P85">
        <f>COM!M209</f>
        <v>1.8093933362628301</v>
      </c>
      <c r="Q85">
        <f>COM!N209</f>
        <v>15</v>
      </c>
      <c r="R85">
        <f>COM!O209</f>
        <v>31.54</v>
      </c>
      <c r="S85">
        <f t="shared" si="48"/>
        <v>0.8</v>
      </c>
      <c r="T85">
        <f t="shared" si="49"/>
        <v>1</v>
      </c>
      <c r="W85" t="s">
        <v>617</v>
      </c>
      <c r="Y85" s="53" t="s">
        <v>39</v>
      </c>
      <c r="Z85" s="53" t="s">
        <v>40</v>
      </c>
      <c r="AA85" s="53"/>
      <c r="AB85" s="53"/>
      <c r="AC85" s="53"/>
    </row>
    <row r="86" spans="3:29">
      <c r="D86" t="str">
        <f t="shared" si="42"/>
        <v>RSDSYNH2CT</v>
      </c>
      <c r="S86">
        <f t="shared" si="48"/>
        <v>0.2</v>
      </c>
      <c r="T86">
        <f t="shared" si="49"/>
        <v>0</v>
      </c>
      <c r="W86" t="s">
        <v>18</v>
      </c>
      <c r="AA86" s="53"/>
    </row>
    <row r="87" spans="3:29">
      <c r="C87" t="str">
        <f>W87</f>
        <v>TWS-SpCool_GAS_hydrogen1</v>
      </c>
      <c r="D87" t="str">
        <f t="shared" si="42"/>
        <v>COMGAS</v>
      </c>
      <c r="F87" t="str">
        <f>COM!E211</f>
        <v>TWS-SpCool</v>
      </c>
      <c r="G87">
        <f>COM!F211</f>
        <v>2021</v>
      </c>
      <c r="H87">
        <f>COM!G211</f>
        <v>1.2</v>
      </c>
      <c r="K87">
        <f>COM!J211</f>
        <v>1168.6096104634601</v>
      </c>
      <c r="L87">
        <f>COM!K211</f>
        <v>1.8093933362628301</v>
      </c>
      <c r="O87">
        <f>COM!L211</f>
        <v>1168.6096104634601</v>
      </c>
      <c r="P87">
        <f>COM!M211</f>
        <v>1.8093933362628301</v>
      </c>
      <c r="Q87">
        <f>COM!N211</f>
        <v>15</v>
      </c>
      <c r="R87">
        <f>COM!O211</f>
        <v>31.54</v>
      </c>
      <c r="S87">
        <f t="shared" si="48"/>
        <v>0.8</v>
      </c>
      <c r="T87">
        <f t="shared" si="49"/>
        <v>1</v>
      </c>
      <c r="W87" t="s">
        <v>618</v>
      </c>
      <c r="Y87" s="53" t="s">
        <v>39</v>
      </c>
      <c r="Z87" s="53" t="s">
        <v>40</v>
      </c>
      <c r="AA87" s="53"/>
      <c r="AB87" s="53"/>
      <c r="AC87" s="53"/>
    </row>
    <row r="88" spans="3:29">
      <c r="D88" t="str">
        <f t="shared" si="42"/>
        <v>RSDSYNH2CT</v>
      </c>
      <c r="S88">
        <f t="shared" si="48"/>
        <v>0.2</v>
      </c>
      <c r="T88">
        <f t="shared" si="49"/>
        <v>0</v>
      </c>
      <c r="W88" t="s">
        <v>18</v>
      </c>
      <c r="AA88" s="53"/>
    </row>
    <row r="89" spans="3:29">
      <c r="C89" t="str">
        <f>W89</f>
        <v>ICS-SpCool_GAS_hydrogen1</v>
      </c>
      <c r="D89" t="str">
        <f t="shared" si="42"/>
        <v>COMGAS</v>
      </c>
      <c r="F89" t="str">
        <f>COM!E213</f>
        <v>ICS-SpCool</v>
      </c>
      <c r="G89">
        <f>COM!F213</f>
        <v>2021</v>
      </c>
      <c r="H89">
        <f>COM!G213</f>
        <v>1.2</v>
      </c>
      <c r="K89">
        <f>COM!J213</f>
        <v>1168.6096104634601</v>
      </c>
      <c r="L89">
        <f>COM!K213</f>
        <v>1.8093933362628301</v>
      </c>
      <c r="O89">
        <f>COM!L213</f>
        <v>1168.6096104634601</v>
      </c>
      <c r="P89">
        <f>COM!M213</f>
        <v>1.8093933362628301</v>
      </c>
      <c r="Q89">
        <f>COM!N213</f>
        <v>15</v>
      </c>
      <c r="R89">
        <f>COM!O213</f>
        <v>31.54</v>
      </c>
      <c r="S89">
        <f t="shared" si="48"/>
        <v>0.8</v>
      </c>
      <c r="T89">
        <f t="shared" si="49"/>
        <v>1</v>
      </c>
      <c r="W89" t="s">
        <v>619</v>
      </c>
      <c r="Y89" s="53" t="s">
        <v>39</v>
      </c>
      <c r="Z89" s="53" t="s">
        <v>40</v>
      </c>
      <c r="AA89" s="53"/>
      <c r="AB89" s="53"/>
      <c r="AC89" s="53"/>
    </row>
    <row r="90" spans="3:29">
      <c r="D90" t="str">
        <f t="shared" si="42"/>
        <v>RSDSYNH2CT</v>
      </c>
      <c r="S90">
        <f t="shared" si="48"/>
        <v>0.2</v>
      </c>
      <c r="T90">
        <f t="shared" si="49"/>
        <v>0</v>
      </c>
      <c r="W90" t="s">
        <v>18</v>
      </c>
      <c r="AA90" s="53"/>
    </row>
    <row r="91" spans="3:29">
      <c r="C91" t="str">
        <f>W91</f>
        <v>OS-SpCool_GAS_hydrogen1</v>
      </c>
      <c r="D91" t="str">
        <f t="shared" si="42"/>
        <v>COMGAS</v>
      </c>
      <c r="F91" t="str">
        <f>COM!E215</f>
        <v>OS-SpCool</v>
      </c>
      <c r="G91">
        <f>COM!F215</f>
        <v>2021</v>
      </c>
      <c r="H91">
        <f>COM!G215</f>
        <v>1.2</v>
      </c>
      <c r="K91">
        <f>COM!J215</f>
        <v>1168.6096104634601</v>
      </c>
      <c r="L91">
        <f>COM!K215</f>
        <v>1.8093933362628301</v>
      </c>
      <c r="O91">
        <f>COM!L215</f>
        <v>1168.6096104634601</v>
      </c>
      <c r="P91">
        <f>COM!M215</f>
        <v>1.8093933362628301</v>
      </c>
      <c r="Q91">
        <f>COM!N215</f>
        <v>15</v>
      </c>
      <c r="R91">
        <f>COM!O215</f>
        <v>31.54</v>
      </c>
      <c r="S91">
        <f t="shared" si="48"/>
        <v>0.8</v>
      </c>
      <c r="T91">
        <f t="shared" si="49"/>
        <v>1</v>
      </c>
      <c r="W91" t="s">
        <v>620</v>
      </c>
      <c r="Y91" s="53" t="s">
        <v>39</v>
      </c>
      <c r="Z91" s="53" t="s">
        <v>40</v>
      </c>
      <c r="AA91" s="53"/>
      <c r="AB91" s="53"/>
      <c r="AC91" s="53"/>
    </row>
    <row r="92" spans="3:29">
      <c r="D92" t="str">
        <f t="shared" si="42"/>
        <v>RSDSYNH2CT</v>
      </c>
      <c r="S92">
        <f t="shared" si="48"/>
        <v>0.2</v>
      </c>
      <c r="T92">
        <f t="shared" si="49"/>
        <v>0</v>
      </c>
      <c r="W92" t="s">
        <v>18</v>
      </c>
      <c r="AA92" s="53"/>
    </row>
    <row r="93" spans="3:29">
      <c r="C93" t="str">
        <f>W93</f>
        <v>EDU-SpCool_GAS_hydrogen1</v>
      </c>
      <c r="D93" t="str">
        <f t="shared" si="42"/>
        <v>COMGAS</v>
      </c>
      <c r="F93" t="str">
        <f>COM!E217</f>
        <v>EDU-SpCool</v>
      </c>
      <c r="G93">
        <f>COM!F217</f>
        <v>2021</v>
      </c>
      <c r="H93">
        <f>COM!G217</f>
        <v>1.2</v>
      </c>
      <c r="K93">
        <f>COM!J217</f>
        <v>1168.6096104634601</v>
      </c>
      <c r="L93">
        <f>COM!K217</f>
        <v>1.8093933362628301</v>
      </c>
      <c r="O93">
        <f>COM!L217</f>
        <v>1168.6096104634601</v>
      </c>
      <c r="P93">
        <f>COM!M217</f>
        <v>1.8093933362628301</v>
      </c>
      <c r="Q93">
        <f>COM!N217</f>
        <v>15</v>
      </c>
      <c r="R93">
        <f>COM!O217</f>
        <v>31.54</v>
      </c>
      <c r="S93">
        <f t="shared" si="48"/>
        <v>0.8</v>
      </c>
      <c r="T93">
        <f t="shared" si="49"/>
        <v>1</v>
      </c>
      <c r="W93" t="s">
        <v>621</v>
      </c>
      <c r="Y93" s="53" t="s">
        <v>39</v>
      </c>
      <c r="Z93" s="53" t="s">
        <v>40</v>
      </c>
      <c r="AA93" s="53"/>
      <c r="AB93" s="53"/>
      <c r="AC93" s="53"/>
    </row>
    <row r="94" spans="3:29">
      <c r="D94" t="str">
        <f t="shared" si="42"/>
        <v>RSDSYNH2CT</v>
      </c>
      <c r="S94">
        <f t="shared" si="48"/>
        <v>0.2</v>
      </c>
      <c r="T94">
        <f t="shared" si="49"/>
        <v>0</v>
      </c>
      <c r="W94" t="s">
        <v>18</v>
      </c>
      <c r="AA94" s="53"/>
    </row>
    <row r="95" spans="3:29">
      <c r="C95" t="str">
        <f>W95</f>
        <v>HSS-SpCool_GAS_hydrogen1</v>
      </c>
      <c r="D95" t="str">
        <f t="shared" si="42"/>
        <v>COMGAS</v>
      </c>
      <c r="F95" t="str">
        <f>COM!E219</f>
        <v>HSS-SpCool</v>
      </c>
      <c r="G95">
        <f>COM!F219</f>
        <v>2021</v>
      </c>
      <c r="H95">
        <f>COM!G219</f>
        <v>1.2</v>
      </c>
      <c r="K95">
        <f>COM!J219</f>
        <v>1168.6096104634601</v>
      </c>
      <c r="L95">
        <f>COM!K219</f>
        <v>1.8093933362628301</v>
      </c>
      <c r="O95">
        <f>COM!L219</f>
        <v>1168.6096104634601</v>
      </c>
      <c r="P95">
        <f>COM!M219</f>
        <v>1.8093933362628301</v>
      </c>
      <c r="Q95">
        <f>COM!N219</f>
        <v>15</v>
      </c>
      <c r="R95">
        <f>COM!O219</f>
        <v>31.54</v>
      </c>
      <c r="S95">
        <f t="shared" si="48"/>
        <v>0.8</v>
      </c>
      <c r="T95">
        <f t="shared" si="49"/>
        <v>1</v>
      </c>
      <c r="W95" t="s">
        <v>622</v>
      </c>
      <c r="Y95" s="53" t="s">
        <v>39</v>
      </c>
      <c r="Z95" s="53" t="s">
        <v>40</v>
      </c>
      <c r="AA95" s="53"/>
      <c r="AB95" s="53"/>
      <c r="AC95" s="53"/>
    </row>
    <row r="96" spans="3:29">
      <c r="D96" t="str">
        <f t="shared" si="42"/>
        <v>RSDSYNH2CT</v>
      </c>
      <c r="S96">
        <f t="shared" si="48"/>
        <v>0.2</v>
      </c>
      <c r="T96">
        <f t="shared" si="49"/>
        <v>0</v>
      </c>
      <c r="W96" t="s">
        <v>18</v>
      </c>
      <c r="AA96" s="53"/>
    </row>
    <row r="97" spans="3:29">
      <c r="C97" t="str">
        <f>W97</f>
        <v>ART-SpCool_GAS_hydrogen1</v>
      </c>
      <c r="D97" t="str">
        <f t="shared" si="42"/>
        <v>COMGAS</v>
      </c>
      <c r="F97" t="str">
        <f>COM!E221</f>
        <v>ART-SpCool</v>
      </c>
      <c r="G97">
        <f>COM!F221</f>
        <v>2021</v>
      </c>
      <c r="H97">
        <f>COM!G221</f>
        <v>1.2</v>
      </c>
      <c r="K97">
        <f>COM!J221</f>
        <v>1168.6096104634601</v>
      </c>
      <c r="L97">
        <f>COM!K221</f>
        <v>1.8093933362628301</v>
      </c>
      <c r="O97">
        <f>COM!L221</f>
        <v>1168.6096104634601</v>
      </c>
      <c r="P97">
        <f>COM!M221</f>
        <v>1.8093933362628301</v>
      </c>
      <c r="Q97">
        <f>COM!N221</f>
        <v>15</v>
      </c>
      <c r="R97">
        <f>COM!O221</f>
        <v>31.54</v>
      </c>
      <c r="S97">
        <f t="shared" si="48"/>
        <v>0.8</v>
      </c>
      <c r="T97">
        <f t="shared" si="49"/>
        <v>1</v>
      </c>
      <c r="W97" t="s">
        <v>623</v>
      </c>
      <c r="Y97" s="53" t="s">
        <v>39</v>
      </c>
      <c r="Z97" s="53" t="s">
        <v>40</v>
      </c>
      <c r="AA97" s="53"/>
      <c r="AB97" s="53"/>
      <c r="AC97" s="53"/>
    </row>
    <row r="98" spans="3:29">
      <c r="D98" t="str">
        <f t="shared" si="42"/>
        <v>RSDSYNH2CT</v>
      </c>
      <c r="S98">
        <f t="shared" si="48"/>
        <v>0.2</v>
      </c>
      <c r="T98">
        <f t="shared" si="49"/>
        <v>0</v>
      </c>
      <c r="W98" t="s">
        <v>18</v>
      </c>
      <c r="AA98" s="53"/>
    </row>
    <row r="99" spans="3:29">
      <c r="C99" t="str">
        <f>W99</f>
        <v>AFM-SpCool_GAS_hydrogen1</v>
      </c>
      <c r="D99" t="str">
        <f t="shared" si="42"/>
        <v>COMGAS</v>
      </c>
      <c r="F99" t="str">
        <f>COM!E223</f>
        <v>AFM-SpCool</v>
      </c>
      <c r="G99">
        <f>COM!F223</f>
        <v>2021</v>
      </c>
      <c r="H99">
        <f>COM!G223</f>
        <v>1.2</v>
      </c>
      <c r="K99">
        <f>COM!J223</f>
        <v>1168.6096104634601</v>
      </c>
      <c r="L99">
        <f>COM!K223</f>
        <v>1.8093933362628301</v>
      </c>
      <c r="O99">
        <f>COM!L223</f>
        <v>1168.6096104634601</v>
      </c>
      <c r="P99">
        <f>COM!M223</f>
        <v>1.8093933362628301</v>
      </c>
      <c r="Q99">
        <f>COM!N223</f>
        <v>15</v>
      </c>
      <c r="R99">
        <f>COM!O223</f>
        <v>31.54</v>
      </c>
      <c r="S99">
        <f t="shared" si="48"/>
        <v>0.8</v>
      </c>
      <c r="T99">
        <f t="shared" si="49"/>
        <v>1</v>
      </c>
      <c r="W99" t="s">
        <v>624</v>
      </c>
      <c r="Y99" s="53" t="s">
        <v>39</v>
      </c>
      <c r="Z99" s="53" t="s">
        <v>40</v>
      </c>
      <c r="AA99" s="53"/>
      <c r="AB99" s="53"/>
      <c r="AC99" s="53"/>
    </row>
    <row r="100" spans="3:29">
      <c r="D100" t="str">
        <f t="shared" si="42"/>
        <v>RSDSYNH2CT</v>
      </c>
      <c r="S100">
        <f t="shared" si="48"/>
        <v>0.2</v>
      </c>
      <c r="T100">
        <f t="shared" si="49"/>
        <v>0</v>
      </c>
      <c r="W100" t="s">
        <v>18</v>
      </c>
      <c r="AA100" s="53"/>
    </row>
    <row r="101" spans="3:29">
      <c r="C101" t="str">
        <f>W101</f>
        <v>OTH-SpCool_GAS_hydrogen1</v>
      </c>
      <c r="D101" t="str">
        <f t="shared" si="42"/>
        <v>COMGAS</v>
      </c>
      <c r="F101" t="str">
        <f>COM!E225</f>
        <v>OTH-SpCool</v>
      </c>
      <c r="G101">
        <f>COM!F225</f>
        <v>2021</v>
      </c>
      <c r="H101">
        <f>COM!G225</f>
        <v>1.2</v>
      </c>
      <c r="K101">
        <f>COM!J225</f>
        <v>1168.6096104634601</v>
      </c>
      <c r="L101">
        <f>COM!K225</f>
        <v>1.8093933362628301</v>
      </c>
      <c r="O101">
        <f>COM!L225</f>
        <v>1168.6096104634601</v>
      </c>
      <c r="P101">
        <f>COM!M225</f>
        <v>1.8093933362628301</v>
      </c>
      <c r="Q101">
        <f>COM!N225</f>
        <v>15</v>
      </c>
      <c r="R101">
        <f>COM!O225</f>
        <v>31.54</v>
      </c>
      <c r="S101">
        <f t="shared" si="48"/>
        <v>0.8</v>
      </c>
      <c r="T101">
        <f t="shared" si="49"/>
        <v>1</v>
      </c>
      <c r="W101" t="s">
        <v>625</v>
      </c>
      <c r="Y101" s="53" t="s">
        <v>39</v>
      </c>
      <c r="Z101" s="53" t="s">
        <v>40</v>
      </c>
      <c r="AA101" s="53"/>
      <c r="AB101" s="53"/>
      <c r="AC101" s="53"/>
    </row>
    <row r="102" spans="3:29">
      <c r="D102" t="str">
        <f t="shared" si="42"/>
        <v>RSDSYNH2CT</v>
      </c>
      <c r="S102">
        <f t="shared" si="48"/>
        <v>0.2</v>
      </c>
      <c r="T102">
        <f t="shared" si="49"/>
        <v>0</v>
      </c>
      <c r="W102" t="s">
        <v>18</v>
      </c>
      <c r="AA102" s="53"/>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C1:AA33"/>
  <sheetViews>
    <sheetView zoomScale="51" zoomScaleNormal="51" workbookViewId="0">
      <selection activeCell="P34" sqref="P34"/>
    </sheetView>
  </sheetViews>
  <sheetFormatPr defaultColWidth="9" defaultRowHeight="14.5"/>
  <cols>
    <col min="3" max="3" width="24.54296875" customWidth="1"/>
    <col min="4" max="4" width="17" customWidth="1"/>
    <col min="5" max="5" width="19.1796875" customWidth="1"/>
    <col min="7" max="7" width="12" customWidth="1"/>
    <col min="9" max="10" width="14.7265625" customWidth="1"/>
    <col min="11" max="11" width="14" customWidth="1"/>
    <col min="13" max="13" width="14" customWidth="1"/>
    <col min="16" max="16" width="8.453125" customWidth="1"/>
    <col min="21" max="21" width="18" customWidth="1"/>
  </cols>
  <sheetData>
    <row r="1" spans="3:27">
      <c r="H1" s="3" t="s">
        <v>626</v>
      </c>
    </row>
    <row r="2" spans="3:27">
      <c r="H2" s="3" t="s">
        <v>627</v>
      </c>
      <c r="K2" s="24" t="s">
        <v>628</v>
      </c>
    </row>
    <row r="3" spans="3:27" s="2" customFormat="1">
      <c r="E3" s="4" t="s">
        <v>629</v>
      </c>
      <c r="S3" s="29" t="s">
        <v>630</v>
      </c>
      <c r="T3" s="29"/>
      <c r="U3" s="30"/>
      <c r="V3" s="30"/>
      <c r="W3" s="30"/>
      <c r="X3" s="30"/>
      <c r="Y3" s="30"/>
      <c r="Z3" s="30"/>
      <c r="AA3" s="30"/>
    </row>
    <row r="4" spans="3:27" s="2" customFormat="1" ht="26">
      <c r="C4" s="5" t="s">
        <v>12</v>
      </c>
      <c r="D4" s="5" t="s">
        <v>13</v>
      </c>
      <c r="E4" s="5" t="s">
        <v>15</v>
      </c>
      <c r="F4" s="6" t="s">
        <v>16</v>
      </c>
      <c r="G4" s="7" t="s">
        <v>17</v>
      </c>
      <c r="H4" s="7" t="s">
        <v>19</v>
      </c>
      <c r="I4" s="7" t="s">
        <v>192</v>
      </c>
      <c r="J4" s="7"/>
      <c r="K4" s="7" t="s">
        <v>20</v>
      </c>
      <c r="L4" s="7" t="s">
        <v>21</v>
      </c>
      <c r="M4" s="7" t="s">
        <v>24</v>
      </c>
      <c r="N4" s="7" t="s">
        <v>25</v>
      </c>
      <c r="O4" s="25" t="s">
        <v>26</v>
      </c>
      <c r="P4" s="25" t="s">
        <v>27</v>
      </c>
      <c r="S4" s="31" t="s">
        <v>29</v>
      </c>
      <c r="T4" s="32" t="s">
        <v>197</v>
      </c>
      <c r="U4" s="31" t="s">
        <v>12</v>
      </c>
      <c r="V4" s="31" t="s">
        <v>30</v>
      </c>
      <c r="W4" s="31" t="s">
        <v>31</v>
      </c>
      <c r="X4" s="31" t="s">
        <v>32</v>
      </c>
      <c r="Y4" s="31" t="s">
        <v>33</v>
      </c>
      <c r="Z4" s="31" t="s">
        <v>34</v>
      </c>
      <c r="AA4" s="31" t="s">
        <v>198</v>
      </c>
    </row>
    <row r="5" spans="3:27" s="2" customFormat="1" ht="41.5">
      <c r="C5" s="8" t="s">
        <v>631</v>
      </c>
      <c r="D5" s="8" t="s">
        <v>200</v>
      </c>
      <c r="E5" s="8" t="s">
        <v>632</v>
      </c>
      <c r="F5" s="2">
        <v>2021</v>
      </c>
      <c r="G5" s="9">
        <v>0.16919999999999999</v>
      </c>
      <c r="H5" s="2">
        <v>1</v>
      </c>
      <c r="I5" s="2">
        <v>1</v>
      </c>
      <c r="K5" s="26">
        <v>4000</v>
      </c>
      <c r="L5" s="26">
        <f>K5/100</f>
        <v>40</v>
      </c>
      <c r="M5" s="26">
        <v>4000</v>
      </c>
      <c r="N5" s="26">
        <f>M5/100</f>
        <v>40</v>
      </c>
      <c r="O5" s="26">
        <v>30</v>
      </c>
      <c r="P5" s="2">
        <v>1</v>
      </c>
      <c r="S5" s="33" t="s">
        <v>202</v>
      </c>
      <c r="T5" s="33" t="s">
        <v>203</v>
      </c>
      <c r="U5" s="33" t="s">
        <v>204</v>
      </c>
      <c r="V5" s="33" t="s">
        <v>205</v>
      </c>
      <c r="W5" s="33" t="s">
        <v>206</v>
      </c>
      <c r="X5" s="33" t="s">
        <v>207</v>
      </c>
      <c r="Y5" s="33" t="s">
        <v>208</v>
      </c>
      <c r="Z5" s="33" t="s">
        <v>209</v>
      </c>
      <c r="AA5" s="33" t="s">
        <v>210</v>
      </c>
    </row>
    <row r="6" spans="3:27" s="2" customFormat="1">
      <c r="C6" s="8" t="s">
        <v>633</v>
      </c>
      <c r="D6" s="8" t="s">
        <v>634</v>
      </c>
      <c r="E6" s="8" t="s">
        <v>635</v>
      </c>
      <c r="F6" s="2">
        <v>2021</v>
      </c>
      <c r="G6" s="9">
        <v>0.16919999999999999</v>
      </c>
      <c r="H6" s="2">
        <v>1</v>
      </c>
      <c r="I6" s="2">
        <v>1</v>
      </c>
      <c r="K6" s="26">
        <v>4000</v>
      </c>
      <c r="L6" s="26">
        <f t="shared" ref="L6:L12" si="0">K6/100</f>
        <v>40</v>
      </c>
      <c r="M6" s="26">
        <v>4000</v>
      </c>
      <c r="N6" s="26">
        <f t="shared" ref="N6:N9" si="1">M6/100</f>
        <v>40</v>
      </c>
      <c r="O6" s="26">
        <v>30</v>
      </c>
      <c r="P6" s="2">
        <v>1</v>
      </c>
      <c r="S6" s="34" t="s">
        <v>18</v>
      </c>
      <c r="T6" s="35"/>
      <c r="U6" s="35"/>
      <c r="V6" s="35"/>
      <c r="W6" s="35"/>
      <c r="X6" s="35"/>
      <c r="Y6" s="35"/>
      <c r="Z6" s="35"/>
      <c r="AA6" s="35"/>
    </row>
    <row r="7" spans="3:27" s="2" customFormat="1">
      <c r="C7" s="8" t="s">
        <v>636</v>
      </c>
      <c r="D7" s="8" t="s">
        <v>200</v>
      </c>
      <c r="E7" s="8" t="s">
        <v>637</v>
      </c>
      <c r="F7" s="2">
        <v>2021</v>
      </c>
      <c r="G7" s="9">
        <v>0.62509999999999999</v>
      </c>
      <c r="H7" s="2">
        <v>1</v>
      </c>
      <c r="I7" s="2">
        <v>1</v>
      </c>
      <c r="K7" s="26">
        <v>4000</v>
      </c>
      <c r="L7" s="26">
        <f t="shared" si="0"/>
        <v>40</v>
      </c>
      <c r="M7" s="26">
        <v>4000</v>
      </c>
      <c r="N7" s="26">
        <f t="shared" si="1"/>
        <v>40</v>
      </c>
      <c r="O7" s="26">
        <v>30</v>
      </c>
      <c r="P7" s="2">
        <v>1</v>
      </c>
      <c r="S7" s="36" t="s">
        <v>38</v>
      </c>
      <c r="T7" s="30"/>
      <c r="U7" s="8" t="s">
        <v>631</v>
      </c>
      <c r="V7" s="36"/>
      <c r="W7" s="30" t="s">
        <v>638</v>
      </c>
      <c r="X7" s="30" t="s">
        <v>639</v>
      </c>
      <c r="Y7" s="30"/>
      <c r="Z7" s="30" t="s">
        <v>216</v>
      </c>
      <c r="AA7" s="30"/>
    </row>
    <row r="8" spans="3:27" s="2" customFormat="1">
      <c r="C8" s="8" t="s">
        <v>640</v>
      </c>
      <c r="D8" s="8" t="s">
        <v>634</v>
      </c>
      <c r="E8" s="8" t="s">
        <v>641</v>
      </c>
      <c r="F8" s="2">
        <v>2021</v>
      </c>
      <c r="G8" s="9">
        <v>0.62509999999999999</v>
      </c>
      <c r="H8" s="2">
        <v>1</v>
      </c>
      <c r="I8" s="2">
        <v>1</v>
      </c>
      <c r="K8" s="26">
        <v>4000</v>
      </c>
      <c r="L8" s="26">
        <f t="shared" si="0"/>
        <v>40</v>
      </c>
      <c r="M8" s="26">
        <v>4000</v>
      </c>
      <c r="N8" s="26">
        <f t="shared" si="1"/>
        <v>40</v>
      </c>
      <c r="O8" s="26">
        <v>30</v>
      </c>
      <c r="P8" s="2">
        <v>1</v>
      </c>
      <c r="S8" s="30"/>
      <c r="T8" s="30"/>
      <c r="U8" s="8" t="s">
        <v>633</v>
      </c>
      <c r="V8" s="36"/>
      <c r="W8" s="30" t="s">
        <v>638</v>
      </c>
      <c r="X8" s="30" t="s">
        <v>639</v>
      </c>
      <c r="Y8" s="30"/>
      <c r="Z8" s="30" t="s">
        <v>216</v>
      </c>
      <c r="AA8" s="30"/>
    </row>
    <row r="9" spans="3:27" s="2" customFormat="1">
      <c r="C9" s="8" t="s">
        <v>642</v>
      </c>
      <c r="D9" s="8" t="s">
        <v>212</v>
      </c>
      <c r="E9" s="8" t="s">
        <v>643</v>
      </c>
      <c r="F9" s="2">
        <v>2021</v>
      </c>
      <c r="G9" s="2">
        <f>1/0.31</f>
        <v>3.2258064516128999</v>
      </c>
      <c r="H9" s="2">
        <v>1</v>
      </c>
      <c r="I9" s="2">
        <v>1</v>
      </c>
      <c r="K9" s="26">
        <v>4000</v>
      </c>
      <c r="L9" s="26">
        <f t="shared" si="0"/>
        <v>40</v>
      </c>
      <c r="M9" s="26">
        <v>4000</v>
      </c>
      <c r="N9" s="26">
        <f t="shared" si="1"/>
        <v>40</v>
      </c>
      <c r="O9" s="26">
        <v>30</v>
      </c>
      <c r="P9" s="2">
        <v>1</v>
      </c>
      <c r="S9" s="30"/>
      <c r="T9" s="30"/>
      <c r="U9" s="8" t="s">
        <v>636</v>
      </c>
      <c r="V9" s="36"/>
      <c r="W9" s="30" t="s">
        <v>644</v>
      </c>
      <c r="X9" s="30" t="s">
        <v>645</v>
      </c>
      <c r="Y9" s="30"/>
      <c r="Z9" s="30" t="s">
        <v>216</v>
      </c>
      <c r="AA9" s="30"/>
    </row>
    <row r="10" spans="3:27" s="2" customFormat="1">
      <c r="C10" s="8"/>
      <c r="D10" s="8" t="s">
        <v>646</v>
      </c>
      <c r="E10" s="8"/>
      <c r="K10" s="26"/>
      <c r="L10" s="26"/>
      <c r="M10" s="26"/>
      <c r="N10" s="26"/>
      <c r="O10" s="26"/>
      <c r="S10" s="30"/>
      <c r="T10" s="30"/>
      <c r="U10" s="8" t="s">
        <v>640</v>
      </c>
      <c r="V10" s="36"/>
      <c r="W10" s="30" t="s">
        <v>644</v>
      </c>
      <c r="X10" s="30" t="s">
        <v>645</v>
      </c>
      <c r="Y10" s="30"/>
      <c r="Z10" s="30" t="s">
        <v>216</v>
      </c>
      <c r="AA10" s="30"/>
    </row>
    <row r="11" spans="3:27" s="2" customFormat="1">
      <c r="C11" s="8" t="s">
        <v>647</v>
      </c>
      <c r="D11" s="8" t="s">
        <v>212</v>
      </c>
      <c r="E11" s="8" t="s">
        <v>648</v>
      </c>
      <c r="F11" s="2">
        <v>2021</v>
      </c>
      <c r="G11" s="9">
        <v>0.04</v>
      </c>
      <c r="H11" s="2">
        <v>1</v>
      </c>
      <c r="I11" s="2">
        <v>1</v>
      </c>
      <c r="K11" s="26">
        <v>4000</v>
      </c>
      <c r="L11" s="26">
        <f t="shared" si="0"/>
        <v>40</v>
      </c>
      <c r="M11" s="26">
        <v>4000</v>
      </c>
      <c r="N11" s="26">
        <f t="shared" ref="N11:N12" si="2">M11/100</f>
        <v>40</v>
      </c>
      <c r="O11" s="26">
        <v>30</v>
      </c>
      <c r="P11" s="2">
        <v>1</v>
      </c>
      <c r="S11" s="30"/>
      <c r="T11" s="30"/>
      <c r="U11" s="8" t="s">
        <v>642</v>
      </c>
      <c r="V11" s="36"/>
      <c r="W11" s="30" t="s">
        <v>644</v>
      </c>
      <c r="X11" s="30" t="s">
        <v>645</v>
      </c>
      <c r="Y11" s="30"/>
      <c r="Z11" s="30" t="s">
        <v>216</v>
      </c>
      <c r="AA11" s="30"/>
    </row>
    <row r="12" spans="3:27" s="2" customFormat="1">
      <c r="C12" s="8" t="s">
        <v>649</v>
      </c>
      <c r="D12" s="8" t="s">
        <v>212</v>
      </c>
      <c r="E12" s="8" t="s">
        <v>650</v>
      </c>
      <c r="F12" s="2">
        <v>2021</v>
      </c>
      <c r="G12" s="9">
        <v>0.12</v>
      </c>
      <c r="H12" s="2">
        <v>1</v>
      </c>
      <c r="I12" s="2">
        <v>1</v>
      </c>
      <c r="K12" s="26">
        <v>4000</v>
      </c>
      <c r="L12" s="26">
        <f t="shared" si="0"/>
        <v>40</v>
      </c>
      <c r="M12" s="26">
        <v>4000</v>
      </c>
      <c r="N12" s="26">
        <f t="shared" si="2"/>
        <v>40</v>
      </c>
      <c r="O12" s="26">
        <v>30</v>
      </c>
      <c r="P12" s="2">
        <v>1</v>
      </c>
      <c r="S12" s="37"/>
      <c r="T12" s="37"/>
      <c r="U12" s="8" t="s">
        <v>647</v>
      </c>
      <c r="V12" s="38"/>
      <c r="W12" s="30" t="s">
        <v>644</v>
      </c>
      <c r="X12" s="30" t="s">
        <v>645</v>
      </c>
      <c r="Y12" s="30"/>
      <c r="Z12" s="30" t="s">
        <v>216</v>
      </c>
      <c r="AA12" s="37"/>
    </row>
    <row r="13" spans="3:27">
      <c r="C13" s="10"/>
      <c r="D13" s="10"/>
      <c r="H13" s="11"/>
      <c r="K13" s="17"/>
      <c r="L13" s="17"/>
      <c r="M13" s="17"/>
      <c r="N13" s="17"/>
      <c r="O13" s="17"/>
      <c r="T13" s="10"/>
      <c r="U13" s="10" t="s">
        <v>649</v>
      </c>
      <c r="V13" s="39"/>
      <c r="W13" s="40" t="s">
        <v>638</v>
      </c>
      <c r="X13" s="40" t="s">
        <v>639</v>
      </c>
      <c r="Y13" s="40"/>
      <c r="Z13" s="40" t="s">
        <v>216</v>
      </c>
      <c r="AA13" s="40"/>
    </row>
    <row r="14" spans="3:27">
      <c r="C14" s="10"/>
      <c r="D14" s="10"/>
      <c r="H14" s="11"/>
      <c r="K14" s="17"/>
      <c r="L14" s="17"/>
      <c r="M14" s="17"/>
      <c r="N14" s="17"/>
      <c r="O14" s="17"/>
      <c r="T14" s="10"/>
      <c r="U14" s="10"/>
      <c r="V14" s="39"/>
      <c r="W14" s="40"/>
      <c r="X14" s="40"/>
      <c r="Y14" s="40"/>
      <c r="Z14" s="40"/>
      <c r="AA14" s="40"/>
    </row>
    <row r="15" spans="3:27">
      <c r="C15" s="10"/>
      <c r="D15" s="10"/>
      <c r="H15" s="11"/>
      <c r="K15" s="17"/>
      <c r="L15" s="17"/>
      <c r="M15" s="17"/>
      <c r="N15" s="17"/>
      <c r="O15" s="17"/>
      <c r="T15" s="10"/>
      <c r="U15" s="10"/>
      <c r="V15" s="39"/>
      <c r="W15" s="40"/>
      <c r="X15" s="40"/>
      <c r="Y15" s="40"/>
      <c r="Z15" s="40"/>
      <c r="AA15" s="40"/>
    </row>
    <row r="16" spans="3:27">
      <c r="E16" s="12" t="s">
        <v>629</v>
      </c>
      <c r="T16" s="10"/>
      <c r="U16" s="10"/>
      <c r="V16" s="39"/>
      <c r="W16" s="40"/>
      <c r="X16" s="40"/>
      <c r="Y16" s="40"/>
      <c r="Z16" s="40"/>
      <c r="AA16" s="40"/>
    </row>
    <row r="17" spans="3:26" ht="26">
      <c r="C17" s="13" t="s">
        <v>12</v>
      </c>
      <c r="D17" s="13" t="s">
        <v>13</v>
      </c>
      <c r="E17" s="13" t="s">
        <v>15</v>
      </c>
      <c r="F17" s="14" t="s">
        <v>16</v>
      </c>
      <c r="G17" s="15" t="s">
        <v>17</v>
      </c>
      <c r="H17" s="15" t="s">
        <v>20</v>
      </c>
      <c r="I17" s="15" t="s">
        <v>21</v>
      </c>
      <c r="J17" s="15" t="s">
        <v>22</v>
      </c>
      <c r="K17" s="15" t="s">
        <v>24</v>
      </c>
      <c r="L17" s="15" t="s">
        <v>25</v>
      </c>
      <c r="M17" s="27" t="s">
        <v>26</v>
      </c>
      <c r="N17" s="27" t="s">
        <v>27</v>
      </c>
      <c r="Q17" s="40"/>
      <c r="R17" s="40"/>
      <c r="S17" s="10"/>
      <c r="T17" s="39"/>
      <c r="U17" s="40"/>
      <c r="V17" s="40"/>
      <c r="W17" s="40"/>
      <c r="X17" s="40"/>
      <c r="Y17" s="40"/>
    </row>
    <row r="18" spans="3:26">
      <c r="C18" s="10" t="s">
        <v>651</v>
      </c>
      <c r="D18" s="10" t="s">
        <v>233</v>
      </c>
      <c r="E18" s="10" t="s">
        <v>648</v>
      </c>
      <c r="F18">
        <v>2021</v>
      </c>
      <c r="G18" s="16">
        <v>0.04</v>
      </c>
      <c r="H18" s="17">
        <v>4000</v>
      </c>
      <c r="I18" s="17">
        <f>H18/100</f>
        <v>40</v>
      </c>
      <c r="J18" s="17">
        <f>H18*95%</f>
        <v>3800</v>
      </c>
      <c r="K18" s="17">
        <f>H18*90%</f>
        <v>3600</v>
      </c>
      <c r="L18" s="17">
        <f t="shared" ref="L18:L19" si="3">K18/100</f>
        <v>36</v>
      </c>
      <c r="M18" s="17">
        <v>30</v>
      </c>
      <c r="N18">
        <v>1</v>
      </c>
    </row>
    <row r="19" spans="3:26">
      <c r="C19" s="10" t="s">
        <v>652</v>
      </c>
      <c r="D19" s="10" t="s">
        <v>233</v>
      </c>
      <c r="E19" s="10" t="s">
        <v>650</v>
      </c>
      <c r="F19">
        <v>2021</v>
      </c>
      <c r="G19" s="16">
        <v>0.12</v>
      </c>
      <c r="H19" s="17">
        <v>4000</v>
      </c>
      <c r="I19" s="17">
        <f>H19/100</f>
        <v>40</v>
      </c>
      <c r="J19" s="17">
        <f>H19*95%</f>
        <v>3800</v>
      </c>
      <c r="K19" s="17">
        <f>H19*90%</f>
        <v>3600</v>
      </c>
      <c r="L19" s="17">
        <f t="shared" si="3"/>
        <v>36</v>
      </c>
      <c r="M19" s="17">
        <v>30</v>
      </c>
      <c r="N19">
        <v>1</v>
      </c>
    </row>
    <row r="20" spans="3:26">
      <c r="C20" s="10"/>
      <c r="D20" s="10"/>
      <c r="E20" s="10"/>
      <c r="G20" s="18"/>
      <c r="K20" s="17"/>
      <c r="L20" s="17"/>
      <c r="M20" s="17"/>
      <c r="N20" s="17"/>
      <c r="O20" s="17"/>
      <c r="U20" s="10"/>
      <c r="W20" s="40"/>
      <c r="X20" s="40"/>
      <c r="Z20" s="40"/>
    </row>
    <row r="21" spans="3:26">
      <c r="C21" s="10"/>
      <c r="D21" s="10"/>
      <c r="E21" s="10"/>
      <c r="G21" s="18"/>
      <c r="K21" s="17"/>
      <c r="L21" s="17"/>
      <c r="M21" s="17"/>
      <c r="N21" s="17"/>
      <c r="O21" s="17"/>
    </row>
    <row r="22" spans="3:26">
      <c r="C22" s="10"/>
      <c r="D22" s="10"/>
      <c r="E22" s="10"/>
      <c r="K22" s="17"/>
      <c r="L22" s="17"/>
      <c r="M22" s="17"/>
      <c r="N22" s="17"/>
      <c r="O22" s="17"/>
    </row>
    <row r="23" spans="3:26">
      <c r="C23" s="10"/>
      <c r="D23" s="10"/>
      <c r="E23" s="10"/>
      <c r="K23" s="17"/>
      <c r="L23" s="17"/>
      <c r="M23" s="17"/>
      <c r="N23" s="17"/>
      <c r="O23" s="17"/>
    </row>
    <row r="26" spans="3:26">
      <c r="C26" s="10"/>
      <c r="D26" s="10"/>
      <c r="H26" s="11"/>
      <c r="K26" s="17"/>
      <c r="L26" s="17"/>
      <c r="M26" s="17"/>
      <c r="N26" s="17"/>
      <c r="O26" s="17"/>
    </row>
    <row r="30" spans="3:26">
      <c r="C30" s="19" t="s">
        <v>630</v>
      </c>
      <c r="D30" s="20"/>
      <c r="E30" s="21"/>
      <c r="F30" s="21"/>
      <c r="G30" s="21"/>
      <c r="H30" s="21"/>
      <c r="I30" s="21"/>
      <c r="J30" s="21"/>
    </row>
    <row r="31" spans="3:26">
      <c r="C31" s="22" t="s">
        <v>29</v>
      </c>
      <c r="D31" s="22" t="s">
        <v>12</v>
      </c>
      <c r="E31" s="22" t="s">
        <v>30</v>
      </c>
      <c r="F31" s="22" t="s">
        <v>31</v>
      </c>
      <c r="G31" s="22" t="s">
        <v>32</v>
      </c>
      <c r="H31" s="22" t="s">
        <v>33</v>
      </c>
      <c r="I31" s="22" t="s">
        <v>34</v>
      </c>
      <c r="J31" s="28"/>
    </row>
    <row r="32" spans="3:26">
      <c r="C32" s="23" t="s">
        <v>38</v>
      </c>
      <c r="D32" s="10" t="s">
        <v>652</v>
      </c>
      <c r="E32" s="23" t="s">
        <v>653</v>
      </c>
      <c r="F32" s="23" t="s">
        <v>654</v>
      </c>
      <c r="G32" s="23" t="s">
        <v>655</v>
      </c>
      <c r="H32" s="23"/>
      <c r="I32" s="23"/>
      <c r="J32" s="23"/>
    </row>
    <row r="33" spans="3:10">
      <c r="C33" s="23"/>
      <c r="D33" s="10" t="s">
        <v>651</v>
      </c>
      <c r="E33" s="23" t="s">
        <v>656</v>
      </c>
      <c r="F33" s="23" t="s">
        <v>657</v>
      </c>
      <c r="G33" s="23" t="s">
        <v>658</v>
      </c>
      <c r="H33" s="23"/>
      <c r="I33" s="23"/>
      <c r="J33" s="23"/>
    </row>
  </sheetData>
  <pageMargins left="0.7" right="0.7" top="0.75" bottom="0.75" header="0.3" footer="0.3"/>
  <pageSetup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14999847407452621"/>
  </sheetPr>
  <dimension ref="A1:A2"/>
  <sheetViews>
    <sheetView workbookViewId="0">
      <selection activeCell="P34" sqref="P34"/>
    </sheetView>
  </sheetViews>
  <sheetFormatPr defaultColWidth="8.7265625" defaultRowHeight="14.5"/>
  <sheetData>
    <row r="1" spans="1:1">
      <c r="A1" t="s">
        <v>659</v>
      </c>
    </row>
    <row r="2" spans="1:1">
      <c r="A2" s="1" t="s">
        <v>660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RSD</vt:lpstr>
      <vt:lpstr>TRA</vt:lpstr>
      <vt:lpstr>COM</vt:lpstr>
      <vt:lpstr>Hydrogen_blended_for_building</vt:lpstr>
      <vt:lpstr>NOUSE TRA2</vt:lpstr>
      <vt:lpstr>NOAGR_andIND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Xiao Li</cp:lastModifiedBy>
  <dcterms:created xsi:type="dcterms:W3CDTF">2024-02-28T14:23:00Z</dcterms:created>
  <dcterms:modified xsi:type="dcterms:W3CDTF">2025-02-18T14:51:05Z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1033-12.2.0.19805</vt:lpwstr>
  </property>
</Properties>
</file>