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270" activeTab="3"/>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 r:id="rId11"/>
    <externalReference r:id="rId12"/>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<sst xmlns="http://schemas.openxmlformats.org/spreadsheetml/2006/main" count="3258" uniqueCount="657">
  <si>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</si>
  <si>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</si>
  <si>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</si>
  <si>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</si>
  <si>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</si>
  <si>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</si>
  <si>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</si>
  <si>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</si>
  <si>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</si>
  <si>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</si>
  <si>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</si>
  <si>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</si>
  <si>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</si>
  <si>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</si>
  <si>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</si>
  <si>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</si>
  <si>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</si>
  <si>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</si>
  <si>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</si>
  <si>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</si>
  <si>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</si>
  <si>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</si>
  <si>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</si>
  <si>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</si>
  <si>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</si>
  <si>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</si>
  <si>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SHARE-I~UP</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</si>
  <si>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</si>
  <si>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</si>
  <si>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</si>
  <si>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</si>
  <si>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</si>
  <si>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</si>
  <si>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</si>
  <si>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</si>
  <si>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</si>
  <si>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</si>
  <si>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</si>
  <si>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</si>
  <si>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</si>
  <si>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</si>
  <si>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</si>
  <si>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</si>
  <si>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</si>
  <si>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</si>
  <si>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</si>
  <si>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</si>
  <si>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</si>
  <si>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</si>
  <si>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</si>
  <si>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</si>
  <si>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</si>
  <si>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</si>
  <si>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</si>
  <si>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</si>
  <si>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</si>
  <si>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</si>
  <si>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</si>
  <si>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</si>
  <si>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</si>
  <si>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</si>
  <si>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</si>
  <si>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</si>
  <si>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</si>
  <si>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</si>
  <si>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</si>
  <si>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</si>
  <si>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</si>
  <si>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</si>
  <si>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</si>
  <si>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</si>
  <si>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</si>
  <si>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</si>
  <si>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</si>
  <si>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</si>
  <si>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</si>
  <si>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</si>
  <si>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</si>
  <si>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</si>
  <si>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</si>
  <si>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</si>
  <si>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</si>
  <si>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</si>
  <si>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</si>
  <si>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</si>
  <si>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</si>
  <si>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</si>
  <si>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</si>
  <si>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</si>
  <si>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</si>
  <si>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</si>
  <si>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</si>
  <si>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</si>
  <si>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</si>
  <si>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</si>
  <si>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</si>
  <si>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</si>
  <si>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</si>
  <si>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</si>
  <si>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</si>
  <si>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</si>
  <si>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</si>
  <si>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Share-I~UP</t>
  </si>
  <si>
    <t>R_ES-SH-SD_OIL_NE1</t>
  </si>
  <si>
    <t>RSDOIL</t>
  </si>
  <si>
    <t>R_ES-SD-SpHeat</t>
  </si>
  <si>
    <t>PJ</t>
  </si>
  <si>
    <t>GW</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</si>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</sst>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sz val="11"/>
      <color theme="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0"/>
    </font>
    <font>
      <sz val="8"/>
      <name val="Tahoma"/>
      <charset val="134"/>
    </font>
    <font>
      <b/>
      <sz val="9"/>
      <name val="Times New Roman"/>
      <charset val="134"/>
    </font>
    <font>
      <sz val="9"/>
      <name val="Times New Roman"/>
      <charset val="134"/>
    </font>
    <font>
      <sz val="9"/>
      <name val="Times New Roman"/>
      <charset val="0"/>
    </font>
    <font>
      <b/>
      <sz val="8"/>
      <name val="Tahoma"/>
      <charset val="134"/>
    </font>
    <font>
      <sz val="9"/>
      <name val="Tahoma"/>
      <charset val="134"/>
    </font>
    <font>
      <b/>
      <sz val="9"/>
      <name val="Tahoma"/>
      <charset val="134"/>
    </font>
    <font>
      <sz val="9"/>
      <name val="Tahoma"/>
      <charset val="1"/>
    </font>
    <font>
      <b/>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96">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8" fillId="0" borderId="6" xfId="0" applyFont="1" applyFill="1" applyBorder="1" applyAlignment="1">
      <alignment horizontal="center"/>
    </xf>
    <xf numFmtId="0" fontId="8" fillId="0" borderId="0" xfId="0" applyFont="1" applyFill="1" applyAlignment="1">
      <alignment vertical="center" wrapText="1"/>
    </xf>
    <xf numFmtId="0" fontId="0" fillId="0" borderId="6" xfId="0" applyBorder="1"/>
    <xf numFmtId="0" fontId="1" fillId="6" borderId="6" xfId="0" applyFont="1" applyFill="1" applyBorder="1"/>
    <xf numFmtId="0" fontId="1" fillId="0" borderId="6" xfId="0" applyFont="1" applyFill="1" applyBorder="1"/>
    <xf numFmtId="0" fontId="1" fillId="2" borderId="0" xfId="0" applyFont="1" applyFill="1"/>
    <xf numFmtId="0" fontId="0" fillId="0" borderId="6" xfId="0" applyFont="1" applyBorder="1"/>
    <xf numFmtId="0" fontId="2" fillId="0" borderId="6" xfId="4524" applyFont="1" applyBorder="1" applyAlignment="1">
      <alignment horizontal="left"/>
    </xf>
    <xf numFmtId="0" fontId="3" fillId="3" borderId="6" xfId="3723" applyFont="1" applyFill="1" applyBorder="1" applyAlignment="1">
      <alignment vertical="center"/>
    </xf>
    <xf numFmtId="0" fontId="3" fillId="3" borderId="6" xfId="0" applyFont="1" applyFill="1" applyBorder="1" applyAlignment="1">
      <alignment vertical="center"/>
    </xf>
    <xf numFmtId="0" fontId="4" fillId="4" borderId="6" xfId="4524" applyFont="1" applyFill="1" applyBorder="1" applyAlignment="1">
      <alignment horizontal="left" vertical="center"/>
    </xf>
    <xf numFmtId="0" fontId="9" fillId="0" borderId="6" xfId="4524" applyFont="1" applyFill="1" applyBorder="1" applyAlignment="1">
      <alignment horizontal="right" vertical="center"/>
    </xf>
    <xf numFmtId="0" fontId="0" fillId="0" borderId="6" xfId="4986"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524" applyFont="1" applyFill="1" applyBorder="1" applyAlignment="1">
      <alignment horizontal="right" vertical="center"/>
    </xf>
    <xf numFmtId="0" fontId="4" fillId="4" borderId="6" xfId="4524" applyFont="1" applyFill="1" applyBorder="1" applyAlignment="1">
      <alignment horizontal="right" vertical="center" wrapText="1"/>
    </xf>
    <xf numFmtId="2" fontId="14" fillId="0" borderId="6" xfId="0" applyNumberFormat="1" applyFont="1" applyBorder="1"/>
    <xf numFmtId="2" fontId="0" fillId="0" borderId="6" xfId="4986" applyNumberFormat="1" applyBorder="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0" fillId="0" borderId="0" xfId="4986"/>
    <xf numFmtId="0" fontId="1" fillId="0" borderId="0" xfId="0" applyFont="1" applyFill="1"/>
    <xf numFmtId="0" fontId="8" fillId="0" borderId="6" xfId="0" applyFont="1" applyFill="1" applyBorder="1" applyAlignment="1"/>
    <xf numFmtId="0" fontId="5"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4986" applyFont="1" applyFill="1" applyBorder="1"/>
    <xf numFmtId="0" fontId="0" fillId="0" borderId="6" xfId="0" applyFont="1" applyFill="1" applyBorder="1" applyAlignment="1"/>
    <xf numFmtId="0" fontId="0" fillId="0" borderId="6" xfId="0" applyFill="1" applyBorder="1"/>
    <xf numFmtId="0" fontId="0" fillId="0" borderId="6" xfId="4986" applyFill="1" applyBorder="1"/>
    <xf numFmtId="0" fontId="15" fillId="0" borderId="6" xfId="0" applyFont="1" applyFill="1" applyBorder="1" applyAlignment="1"/>
    <xf numFmtId="9" fontId="0" fillId="0" borderId="6" xfId="0" applyNumberFormat="1" applyBorder="1"/>
    <xf numFmtId="2" fontId="0" fillId="0" borderId="6" xfId="4986" applyNumberFormat="1" applyFill="1" applyBorder="1"/>
    <xf numFmtId="2" fontId="0" fillId="0" borderId="6" xfId="4986" applyNumberFormat="1" applyFont="1" applyFill="1" applyBorder="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5" fillId="0" borderId="0" xfId="0" applyFont="1" applyFill="1"/>
    <xf numFmtId="0" fontId="17" fillId="0" borderId="0" xfId="0" applyFont="1" applyFill="1"/>
    <xf numFmtId="0" fontId="18" fillId="0" borderId="6" xfId="0" applyFont="1" applyBorder="1"/>
    <xf numFmtId="0" fontId="18" fillId="0" borderId="0" xfId="0" applyFont="1"/>
    <xf numFmtId="0" fontId="12" fillId="0" borderId="0" xfId="0" applyFont="1"/>
    <xf numFmtId="0" fontId="0" fillId="0" borderId="0" xfId="0" applyFont="1"/>
    <xf numFmtId="0" fontId="12" fillId="0" borderId="0" xfId="0" applyFont="1" applyFill="1"/>
    <xf numFmtId="0" fontId="16" fillId="0" borderId="0" xfId="0" applyFont="1" applyFill="1" applyBorder="1"/>
    <xf numFmtId="0" fontId="1" fillId="6" borderId="0" xfId="0" applyFont="1" applyFill="1" applyAlignment="1">
      <alignment wrapText="1"/>
    </xf>
    <xf numFmtId="1" fontId="18" fillId="0" borderId="0" xfId="0" applyNumberFormat="1" applyFont="1" applyFill="1"/>
    <xf numFmtId="199" fontId="0" fillId="0" borderId="0" xfId="3702" applyNumberFormat="1"/>
    <xf numFmtId="1" fontId="12" fillId="0" borderId="0" xfId="0" applyNumberFormat="1" applyFont="1" applyFill="1"/>
    <xf numFmtId="199" fontId="0" fillId="6" borderId="0" xfId="3702" applyNumberFormat="1" applyFill="1"/>
    <xf numFmtId="0" fontId="0" fillId="6" borderId="6" xfId="0" applyFill="1" applyBorder="1"/>
    <xf numFmtId="0" fontId="18" fillId="0" borderId="6" xfId="0" applyFont="1" applyFill="1" applyBorder="1"/>
    <xf numFmtId="2" fontId="12" fillId="0" borderId="6" xfId="0" applyNumberFormat="1" applyFont="1" applyBorder="1"/>
    <xf numFmtId="0" fontId="12" fillId="6" borderId="6" xfId="0" applyFont="1" applyFill="1" applyBorder="1"/>
    <xf numFmtId="0" fontId="19" fillId="0" borderId="6" xfId="0" applyFont="1" applyBorder="1"/>
    <xf numFmtId="10" fontId="0" fillId="0" borderId="6" xfId="0" applyNumberFormat="1" applyBorder="1"/>
    <xf numFmtId="0" fontId="19" fillId="0" borderId="0" xfId="0" applyFont="1"/>
    <xf numFmtId="0" fontId="12" fillId="0" borderId="0" xfId="0" applyFont="1" applyAlignment="1">
      <alignment horizontal="center" wrapText="1"/>
    </xf>
    <xf numFmtId="0" fontId="20" fillId="0" borderId="0" xfId="4871" applyFont="1"/>
    <xf numFmtId="0" fontId="12" fillId="6" borderId="0" xfId="0" applyFont="1" applyFill="1" applyAlignment="1">
      <alignment wrapText="1"/>
    </xf>
    <xf numFmtId="0" fontId="12" fillId="0" borderId="0" xfId="0" applyFont="1" applyAlignment="1">
      <alignment wrapText="1"/>
    </xf>
    <xf numFmtId="0" fontId="20" fillId="0" borderId="6" xfId="0" applyFont="1" applyBorder="1"/>
    <xf numFmtId="0" fontId="20"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2" fontId="0" fillId="0" borderId="6" xfId="0" applyNumberFormat="1" applyFont="1" applyFill="1" applyBorder="1"/>
    <xf numFmtId="2" fontId="12" fillId="0" borderId="0" xfId="0" applyNumberFormat="1" applyFont="1" applyFill="1"/>
    <xf numFmtId="0" fontId="21" fillId="0" borderId="0" xfId="0" applyFont="1" applyFill="1"/>
    <xf numFmtId="0" fontId="8" fillId="0" borderId="0" xfId="0" applyFont="1" applyFill="1"/>
    <xf numFmtId="0" fontId="18" fillId="0" borderId="0" xfId="0" applyFont="1" applyFill="1"/>
    <xf numFmtId="0" fontId="0" fillId="6" borderId="0" xfId="3702" applyFill="1"/>
    <xf numFmtId="2" fontId="18"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9" fontId="0" fillId="0" borderId="0" xfId="0" applyNumberFormat="1" applyFill="1"/>
    <xf numFmtId="0" fontId="0" fillId="0" borderId="5" xfId="3702" applyFill="1" applyBorder="1"/>
    <xf numFmtId="0" fontId="22" fillId="0" borderId="0" xfId="0" applyFont="1" applyFill="1"/>
    <xf numFmtId="0" fontId="11" fillId="0" borderId="0" xfId="0" applyFont="1"/>
    <xf numFmtId="0" fontId="23" fillId="0" borderId="0" xfId="6" applyFont="1" applyAlignment="1"/>
    <xf numFmtId="0" fontId="9" fillId="4" borderId="2" xfId="4524" applyFont="1" applyFill="1" applyBorder="1" applyAlignment="1">
      <alignment horizontal="left" vertical="center"/>
    </xf>
    <xf numFmtId="0" fontId="5" fillId="0" borderId="0" xfId="3723" applyFont="1"/>
    <xf numFmtId="2" fontId="11" fillId="0" borderId="0" xfId="0" applyNumberFormat="1" applyFont="1" applyFill="1"/>
    <xf numFmtId="1" fontId="11" fillId="0" borderId="0" xfId="0" applyNumberFormat="1" applyFont="1" applyFill="1"/>
    <xf numFmtId="1" fontId="11" fillId="0" borderId="0" xfId="3723" applyNumberFormat="1" applyFont="1" applyFill="1"/>
    <xf numFmtId="0" fontId="0" fillId="0" borderId="6" xfId="3723" applyBorder="1"/>
    <xf numFmtId="1" fontId="11" fillId="0" borderId="6" xfId="0" applyNumberFormat="1" applyFont="1" applyFill="1" applyBorder="1"/>
    <xf numFmtId="0" fontId="0" fillId="0" borderId="6" xfId="3723" applyFont="1" applyBorder="1"/>
    <xf numFmtId="0" fontId="24" fillId="0" borderId="6" xfId="3871" applyFont="1" applyFill="1" applyBorder="1"/>
    <xf numFmtId="0" fontId="17" fillId="0" borderId="6" xfId="0" applyFont="1" applyFill="1" applyBorder="1"/>
    <xf numFmtId="0" fontId="8" fillId="0" borderId="6" xfId="3871" applyFill="1" applyBorder="1"/>
    <xf numFmtId="0" fontId="0" fillId="0" borderId="0" xfId="3723" applyFont="1"/>
    <xf numFmtId="0" fontId="8" fillId="0" borderId="0" xfId="387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0" fontId="11" fillId="0" borderId="0" xfId="0" applyFont="1" applyFill="1"/>
    <xf numFmtId="2" fontId="12" fillId="0" borderId="0" xfId="0" applyNumberFormat="1" applyFont="1"/>
    <xf numFmtId="2" fontId="0" fillId="0" borderId="0" xfId="0" applyNumberFormat="1" applyFont="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7.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v>0.57213840668191</v>
          </cell>
        </row>
        <row r="200">
          <cell r="O200">
            <v>0.7560308930794</v>
          </cell>
        </row>
        <row r="201">
          <cell r="O201">
            <v>0.458770225670464</v>
          </cell>
        </row>
        <row r="202">
          <cell r="O202">
            <v>0.458770225670464</v>
          </cell>
        </row>
        <row r="203">
          <cell r="O203">
            <v>0.7560308930794</v>
          </cell>
        </row>
        <row r="204">
          <cell r="O204">
            <v>0.879346690009941</v>
          </cell>
        </row>
      </sheetData>
      <sheetData sheetId="15">
        <row r="79">
          <cell r="U79">
            <v>0.0536638913770539</v>
          </cell>
        </row>
        <row r="80">
          <cell r="U80">
            <v>0.0536638913770539</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Demand"/>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0" zoomScaleNormal="70" topLeftCell="AA1" workbookViewId="0">
      <selection activeCell="AQ16" sqref="AQ16"/>
    </sheetView>
  </sheetViews>
  <sheetFormatPr defaultColWidth="9" defaultRowHeight="14.5"/>
  <cols>
    <col min="3" max="3" width="22.8181818181818" customWidth="1"/>
    <col min="4" max="4" width="13.7272727272727" customWidth="1"/>
    <col min="6" max="6" width="9.27272727272727" style="114"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51" t="s">
        <v>1</v>
      </c>
      <c r="G1" s="23"/>
      <c r="O1" s="101"/>
      <c r="P1" s="101"/>
    </row>
    <row r="2" ht="15.5" spans="1:17">
      <c r="A2" t="s">
        <v>2</v>
      </c>
      <c r="B2" s="152" t="s">
        <v>3</v>
      </c>
      <c r="C2" s="104"/>
      <c r="M2" s="80"/>
      <c r="N2" s="80"/>
      <c r="O2" s="101"/>
      <c r="P2" s="170"/>
      <c r="Q2" s="180"/>
    </row>
    <row r="3" ht="15.5" spans="1:17">
      <c r="A3" t="s">
        <v>4</v>
      </c>
      <c r="B3" s="106" t="s">
        <v>5</v>
      </c>
      <c r="C3" s="104"/>
      <c r="M3" s="80"/>
      <c r="N3" s="80"/>
      <c r="O3" s="101"/>
      <c r="P3" s="170"/>
      <c r="Q3" s="180"/>
    </row>
    <row r="4" ht="15.5" spans="2:17">
      <c r="B4" s="152"/>
      <c r="C4" s="104"/>
      <c r="M4" s="80"/>
      <c r="N4" s="80"/>
      <c r="O4" s="101"/>
      <c r="P4" s="170"/>
      <c r="Q4" s="180"/>
    </row>
    <row r="5" spans="5:36">
      <c r="E5" s="11" t="s">
        <v>6</v>
      </c>
      <c r="AB5" s="184" t="s">
        <v>7</v>
      </c>
      <c r="AC5" s="184"/>
      <c r="AD5" s="39"/>
      <c r="AE5" s="39"/>
      <c r="AF5" s="39"/>
      <c r="AG5" s="39"/>
      <c r="AH5" s="39"/>
      <c r="AI5" s="39"/>
      <c r="AJ5" s="39"/>
    </row>
    <row r="6" ht="15.25" spans="3:36">
      <c r="C6" s="12" t="s">
        <v>8</v>
      </c>
      <c r="D6" s="12" t="s">
        <v>9</v>
      </c>
      <c r="E6" s="12" t="s">
        <v>10</v>
      </c>
      <c r="F6" s="153"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85" t="s">
        <v>27</v>
      </c>
      <c r="AC6" s="186" t="s">
        <v>28</v>
      </c>
      <c r="AD6" s="185" t="s">
        <v>8</v>
      </c>
      <c r="AE6" s="185" t="s">
        <v>29</v>
      </c>
      <c r="AF6" s="185" t="s">
        <v>30</v>
      </c>
      <c r="AG6" s="185" t="s">
        <v>31</v>
      </c>
      <c r="AH6" s="185" t="s">
        <v>32</v>
      </c>
      <c r="AI6" s="185" t="s">
        <v>33</v>
      </c>
      <c r="AJ6" s="185" t="s">
        <v>34</v>
      </c>
    </row>
    <row r="7" ht="40.75" spans="3:36">
      <c r="C7" s="154" t="s">
        <v>35</v>
      </c>
      <c r="D7" s="9" t="s">
        <v>36</v>
      </c>
      <c r="E7" s="9" t="s">
        <v>37</v>
      </c>
      <c r="F7" s="114">
        <v>2021</v>
      </c>
      <c r="G7" s="155">
        <f>[2]mvkmPerTJ_EFF!$C$31</f>
        <v>0.261491968156759</v>
      </c>
      <c r="H7" s="156">
        <f>AVERAGE([2]AFA_000kmPerVeh_AFA!$E$11:$K$11)</f>
        <v>14</v>
      </c>
      <c r="I7" s="155">
        <f>AVERAGE([2]Occupancy_ACTFLO_CAP2ACT!$D$11:$J$11)</f>
        <v>1.71369752068902</v>
      </c>
      <c r="J7" s="171">
        <f>25.2*1.35</f>
        <v>34.02</v>
      </c>
      <c r="K7" s="172">
        <f>(0.2/1.6)*(10^9)*1.35/10^6</f>
        <v>168.75</v>
      </c>
      <c r="L7" s="173">
        <f>1.733*1.35</f>
        <v>2.33955</v>
      </c>
      <c r="M7" s="173">
        <f>J7*95%</f>
        <v>32.319</v>
      </c>
      <c r="N7" s="174">
        <f>K7*0.95</f>
        <v>160.3125</v>
      </c>
      <c r="O7" s="173">
        <f>L7*0.95</f>
        <v>2.2225725</v>
      </c>
      <c r="P7" s="173">
        <f>J7*90%</f>
        <v>30.618</v>
      </c>
      <c r="Q7" s="174">
        <f>K7*0.9</f>
        <v>151.875</v>
      </c>
      <c r="R7" s="173">
        <f t="shared" ref="R7:R22" si="0">L7*0.9</f>
        <v>2.105595</v>
      </c>
      <c r="S7">
        <v>0.001</v>
      </c>
      <c r="T7" s="113">
        <f t="shared" ref="T7:T20" si="1">15</f>
        <v>15</v>
      </c>
      <c r="AB7" s="187" t="s">
        <v>38</v>
      </c>
      <c r="AC7" s="187" t="s">
        <v>39</v>
      </c>
      <c r="AD7" s="187" t="s">
        <v>40</v>
      </c>
      <c r="AE7" s="187" t="s">
        <v>41</v>
      </c>
      <c r="AF7" s="187" t="s">
        <v>42</v>
      </c>
      <c r="AG7" s="187" t="s">
        <v>43</v>
      </c>
      <c r="AH7" s="187" t="s">
        <v>44</v>
      </c>
      <c r="AI7" s="187" t="s">
        <v>45</v>
      </c>
      <c r="AJ7" s="187" t="s">
        <v>46</v>
      </c>
    </row>
    <row r="8" spans="3:36">
      <c r="C8" s="154" t="s">
        <v>47</v>
      </c>
      <c r="D8" s="9" t="s">
        <v>48</v>
      </c>
      <c r="E8" s="9" t="s">
        <v>37</v>
      </c>
      <c r="F8" s="114">
        <v>2021</v>
      </c>
      <c r="G8" s="155">
        <f>[2]mvkmPerTJ_EFF!$C$32</f>
        <v>0.261491968156759</v>
      </c>
      <c r="H8" s="156">
        <f>AVERAGE([2]AFA_000kmPerVeh_AFA!$E$12:$K$12)</f>
        <v>14</v>
      </c>
      <c r="I8" s="155">
        <f>AVERAGE([2]Occupancy_ACTFLO_CAP2ACT!$D$12:$J$12)</f>
        <v>1.71369752068902</v>
      </c>
      <c r="J8" s="171">
        <f>25.2*1.35</f>
        <v>34.02</v>
      </c>
      <c r="K8" s="172">
        <f t="shared" ref="K8:K20" si="2">(0.2/1.6)*(10^9)*1.35/10^6</f>
        <v>168.75</v>
      </c>
      <c r="L8" s="173">
        <f>1.733*1.35</f>
        <v>2.33955</v>
      </c>
      <c r="M8" s="173">
        <f t="shared" ref="M8:M29" si="3">J8*95%</f>
        <v>32.319</v>
      </c>
      <c r="N8" s="174">
        <f t="shared" ref="N8:N22" si="4">K8*0.95</f>
        <v>160.3125</v>
      </c>
      <c r="O8" s="173">
        <f t="shared" ref="O8:O34" si="5">L8*0.95</f>
        <v>2.2225725</v>
      </c>
      <c r="P8" s="173">
        <f t="shared" ref="P8:P29" si="6">J8*90%</f>
        <v>30.618</v>
      </c>
      <c r="Q8" s="174">
        <f t="shared" ref="Q8:Q22" si="7">K8*0.9</f>
        <v>151.875</v>
      </c>
      <c r="R8" s="173">
        <f t="shared" si="0"/>
        <v>2.105595</v>
      </c>
      <c r="S8">
        <v>0.001</v>
      </c>
      <c r="T8" s="113">
        <f t="shared" si="1"/>
        <v>15</v>
      </c>
      <c r="AB8" s="188" t="s">
        <v>49</v>
      </c>
      <c r="AC8" s="189"/>
      <c r="AD8" s="189"/>
      <c r="AE8" s="189"/>
      <c r="AF8" s="189"/>
      <c r="AG8" s="189"/>
      <c r="AH8" s="189"/>
      <c r="AI8" s="189"/>
      <c r="AJ8" s="189"/>
    </row>
    <row r="9" spans="3:36">
      <c r="C9" s="9" t="s">
        <v>50</v>
      </c>
      <c r="D9" s="9" t="s">
        <v>36</v>
      </c>
      <c r="E9" s="9" t="s">
        <v>37</v>
      </c>
      <c r="F9" s="114">
        <v>2021</v>
      </c>
      <c r="G9" s="155">
        <f>[2]mvkmPerTJ_EFF!$C$33</f>
        <v>0.257318171823108</v>
      </c>
      <c r="H9" s="156">
        <f>AVERAGE([2]AFA_000kmPerVeh_AFA!$E$13:$K$13)</f>
        <v>16.1428571428571</v>
      </c>
      <c r="I9" s="155">
        <f>AVERAGE([2]Occupancy_ACTFLO_CAP2ACT!$D$13:$J$13)</f>
        <v>0.55986165464206</v>
      </c>
      <c r="J9" s="171">
        <f>25.2*1.35</f>
        <v>34.02</v>
      </c>
      <c r="K9" s="172">
        <f t="shared" si="2"/>
        <v>168.75</v>
      </c>
      <c r="L9" s="173">
        <f>1.733*1.35</f>
        <v>2.33955</v>
      </c>
      <c r="M9" s="173">
        <f t="shared" si="3"/>
        <v>32.319</v>
      </c>
      <c r="N9" s="174">
        <f t="shared" si="4"/>
        <v>160.3125</v>
      </c>
      <c r="O9" s="173">
        <f t="shared" si="5"/>
        <v>2.2225725</v>
      </c>
      <c r="P9" s="173">
        <f t="shared" si="6"/>
        <v>30.618</v>
      </c>
      <c r="Q9" s="174">
        <f t="shared" si="7"/>
        <v>151.875</v>
      </c>
      <c r="R9" s="173">
        <f t="shared" si="0"/>
        <v>2.105595</v>
      </c>
      <c r="S9">
        <v>0.001</v>
      </c>
      <c r="T9" s="113">
        <f t="shared" si="1"/>
        <v>15</v>
      </c>
      <c r="AB9" s="38" t="s">
        <v>51</v>
      </c>
      <c r="AC9" s="39"/>
      <c r="AD9" s="9" t="s">
        <v>35</v>
      </c>
      <c r="AE9" s="38"/>
      <c r="AF9" s="190" t="s">
        <v>52</v>
      </c>
      <c r="AG9" s="191" t="s">
        <v>53</v>
      </c>
      <c r="AH9" s="39"/>
      <c r="AI9" s="39" t="s">
        <v>54</v>
      </c>
      <c r="AJ9" s="39"/>
    </row>
    <row r="10" spans="3:36">
      <c r="C10" s="9" t="s">
        <v>55</v>
      </c>
      <c r="D10" s="9" t="s">
        <v>36</v>
      </c>
      <c r="E10" s="9" t="s">
        <v>37</v>
      </c>
      <c r="F10" s="114">
        <v>2021</v>
      </c>
      <c r="G10" s="155">
        <f>[2]mvkmPerTJ_EFF!$C$34</f>
        <v>0.140897419953681</v>
      </c>
      <c r="H10" s="156">
        <f>AVERAGE([2]AFA_000kmPerVeh_AFA!$E$14:$K$14)</f>
        <v>19.1428571428571</v>
      </c>
      <c r="I10" s="155">
        <f>AVERAGE([2]Occupancy_ACTFLO_CAP2ACT!$D$14:$J$14)</f>
        <v>1.01179998747686</v>
      </c>
      <c r="J10" s="171">
        <f>58.6*1.35</f>
        <v>79.11</v>
      </c>
      <c r="K10" s="172">
        <f t="shared" si="2"/>
        <v>168.75</v>
      </c>
      <c r="L10" s="173">
        <f>1.733*1.35</f>
        <v>2.33955</v>
      </c>
      <c r="M10" s="173">
        <f t="shared" si="3"/>
        <v>75.1545</v>
      </c>
      <c r="N10" s="174">
        <f t="shared" si="4"/>
        <v>160.3125</v>
      </c>
      <c r="O10" s="173">
        <f t="shared" si="5"/>
        <v>2.2225725</v>
      </c>
      <c r="P10" s="173">
        <f t="shared" si="6"/>
        <v>71.199</v>
      </c>
      <c r="Q10" s="174">
        <f t="shared" si="7"/>
        <v>151.875</v>
      </c>
      <c r="R10" s="173">
        <f t="shared" si="0"/>
        <v>2.105595</v>
      </c>
      <c r="S10">
        <v>0.001</v>
      </c>
      <c r="T10" s="113">
        <f t="shared" si="1"/>
        <v>15</v>
      </c>
      <c r="AB10" s="39"/>
      <c r="AC10" s="39"/>
      <c r="AD10" s="9" t="s">
        <v>47</v>
      </c>
      <c r="AE10" s="38"/>
      <c r="AF10" s="191" t="s">
        <v>52</v>
      </c>
      <c r="AG10" s="191" t="s">
        <v>53</v>
      </c>
      <c r="AH10" s="39"/>
      <c r="AI10" s="39" t="s">
        <v>54</v>
      </c>
      <c r="AJ10" s="39"/>
    </row>
    <row r="11" spans="3:36">
      <c r="C11" s="9" t="s">
        <v>56</v>
      </c>
      <c r="D11" s="9" t="s">
        <v>48</v>
      </c>
      <c r="E11" s="9" t="s">
        <v>37</v>
      </c>
      <c r="F11" s="114">
        <v>2021</v>
      </c>
      <c r="G11" s="155">
        <f>[2]mvkmPerTJ_EFF!$C$35</f>
        <v>2.1517197458069</v>
      </c>
      <c r="H11" s="156">
        <f>AVERAGE([2]AFA_000kmPerVeh_AFA!$E$15:$K$15)</f>
        <v>65.4285714285714</v>
      </c>
      <c r="I11" s="155">
        <f>AVERAGE([2]Occupancy_ACTFLO_CAP2ACT!$D$15:$J$15)</f>
        <v>0.318970292616525</v>
      </c>
      <c r="J11" s="171">
        <f>164*1.35</f>
        <v>221.4</v>
      </c>
      <c r="K11" s="172">
        <f t="shared" si="2"/>
        <v>168.75</v>
      </c>
      <c r="L11" s="173">
        <f>1.733*1.35</f>
        <v>2.33955</v>
      </c>
      <c r="M11" s="173">
        <f t="shared" si="3"/>
        <v>210.33</v>
      </c>
      <c r="N11" s="174">
        <f t="shared" si="4"/>
        <v>160.3125</v>
      </c>
      <c r="O11" s="173">
        <f t="shared" si="5"/>
        <v>2.2225725</v>
      </c>
      <c r="P11" s="173">
        <f t="shared" si="6"/>
        <v>199.26</v>
      </c>
      <c r="Q11" s="174">
        <f t="shared" si="7"/>
        <v>151.875</v>
      </c>
      <c r="R11" s="173">
        <f t="shared" si="0"/>
        <v>2.105595</v>
      </c>
      <c r="S11">
        <v>0.001</v>
      </c>
      <c r="T11" s="113">
        <f t="shared" si="1"/>
        <v>15</v>
      </c>
      <c r="AB11" s="39"/>
      <c r="AC11" s="39"/>
      <c r="AD11" s="9" t="s">
        <v>50</v>
      </c>
      <c r="AE11" s="38"/>
      <c r="AF11" s="191" t="s">
        <v>52</v>
      </c>
      <c r="AG11" s="191" t="s">
        <v>53</v>
      </c>
      <c r="AH11" s="39"/>
      <c r="AI11" s="39" t="s">
        <v>54</v>
      </c>
      <c r="AJ11" s="39"/>
    </row>
    <row r="12" spans="3:36">
      <c r="C12" s="9" t="s">
        <v>57</v>
      </c>
      <c r="D12" s="9" t="s">
        <v>36</v>
      </c>
      <c r="E12" s="106" t="s">
        <v>58</v>
      </c>
      <c r="F12" s="114">
        <v>2021</v>
      </c>
      <c r="G12" s="155">
        <f>[2]mvkmPerTJ_EFF!$C$36</f>
        <v>0.545214206926702</v>
      </c>
      <c r="H12" s="156">
        <f>AVERAGE([2]AFA_000kmPerVeh_AFA!$E$16:$K$16)</f>
        <v>4.02857142857143</v>
      </c>
      <c r="I12" s="155">
        <f>AVERAGE([2]Occupancy_ACTFLO_CAP2ACT!$D$16:$J$16)</f>
        <v>1.19133027778195</v>
      </c>
      <c r="J12" s="113">
        <f>5*1.35</f>
        <v>6.75</v>
      </c>
      <c r="K12" s="172">
        <f t="shared" si="2"/>
        <v>168.75</v>
      </c>
      <c r="L12" s="113">
        <f>J12/100</f>
        <v>0.0675</v>
      </c>
      <c r="M12" s="16">
        <f t="shared" si="3"/>
        <v>6.4125</v>
      </c>
      <c r="N12" s="174">
        <f t="shared" si="4"/>
        <v>160.3125</v>
      </c>
      <c r="O12" s="16">
        <f t="shared" si="5"/>
        <v>0.064125</v>
      </c>
      <c r="P12" s="16">
        <f t="shared" si="6"/>
        <v>6.075</v>
      </c>
      <c r="Q12" s="174">
        <f t="shared" si="7"/>
        <v>151.875</v>
      </c>
      <c r="R12" s="16">
        <f t="shared" si="0"/>
        <v>0.06075</v>
      </c>
      <c r="S12">
        <v>0.001</v>
      </c>
      <c r="T12" s="113">
        <f t="shared" si="1"/>
        <v>15</v>
      </c>
      <c r="X12" t="s">
        <v>59</v>
      </c>
      <c r="AB12" s="39"/>
      <c r="AC12" s="39"/>
      <c r="AD12" s="9" t="s">
        <v>55</v>
      </c>
      <c r="AE12" s="38"/>
      <c r="AF12" s="191" t="s">
        <v>52</v>
      </c>
      <c r="AG12" s="191" t="s">
        <v>53</v>
      </c>
      <c r="AH12" s="39"/>
      <c r="AI12" s="39" t="s">
        <v>54</v>
      </c>
      <c r="AJ12" s="39"/>
    </row>
    <row r="13" spans="3:36">
      <c r="C13" s="9" t="s">
        <v>60</v>
      </c>
      <c r="D13" s="9" t="s">
        <v>48</v>
      </c>
      <c r="E13" t="s">
        <v>61</v>
      </c>
      <c r="F13" s="114">
        <v>2021</v>
      </c>
      <c r="G13" s="155">
        <f>[2]mvkmPerTJ_EFF!$C$26</f>
        <v>0.133343131699898</v>
      </c>
      <c r="H13" s="157">
        <f>AVERAGE([2]AFA_000kmPerVeh_AFA!$E$6:$K$6)</f>
        <v>20.2857142857143</v>
      </c>
      <c r="I13" s="110">
        <f>AVERAGE([2]Occupancy_ACTFLO_CAP2ACT!$D$6:$J$6)</f>
        <v>21.9737611487708</v>
      </c>
      <c r="J13" s="173">
        <f>100*1.35</f>
        <v>135</v>
      </c>
      <c r="K13" s="172">
        <f t="shared" si="2"/>
        <v>168.75</v>
      </c>
      <c r="L13" s="84">
        <f>2.2*1.35</f>
        <v>2.97</v>
      </c>
      <c r="M13" s="84">
        <f t="shared" si="3"/>
        <v>128.25</v>
      </c>
      <c r="N13" s="174">
        <f t="shared" si="4"/>
        <v>160.3125</v>
      </c>
      <c r="O13" s="84">
        <f t="shared" si="5"/>
        <v>2.8215</v>
      </c>
      <c r="P13" s="84">
        <f t="shared" si="6"/>
        <v>121.5</v>
      </c>
      <c r="Q13" s="174">
        <f t="shared" si="7"/>
        <v>151.875</v>
      </c>
      <c r="R13" s="84">
        <f t="shared" si="0"/>
        <v>2.673</v>
      </c>
      <c r="S13">
        <v>0.001</v>
      </c>
      <c r="T13" s="113">
        <f t="shared" si="1"/>
        <v>15</v>
      </c>
      <c r="AB13" s="39"/>
      <c r="AC13" s="39"/>
      <c r="AD13" s="9" t="s">
        <v>56</v>
      </c>
      <c r="AE13" s="38"/>
      <c r="AF13" s="191" t="s">
        <v>52</v>
      </c>
      <c r="AG13" s="191" t="s">
        <v>53</v>
      </c>
      <c r="AH13" s="39"/>
      <c r="AI13" s="39" t="s">
        <v>54</v>
      </c>
      <c r="AJ13" s="39"/>
    </row>
    <row r="14" spans="3:36">
      <c r="C14" s="9" t="s">
        <v>62</v>
      </c>
      <c r="D14" s="9" t="s">
        <v>36</v>
      </c>
      <c r="E14" t="s">
        <v>61</v>
      </c>
      <c r="F14" s="114">
        <v>2021</v>
      </c>
      <c r="G14" s="155">
        <f>[2]mvkmPerTJ_EFF!$C$25</f>
        <v>0.133343131699898</v>
      </c>
      <c r="H14" s="157">
        <f>AVERAGE([2]AFA_000kmPerVeh_AFA!$E$5:$K$5)</f>
        <v>20.2857142857143</v>
      </c>
      <c r="I14" s="110">
        <f>AVERAGE([2]Occupancy_ACTFLO_CAP2ACT!$D$5:$J$5)</f>
        <v>21.9737611487708</v>
      </c>
      <c r="J14" s="173">
        <f>J13</f>
        <v>135</v>
      </c>
      <c r="K14" s="172">
        <f t="shared" si="2"/>
        <v>168.75</v>
      </c>
      <c r="L14" s="84">
        <f>2.2*1.35</f>
        <v>2.97</v>
      </c>
      <c r="M14" s="84">
        <f t="shared" si="3"/>
        <v>128.25</v>
      </c>
      <c r="N14" s="174">
        <f t="shared" si="4"/>
        <v>160.3125</v>
      </c>
      <c r="O14" s="84">
        <f t="shared" si="5"/>
        <v>2.8215</v>
      </c>
      <c r="P14" s="84">
        <f t="shared" si="6"/>
        <v>121.5</v>
      </c>
      <c r="Q14" s="174">
        <f t="shared" si="7"/>
        <v>151.875</v>
      </c>
      <c r="R14" s="84">
        <f t="shared" si="0"/>
        <v>2.673</v>
      </c>
      <c r="S14">
        <v>0.001</v>
      </c>
      <c r="T14" s="113">
        <f t="shared" si="1"/>
        <v>15</v>
      </c>
      <c r="AB14" s="192"/>
      <c r="AC14" s="192"/>
      <c r="AD14" s="9" t="s">
        <v>57</v>
      </c>
      <c r="AE14" s="193"/>
      <c r="AF14" s="191" t="s">
        <v>52</v>
      </c>
      <c r="AG14" s="191" t="s">
        <v>53</v>
      </c>
      <c r="AH14" s="39"/>
      <c r="AI14" s="192" t="s">
        <v>54</v>
      </c>
      <c r="AJ14" s="192"/>
    </row>
    <row r="15" spans="3:36">
      <c r="C15" s="9" t="s">
        <v>63</v>
      </c>
      <c r="D15" s="9" t="s">
        <v>48</v>
      </c>
      <c r="E15" t="s">
        <v>61</v>
      </c>
      <c r="F15" s="114">
        <v>2021</v>
      </c>
      <c r="G15" s="155">
        <f>[2]mvkmPerTJ_EFF!$C$28</f>
        <v>0.0638508424036321</v>
      </c>
      <c r="H15" s="157">
        <f>AVERAGE([2]AFA_000kmPerVeh_AFA!$E$8:$K$8)</f>
        <v>39.8571428571429</v>
      </c>
      <c r="I15" s="110">
        <f>AVERAGE([2]Occupancy_ACTFLO_CAP2ACT!$D$8:$J$8)</f>
        <v>11.9384348573679</v>
      </c>
      <c r="J15" s="173">
        <f>500*1.35</f>
        <v>675</v>
      </c>
      <c r="K15" s="172">
        <f t="shared" si="2"/>
        <v>168.75</v>
      </c>
      <c r="L15" s="84">
        <f>L13</f>
        <v>2.97</v>
      </c>
      <c r="M15" s="84">
        <f t="shared" si="3"/>
        <v>641.25</v>
      </c>
      <c r="N15" s="174">
        <f t="shared" si="4"/>
        <v>160.3125</v>
      </c>
      <c r="O15" s="84">
        <f t="shared" si="5"/>
        <v>2.8215</v>
      </c>
      <c r="P15" s="84">
        <f t="shared" si="6"/>
        <v>607.5</v>
      </c>
      <c r="Q15" s="174">
        <f t="shared" si="7"/>
        <v>151.875</v>
      </c>
      <c r="R15" s="84">
        <f t="shared" si="0"/>
        <v>2.673</v>
      </c>
      <c r="S15">
        <v>0.001</v>
      </c>
      <c r="T15" s="113">
        <f t="shared" si="1"/>
        <v>15</v>
      </c>
      <c r="AB15" s="39"/>
      <c r="AC15" s="39"/>
      <c r="AD15" s="9" t="s">
        <v>60</v>
      </c>
      <c r="AE15" s="38"/>
      <c r="AF15" s="191" t="s">
        <v>52</v>
      </c>
      <c r="AG15" s="191" t="s">
        <v>53</v>
      </c>
      <c r="AH15" s="39"/>
      <c r="AI15" s="39" t="s">
        <v>54</v>
      </c>
      <c r="AJ15" s="39"/>
    </row>
    <row r="16" spans="3:36">
      <c r="C16" s="9" t="s">
        <v>64</v>
      </c>
      <c r="D16" s="9" t="s">
        <v>36</v>
      </c>
      <c r="E16" t="s">
        <v>61</v>
      </c>
      <c r="F16" s="114">
        <v>2021</v>
      </c>
      <c r="G16" s="155">
        <f>[2]mvkmPerTJ_EFF!$C$27</f>
        <v>0.0638508424036321</v>
      </c>
      <c r="H16" s="157">
        <f>AVERAGE([2]AFA_000kmPerVeh_AFA!$E$7:$K$7)</f>
        <v>39.8571428571429</v>
      </c>
      <c r="I16" s="110">
        <f>AVERAGE([2]Occupancy_ACTFLO_CAP2ACT!$D$7:$J$7)</f>
        <v>11.9384348573679</v>
      </c>
      <c r="J16" s="173">
        <f>500*1.35</f>
        <v>675</v>
      </c>
      <c r="K16" s="172">
        <f t="shared" si="2"/>
        <v>168.75</v>
      </c>
      <c r="L16" s="84">
        <f>L14</f>
        <v>2.97</v>
      </c>
      <c r="M16" s="84">
        <f t="shared" si="3"/>
        <v>641.25</v>
      </c>
      <c r="N16" s="174">
        <f t="shared" si="4"/>
        <v>160.3125</v>
      </c>
      <c r="O16" s="84">
        <f t="shared" si="5"/>
        <v>2.8215</v>
      </c>
      <c r="P16" s="84">
        <f t="shared" si="6"/>
        <v>607.5</v>
      </c>
      <c r="Q16" s="174">
        <f t="shared" si="7"/>
        <v>151.875</v>
      </c>
      <c r="R16" s="84">
        <f t="shared" si="0"/>
        <v>2.673</v>
      </c>
      <c r="S16">
        <v>0.001</v>
      </c>
      <c r="T16" s="113">
        <f t="shared" si="1"/>
        <v>15</v>
      </c>
      <c r="AB16" s="39"/>
      <c r="AC16" s="39"/>
      <c r="AD16" s="9" t="s">
        <v>62</v>
      </c>
      <c r="AE16" s="38"/>
      <c r="AF16" s="191" t="s">
        <v>52</v>
      </c>
      <c r="AG16" s="191" t="s">
        <v>53</v>
      </c>
      <c r="AH16" s="39"/>
      <c r="AI16" s="39" t="s">
        <v>54</v>
      </c>
      <c r="AJ16" s="39"/>
    </row>
    <row r="17" spans="3:36">
      <c r="C17" s="9" t="s">
        <v>65</v>
      </c>
      <c r="D17" s="9" t="s">
        <v>48</v>
      </c>
      <c r="E17" t="s">
        <v>61</v>
      </c>
      <c r="F17" s="114">
        <v>2021</v>
      </c>
      <c r="G17" s="155">
        <f>[2]mvkmPerTJ_EFF!$C$30</f>
        <v>0.14665517879394</v>
      </c>
      <c r="H17" s="157">
        <f>AVERAGE([2]AFA_000kmPerVeh_AFA!$E$10:$K$10)</f>
        <v>33.7142857142857</v>
      </c>
      <c r="I17" s="110">
        <f>AVERAGE([2]Occupancy_ACTFLO_CAP2ACT!$D$10:$J$10)</f>
        <v>16.1127667258741</v>
      </c>
      <c r="J17" s="173">
        <f>500*1.35</f>
        <v>675</v>
      </c>
      <c r="K17" s="172">
        <f t="shared" si="2"/>
        <v>168.75</v>
      </c>
      <c r="L17" s="84">
        <f>1.4*1.35</f>
        <v>1.89</v>
      </c>
      <c r="M17" s="84">
        <f t="shared" si="3"/>
        <v>641.25</v>
      </c>
      <c r="N17" s="174">
        <f t="shared" si="4"/>
        <v>160.3125</v>
      </c>
      <c r="O17" s="84">
        <f t="shared" si="5"/>
        <v>1.7955</v>
      </c>
      <c r="P17" s="84">
        <f t="shared" si="6"/>
        <v>607.5</v>
      </c>
      <c r="Q17" s="174">
        <f t="shared" si="7"/>
        <v>151.875</v>
      </c>
      <c r="R17" s="84">
        <f t="shared" si="0"/>
        <v>1.701</v>
      </c>
      <c r="S17">
        <v>0.001</v>
      </c>
      <c r="T17" s="113">
        <f t="shared" si="1"/>
        <v>15</v>
      </c>
      <c r="AB17" s="39"/>
      <c r="AC17" s="39"/>
      <c r="AD17" s="9" t="s">
        <v>63</v>
      </c>
      <c r="AE17" s="38"/>
      <c r="AF17" s="191" t="s">
        <v>52</v>
      </c>
      <c r="AG17" s="191" t="s">
        <v>53</v>
      </c>
      <c r="AH17" s="39"/>
      <c r="AI17" s="39" t="s">
        <v>54</v>
      </c>
      <c r="AJ17" s="39"/>
    </row>
    <row r="18" spans="3:36">
      <c r="C18" s="9" t="s">
        <v>66</v>
      </c>
      <c r="D18" s="9" t="s">
        <v>36</v>
      </c>
      <c r="E18" t="s">
        <v>61</v>
      </c>
      <c r="F18" s="114">
        <v>2021</v>
      </c>
      <c r="G18" s="155">
        <f>[2]mvkmPerTJ_EFF!$C$29</f>
        <v>0.14665517879394</v>
      </c>
      <c r="H18" s="157">
        <f>AVERAGE([2]AFA_000kmPerVeh_AFA!$E$9:$K$9)</f>
        <v>33.7142857142857</v>
      </c>
      <c r="I18" s="110">
        <f>AVERAGE([2]Occupancy_ACTFLO_CAP2ACT!$D$9:$J$9)</f>
        <v>16.1127667258741</v>
      </c>
      <c r="J18" s="173">
        <f>500*1.35</f>
        <v>675</v>
      </c>
      <c r="K18" s="172">
        <f t="shared" si="2"/>
        <v>168.75</v>
      </c>
      <c r="L18" s="84">
        <f>1.4*1.35</f>
        <v>1.89</v>
      </c>
      <c r="M18" s="84">
        <f t="shared" si="3"/>
        <v>641.25</v>
      </c>
      <c r="N18" s="174">
        <f t="shared" si="4"/>
        <v>160.3125</v>
      </c>
      <c r="O18" s="84">
        <f t="shared" si="5"/>
        <v>1.7955</v>
      </c>
      <c r="P18" s="84">
        <f t="shared" si="6"/>
        <v>607.5</v>
      </c>
      <c r="Q18" s="174">
        <f t="shared" si="7"/>
        <v>151.875</v>
      </c>
      <c r="R18" s="84">
        <f t="shared" si="0"/>
        <v>1.701</v>
      </c>
      <c r="S18">
        <v>0.001</v>
      </c>
      <c r="T18" s="113">
        <f t="shared" si="1"/>
        <v>15</v>
      </c>
      <c r="AB18" s="39"/>
      <c r="AC18" s="39"/>
      <c r="AD18" s="9" t="s">
        <v>64</v>
      </c>
      <c r="AE18" s="38"/>
      <c r="AF18" s="191" t="s">
        <v>52</v>
      </c>
      <c r="AG18" s="191" t="s">
        <v>53</v>
      </c>
      <c r="AH18" s="39"/>
      <c r="AI18" s="39" t="s">
        <v>54</v>
      </c>
      <c r="AJ18" s="39"/>
    </row>
    <row r="19" spans="3:36">
      <c r="C19" s="158" t="s">
        <v>67</v>
      </c>
      <c r="D19" s="158" t="s">
        <v>36</v>
      </c>
      <c r="E19" s="158" t="s">
        <v>68</v>
      </c>
      <c r="F19" s="61">
        <v>2021</v>
      </c>
      <c r="G19" s="68">
        <f>[2]mvkmPerTJ_EFF!$C$37</f>
        <v>0.361169076867751</v>
      </c>
      <c r="H19" s="159">
        <f>AVERAGE([2]AFA_000kmPerVeh_AFA!$E$17:$K$17)</f>
        <v>13.0058571428571</v>
      </c>
      <c r="I19" s="162">
        <f>AVERAGE([2]Occupancy_ACTFLO_CAP2ACT!$D$17:$J$17)</f>
        <v>1.58589639888736</v>
      </c>
      <c r="J19" s="173">
        <f>22.8*1.35</f>
        <v>30.78</v>
      </c>
      <c r="K19" s="172">
        <f t="shared" si="2"/>
        <v>168.75</v>
      </c>
      <c r="L19" s="175">
        <f>1.533*1.35</f>
        <v>2.06955</v>
      </c>
      <c r="M19" s="175">
        <f t="shared" si="3"/>
        <v>29.241</v>
      </c>
      <c r="N19" s="174">
        <f t="shared" si="4"/>
        <v>160.3125</v>
      </c>
      <c r="O19" s="84">
        <f t="shared" si="5"/>
        <v>1.9660725</v>
      </c>
      <c r="P19" s="84">
        <f t="shared" si="6"/>
        <v>27.702</v>
      </c>
      <c r="Q19" s="174">
        <f t="shared" si="7"/>
        <v>151.875</v>
      </c>
      <c r="R19" s="84">
        <f t="shared" si="0"/>
        <v>1.862595</v>
      </c>
      <c r="S19" s="181">
        <v>0.001</v>
      </c>
      <c r="T19" s="84">
        <f t="shared" si="1"/>
        <v>15</v>
      </c>
      <c r="AB19" s="39"/>
      <c r="AC19" s="39"/>
      <c r="AD19" s="9" t="s">
        <v>65</v>
      </c>
      <c r="AE19" s="38"/>
      <c r="AF19" s="191" t="s">
        <v>52</v>
      </c>
      <c r="AG19" s="191" t="s">
        <v>53</v>
      </c>
      <c r="AH19" s="39"/>
      <c r="AI19" s="39" t="s">
        <v>54</v>
      </c>
      <c r="AJ19" s="39"/>
    </row>
    <row r="20" spans="3:36">
      <c r="C20" s="158" t="s">
        <v>69</v>
      </c>
      <c r="D20" s="158" t="s">
        <v>48</v>
      </c>
      <c r="E20" s="158" t="s">
        <v>68</v>
      </c>
      <c r="F20" s="61">
        <v>2021</v>
      </c>
      <c r="G20" s="68">
        <f>[2]mvkmPerTJ_EFF!$C$38</f>
        <v>0.361356147837007</v>
      </c>
      <c r="H20" s="159">
        <f>AVERAGE([2]AFA_000kmPerVeh_AFA!$E$18:$K$18)</f>
        <v>13.0058571428571</v>
      </c>
      <c r="I20" s="162">
        <f>AVERAGE([2]Occupancy_ACTFLO_CAP2ACT!$D$18:$J$18)</f>
        <v>1.58589639888736</v>
      </c>
      <c r="J20" s="173">
        <f>22.8*1.35</f>
        <v>30.78</v>
      </c>
      <c r="K20" s="172">
        <f t="shared" si="2"/>
        <v>168.75</v>
      </c>
      <c r="L20" s="173">
        <f>1.533*1.35</f>
        <v>2.06955</v>
      </c>
      <c r="M20" s="173">
        <f t="shared" si="3"/>
        <v>29.241</v>
      </c>
      <c r="N20" s="174">
        <f t="shared" si="4"/>
        <v>160.3125</v>
      </c>
      <c r="O20" s="84">
        <f t="shared" si="5"/>
        <v>1.9660725</v>
      </c>
      <c r="P20" s="84">
        <f t="shared" si="6"/>
        <v>27.702</v>
      </c>
      <c r="Q20" s="174">
        <f t="shared" si="7"/>
        <v>151.875</v>
      </c>
      <c r="R20" s="84">
        <f t="shared" si="0"/>
        <v>1.862595</v>
      </c>
      <c r="S20" s="181">
        <v>0.001</v>
      </c>
      <c r="T20" s="84">
        <f t="shared" si="1"/>
        <v>15</v>
      </c>
      <c r="AB20" s="39"/>
      <c r="AC20" s="39"/>
      <c r="AD20" s="9" t="s">
        <v>66</v>
      </c>
      <c r="AE20" s="38"/>
      <c r="AF20" s="191" t="s">
        <v>52</v>
      </c>
      <c r="AG20" s="191" t="s">
        <v>53</v>
      </c>
      <c r="AH20" s="39"/>
      <c r="AI20" s="39" t="s">
        <v>54</v>
      </c>
      <c r="AJ20" s="39"/>
    </row>
    <row r="21" spans="3:35">
      <c r="C21" s="160" t="s">
        <v>70</v>
      </c>
      <c r="D21" s="158" t="s">
        <v>71</v>
      </c>
      <c r="E21" s="158" t="s">
        <v>68</v>
      </c>
      <c r="F21" s="61">
        <v>2021</v>
      </c>
      <c r="G21" s="161">
        <f>AVERAGE([2]Electric_vehecle!$D$72:$J$72)</f>
        <v>1.77</v>
      </c>
      <c r="H21" s="162">
        <f>AVERAGE([2]Electric_vehecle!$D$49:$J$49)</f>
        <v>13.3333333333333</v>
      </c>
      <c r="I21" s="162">
        <f>AVERAGE([2]Occupancy_ACTFLO_CAP2ACT!$D$19:$J$19)</f>
        <v>1.58589639888736</v>
      </c>
      <c r="J21" s="173">
        <f>31.5*1.35</f>
        <v>42.525</v>
      </c>
      <c r="K21" s="172">
        <f>(0.1/1.6)*(10^9/1)*1.35/10^6</f>
        <v>84.375</v>
      </c>
      <c r="L21" s="173">
        <f>L19</f>
        <v>2.06955</v>
      </c>
      <c r="M21" s="173">
        <f t="shared" si="3"/>
        <v>40.39875</v>
      </c>
      <c r="N21" s="174">
        <f t="shared" si="4"/>
        <v>80.15625</v>
      </c>
      <c r="O21" s="84">
        <f t="shared" si="5"/>
        <v>1.9660725</v>
      </c>
      <c r="P21" s="84">
        <f t="shared" si="6"/>
        <v>38.2725</v>
      </c>
      <c r="Q21" s="174">
        <f t="shared" si="7"/>
        <v>75.9375</v>
      </c>
      <c r="R21" s="84">
        <f t="shared" si="0"/>
        <v>1.862595</v>
      </c>
      <c r="S21" s="84">
        <v>0.001</v>
      </c>
      <c r="T21" s="84">
        <v>15</v>
      </c>
      <c r="U21" s="182">
        <v>1</v>
      </c>
      <c r="W21" s="114"/>
      <c r="AD21" s="9" t="s">
        <v>67</v>
      </c>
      <c r="AF21" s="191" t="s">
        <v>52</v>
      </c>
      <c r="AG21" s="191" t="s">
        <v>53</v>
      </c>
      <c r="AH21" s="39"/>
      <c r="AI21" s="39" t="s">
        <v>54</v>
      </c>
    </row>
    <row r="22" spans="3:35">
      <c r="C22" s="160" t="s">
        <v>72</v>
      </c>
      <c r="D22" s="158" t="s">
        <v>71</v>
      </c>
      <c r="E22" s="158" t="s">
        <v>68</v>
      </c>
      <c r="F22" s="61">
        <v>2021</v>
      </c>
      <c r="G22" s="161">
        <f>AVERAGE([2]Electric_vehecle!$D$73:$J$73)</f>
        <v>1.239</v>
      </c>
      <c r="H22" s="162">
        <f>AVERAGE([2]Electric_vehecle!$D$50:$J$50)</f>
        <v>13.3333333333333</v>
      </c>
      <c r="I22" s="162">
        <f>AVERAGE([2]Occupancy_ACTFLO_CAP2ACT!$D$20:$J$20)</f>
        <v>1.58589639888736</v>
      </c>
      <c r="J22" s="173">
        <f>25.3*1.35</f>
        <v>34.155</v>
      </c>
      <c r="K22" s="172">
        <f>K21</f>
        <v>84.375</v>
      </c>
      <c r="L22" s="173">
        <f>L21</f>
        <v>2.06955</v>
      </c>
      <c r="M22" s="173">
        <f t="shared" si="3"/>
        <v>32.44725</v>
      </c>
      <c r="N22" s="174">
        <f t="shared" si="4"/>
        <v>80.15625</v>
      </c>
      <c r="O22" s="84">
        <f t="shared" si="5"/>
        <v>1.9660725</v>
      </c>
      <c r="P22" s="84">
        <f t="shared" si="6"/>
        <v>30.7395</v>
      </c>
      <c r="Q22" s="174">
        <f t="shared" si="7"/>
        <v>75.9375</v>
      </c>
      <c r="R22" s="84">
        <f t="shared" si="0"/>
        <v>1.862595</v>
      </c>
      <c r="S22" s="173">
        <v>0.001</v>
      </c>
      <c r="T22" s="84">
        <v>15</v>
      </c>
      <c r="U22" s="182">
        <f>[2]Electric_vehecle!$D$94</f>
        <v>0.4</v>
      </c>
      <c r="AD22" s="9" t="s">
        <v>69</v>
      </c>
      <c r="AF22" s="191" t="s">
        <v>52</v>
      </c>
      <c r="AG22" s="191" t="s">
        <v>53</v>
      </c>
      <c r="AH22" s="39"/>
      <c r="AI22" s="39" t="s">
        <v>54</v>
      </c>
    </row>
    <row r="23" spans="3:38">
      <c r="C23" s="160"/>
      <c r="D23" s="158" t="s">
        <v>36</v>
      </c>
      <c r="E23" s="158"/>
      <c r="F23" s="61"/>
      <c r="G23" s="163"/>
      <c r="H23" s="162"/>
      <c r="I23" s="94"/>
      <c r="J23" s="57"/>
      <c r="K23" s="57"/>
      <c r="L23" s="176"/>
      <c r="M23" s="176"/>
      <c r="N23" s="176"/>
      <c r="O23" s="84"/>
      <c r="P23" s="84"/>
      <c r="Q23" s="84"/>
      <c r="R23" s="84"/>
      <c r="S23" s="57"/>
      <c r="T23" s="61"/>
      <c r="U23" s="183">
        <f>1-U22</f>
        <v>0.6</v>
      </c>
      <c r="AD23" s="164" t="s">
        <v>70</v>
      </c>
      <c r="AF23" s="191" t="s">
        <v>52</v>
      </c>
      <c r="AG23" s="191" t="s">
        <v>53</v>
      </c>
      <c r="AI23" s="39" t="s">
        <v>54</v>
      </c>
      <c r="AL23" s="39" t="s">
        <v>73</v>
      </c>
    </row>
    <row r="24" spans="3:38">
      <c r="C24" s="160" t="s">
        <v>74</v>
      </c>
      <c r="D24" s="158" t="s">
        <v>71</v>
      </c>
      <c r="E24" s="158" t="s">
        <v>68</v>
      </c>
      <c r="F24" s="61">
        <v>2021</v>
      </c>
      <c r="G24" s="161">
        <f>AVERAGE([2]Electric_vehecle!$D$75:$J$75)</f>
        <v>1.1505</v>
      </c>
      <c r="H24" s="162">
        <f>AVERAGE([2]Electric_vehecle!$D$52:$J$52)</f>
        <v>13.3333333333333</v>
      </c>
      <c r="I24" s="162">
        <f>AVERAGE([2]Occupancy_ACTFLO_CAP2ACT!$D$21:$J$21)</f>
        <v>1.58589639888736</v>
      </c>
      <c r="J24" s="173">
        <f>J22</f>
        <v>34.155</v>
      </c>
      <c r="K24" s="172">
        <f>K22</f>
        <v>84.375</v>
      </c>
      <c r="L24" s="173">
        <f>L22</f>
        <v>2.06955</v>
      </c>
      <c r="M24" s="173">
        <f t="shared" si="3"/>
        <v>32.44725</v>
      </c>
      <c r="N24" s="174">
        <f t="shared" ref="N24:N29" si="8">K24*0.95</f>
        <v>80.15625</v>
      </c>
      <c r="O24" s="84">
        <f t="shared" si="5"/>
        <v>1.9660725</v>
      </c>
      <c r="P24" s="84">
        <f t="shared" si="6"/>
        <v>30.7395</v>
      </c>
      <c r="Q24" s="174">
        <f t="shared" ref="Q24:Q29" si="9">K24*0.9</f>
        <v>75.9375</v>
      </c>
      <c r="R24" s="84">
        <f>R22</f>
        <v>1.862595</v>
      </c>
      <c r="S24" s="173">
        <v>0.001</v>
      </c>
      <c r="T24" s="84">
        <v>15</v>
      </c>
      <c r="U24" s="182">
        <v>0.3</v>
      </c>
      <c r="AD24" s="164" t="s">
        <v>72</v>
      </c>
      <c r="AF24" s="191" t="s">
        <v>52</v>
      </c>
      <c r="AG24" s="191" t="s">
        <v>53</v>
      </c>
      <c r="AI24" s="39" t="s">
        <v>54</v>
      </c>
      <c r="AL24" s="39" t="s">
        <v>73</v>
      </c>
    </row>
    <row r="25" spans="3:38">
      <c r="C25" s="164"/>
      <c r="D25" s="9" t="s">
        <v>36</v>
      </c>
      <c r="E25" s="9"/>
      <c r="G25" s="165"/>
      <c r="H25" s="110"/>
      <c r="I25" s="40"/>
      <c r="L25" s="16"/>
      <c r="M25" s="16"/>
      <c r="N25" s="16"/>
      <c r="O25" s="16"/>
      <c r="P25" s="16"/>
      <c r="Q25" s="16"/>
      <c r="R25" s="16"/>
      <c r="T25" s="114"/>
      <c r="U25" s="183">
        <f>1-U24</f>
        <v>0.7</v>
      </c>
      <c r="AD25" s="164" t="s">
        <v>74</v>
      </c>
      <c r="AF25" s="191" t="s">
        <v>52</v>
      </c>
      <c r="AG25" s="191" t="s">
        <v>53</v>
      </c>
      <c r="AI25" s="39" t="s">
        <v>54</v>
      </c>
      <c r="AL25" s="39" t="s">
        <v>73</v>
      </c>
    </row>
    <row r="26" spans="3:38">
      <c r="C26" s="164" t="s">
        <v>75</v>
      </c>
      <c r="D26" s="9" t="s">
        <v>71</v>
      </c>
      <c r="E26" s="9" t="s">
        <v>37</v>
      </c>
      <c r="F26" s="114">
        <v>2021</v>
      </c>
      <c r="G26" s="166">
        <f>AVERAGE([2]Electric_vehecle!$D$77)</f>
        <v>0.69</v>
      </c>
      <c r="H26" s="110">
        <f>AVERAGE([2]Electric_vehecle!$D$54:$J$54)</f>
        <v>13.3333333333333</v>
      </c>
      <c r="I26" s="155">
        <f>AVERAGE([2]Occupancy_ACTFLO_CAP2ACT!$D$22:$J$22)</f>
        <v>1.71369752068902</v>
      </c>
      <c r="J26" s="84">
        <f>44.3*1.35</f>
        <v>59.805</v>
      </c>
      <c r="K26" s="172">
        <f>(0.1/1.6)*(10^9/1)*1.35/10^6</f>
        <v>84.375</v>
      </c>
      <c r="L26" s="84">
        <f>L7</f>
        <v>2.33955</v>
      </c>
      <c r="M26" s="84">
        <f t="shared" si="3"/>
        <v>56.81475</v>
      </c>
      <c r="N26" s="174">
        <f t="shared" si="8"/>
        <v>80.15625</v>
      </c>
      <c r="O26" s="84">
        <f t="shared" si="5"/>
        <v>2.2225725</v>
      </c>
      <c r="P26" s="84">
        <f t="shared" si="6"/>
        <v>53.8245</v>
      </c>
      <c r="Q26" s="174">
        <f t="shared" si="9"/>
        <v>75.9375</v>
      </c>
      <c r="R26" s="84">
        <f>R7</f>
        <v>2.105595</v>
      </c>
      <c r="S26" s="84">
        <v>0.001</v>
      </c>
      <c r="T26" s="84">
        <v>15</v>
      </c>
      <c r="U26" s="182">
        <v>1</v>
      </c>
      <c r="AD26" s="164" t="s">
        <v>75</v>
      </c>
      <c r="AF26" s="191" t="s">
        <v>52</v>
      </c>
      <c r="AG26" s="191" t="s">
        <v>53</v>
      </c>
      <c r="AI26" s="39" t="s">
        <v>54</v>
      </c>
      <c r="AL26" s="39" t="s">
        <v>73</v>
      </c>
    </row>
    <row r="27" spans="3:38">
      <c r="C27" s="164" t="s">
        <v>76</v>
      </c>
      <c r="D27" s="9" t="s">
        <v>71</v>
      </c>
      <c r="E27" s="9" t="s">
        <v>37</v>
      </c>
      <c r="F27" s="114">
        <v>2021</v>
      </c>
      <c r="G27" s="166">
        <f>AVERAGE([2]Electric_vehecle!$D$78)</f>
        <v>0.483</v>
      </c>
      <c r="H27" s="110">
        <f>AVERAGE([2]Electric_vehecle!$D$55:$J$55)</f>
        <v>13.3333333333333</v>
      </c>
      <c r="I27" s="155">
        <f>AVERAGE([2]Occupancy_ACTFLO_CAP2ACT!$D$23:$J$23)</f>
        <v>1.71369752068902</v>
      </c>
      <c r="J27" s="84">
        <f>30.5*1.35</f>
        <v>41.175</v>
      </c>
      <c r="K27" s="172">
        <f>K26</f>
        <v>84.375</v>
      </c>
      <c r="L27" s="84">
        <f>L8</f>
        <v>2.33955</v>
      </c>
      <c r="M27" s="84">
        <f t="shared" si="3"/>
        <v>39.11625</v>
      </c>
      <c r="N27" s="174">
        <f t="shared" si="8"/>
        <v>80.15625</v>
      </c>
      <c r="O27" s="84">
        <f t="shared" si="5"/>
        <v>2.2225725</v>
      </c>
      <c r="P27" s="84">
        <f t="shared" si="6"/>
        <v>37.0575</v>
      </c>
      <c r="Q27" s="174">
        <f t="shared" si="9"/>
        <v>75.9375</v>
      </c>
      <c r="R27" s="84">
        <f>R8</f>
        <v>2.105595</v>
      </c>
      <c r="S27" s="84">
        <v>0.001</v>
      </c>
      <c r="T27" s="84">
        <v>15</v>
      </c>
      <c r="U27" s="182">
        <f>[2]Electric_vehecle!$D$94</f>
        <v>0.4</v>
      </c>
      <c r="AD27" s="164" t="s">
        <v>76</v>
      </c>
      <c r="AF27" s="191" t="s">
        <v>52</v>
      </c>
      <c r="AG27" s="191" t="s">
        <v>53</v>
      </c>
      <c r="AI27" s="39" t="s">
        <v>54</v>
      </c>
      <c r="AL27" s="39" t="s">
        <v>73</v>
      </c>
    </row>
    <row r="28" spans="3:38">
      <c r="C28" s="164"/>
      <c r="D28" s="9" t="s">
        <v>36</v>
      </c>
      <c r="E28" s="9"/>
      <c r="G28" s="166"/>
      <c r="H28" s="110"/>
      <c r="I28" s="177"/>
      <c r="J28" s="84"/>
      <c r="K28" s="84"/>
      <c r="L28" s="84"/>
      <c r="M28" s="84"/>
      <c r="N28" s="84"/>
      <c r="O28" s="84"/>
      <c r="P28" s="84"/>
      <c r="Q28" s="84"/>
      <c r="R28" s="84"/>
      <c r="S28" s="84"/>
      <c r="T28" s="84"/>
      <c r="U28" s="183">
        <f>1-U27</f>
        <v>0.6</v>
      </c>
      <c r="AD28" s="164" t="s">
        <v>77</v>
      </c>
      <c r="AF28" s="191" t="s">
        <v>52</v>
      </c>
      <c r="AG28" s="191" t="s">
        <v>53</v>
      </c>
      <c r="AI28" s="39" t="s">
        <v>54</v>
      </c>
      <c r="AL28" s="39" t="s">
        <v>73</v>
      </c>
    </row>
    <row r="29" spans="3:38">
      <c r="C29" s="164" t="s">
        <v>77</v>
      </c>
      <c r="D29" s="9" t="s">
        <v>71</v>
      </c>
      <c r="E29" s="9" t="s">
        <v>37</v>
      </c>
      <c r="F29" s="114">
        <v>2021</v>
      </c>
      <c r="G29" s="166">
        <f>AVERAGE([2]Electric_vehecle!$D$80)</f>
        <v>0.4485</v>
      </c>
      <c r="H29" s="110">
        <f>AVERAGE([2]Electric_vehecle!$D$57:$J$57)</f>
        <v>13.3333333333333</v>
      </c>
      <c r="I29" s="155">
        <f>AVERAGE([2]Occupancy_ACTFLO_CAP2ACT!$D$24:$J$24)</f>
        <v>1.71369752068902</v>
      </c>
      <c r="J29" s="84">
        <f>J27</f>
        <v>41.175</v>
      </c>
      <c r="K29" s="172">
        <f>K27</f>
        <v>84.375</v>
      </c>
      <c r="L29" s="84">
        <f>L9</f>
        <v>2.33955</v>
      </c>
      <c r="M29" s="84">
        <f t="shared" si="3"/>
        <v>39.11625</v>
      </c>
      <c r="N29" s="174">
        <f t="shared" si="8"/>
        <v>80.15625</v>
      </c>
      <c r="O29" s="84">
        <f t="shared" si="5"/>
        <v>2.2225725</v>
      </c>
      <c r="P29" s="84">
        <f t="shared" si="6"/>
        <v>37.0575</v>
      </c>
      <c r="Q29" s="174">
        <f t="shared" si="9"/>
        <v>75.9375</v>
      </c>
      <c r="R29" s="84">
        <f>R9</f>
        <v>2.105595</v>
      </c>
      <c r="S29" s="84">
        <v>0.001</v>
      </c>
      <c r="T29" s="84">
        <v>15</v>
      </c>
      <c r="U29" s="182">
        <v>0.3</v>
      </c>
      <c r="AD29" s="9" t="s">
        <v>78</v>
      </c>
      <c r="AE29" s="191"/>
      <c r="AF29" s="191" t="s">
        <v>52</v>
      </c>
      <c r="AG29" s="191" t="s">
        <v>53</v>
      </c>
      <c r="AI29" s="39" t="s">
        <v>54</v>
      </c>
      <c r="AL29" s="39" t="s">
        <v>73</v>
      </c>
    </row>
    <row r="30" spans="4:38">
      <c r="D30" s="9" t="s">
        <v>36</v>
      </c>
      <c r="G30" s="40"/>
      <c r="H30" s="40"/>
      <c r="I30" s="40"/>
      <c r="M30" s="16"/>
      <c r="N30" s="16"/>
      <c r="O30" s="16"/>
      <c r="T30" s="114"/>
      <c r="U30" s="183">
        <f>1-U29</f>
        <v>0.7</v>
      </c>
      <c r="Y30" s="194"/>
      <c r="AD30" s="9" t="s">
        <v>79</v>
      </c>
      <c r="AE30" s="191"/>
      <c r="AF30" s="191" t="s">
        <v>52</v>
      </c>
      <c r="AG30" s="191" t="s">
        <v>53</v>
      </c>
      <c r="AI30" s="39" t="s">
        <v>54</v>
      </c>
      <c r="AL30" s="39" t="s">
        <v>73</v>
      </c>
    </row>
    <row r="31" spans="3:38">
      <c r="C31" s="9" t="s">
        <v>78</v>
      </c>
      <c r="D31" t="s">
        <v>71</v>
      </c>
      <c r="E31" t="s">
        <v>61</v>
      </c>
      <c r="F31">
        <v>2021</v>
      </c>
      <c r="G31" s="115">
        <f>AVERAGE([2]mvkmPerTJ_EFF!$G$5:$M$6)*2</f>
        <v>0.266686263399797</v>
      </c>
      <c r="H31" s="167">
        <f>AVERAGE([2]AFA_000kmPerVeh_AFA!$E$5:$K$10)</f>
        <v>31.2857142857143</v>
      </c>
      <c r="I31" s="177">
        <f>TRA!I13</f>
        <v>21.9737611487708</v>
      </c>
      <c r="J31" s="70">
        <f>250*1.35</f>
        <v>337.5</v>
      </c>
      <c r="K31" s="172">
        <f>(0.1/1.6)*(10^9)*1.35/10^6</f>
        <v>84.375</v>
      </c>
      <c r="L31" s="84">
        <f>L13</f>
        <v>2.97</v>
      </c>
      <c r="M31" s="84">
        <f t="shared" ref="M31:M34" si="10">J31*95%</f>
        <v>320.625</v>
      </c>
      <c r="N31" s="174">
        <f>K31*0.95</f>
        <v>80.15625</v>
      </c>
      <c r="O31" s="84">
        <f t="shared" si="5"/>
        <v>2.8215</v>
      </c>
      <c r="P31" s="84">
        <f>J31*90%</f>
        <v>303.75</v>
      </c>
      <c r="Q31" s="174">
        <f t="shared" ref="Q31:R34" si="11">K31*0.9</f>
        <v>75.9375</v>
      </c>
      <c r="R31" s="84">
        <f t="shared" si="11"/>
        <v>2.673</v>
      </c>
      <c r="S31" s="84">
        <v>0.001</v>
      </c>
      <c r="T31" s="114">
        <v>15</v>
      </c>
      <c r="U31" s="114"/>
      <c r="AD31" s="9" t="s">
        <v>80</v>
      </c>
      <c r="AF31" s="191" t="s">
        <v>52</v>
      </c>
      <c r="AG31" s="191" t="s">
        <v>53</v>
      </c>
      <c r="AI31" s="39" t="s">
        <v>54</v>
      </c>
      <c r="AL31" s="39" t="s">
        <v>73</v>
      </c>
    </row>
    <row r="32" spans="3:38">
      <c r="C32" s="9" t="s">
        <v>79</v>
      </c>
      <c r="D32" t="s">
        <v>71</v>
      </c>
      <c r="E32" t="s">
        <v>61</v>
      </c>
      <c r="F32">
        <v>2021</v>
      </c>
      <c r="G32" s="115">
        <f>AVERAGE([2]mvkmPerTJ_EFF!$G$7:$M$8)*3</f>
        <v>0.191552527210896</v>
      </c>
      <c r="H32" s="167">
        <f>AVERAGE([2]AFA_000kmPerVeh_AFA!$E$5:$K$10)</f>
        <v>31.2857142857143</v>
      </c>
      <c r="I32" s="177">
        <f>I15</f>
        <v>11.9384348573679</v>
      </c>
      <c r="J32" s="70">
        <f>668*1.35</f>
        <v>901.8</v>
      </c>
      <c r="K32" s="172">
        <f>(0.1/1.6)*(10^9)*1.35/10^6</f>
        <v>84.375</v>
      </c>
      <c r="L32" s="84">
        <f>L15</f>
        <v>2.97</v>
      </c>
      <c r="M32" s="84">
        <f t="shared" si="10"/>
        <v>856.71</v>
      </c>
      <c r="N32" s="174">
        <f>K32*0.95</f>
        <v>80.15625</v>
      </c>
      <c r="O32" s="84">
        <f t="shared" si="5"/>
        <v>2.8215</v>
      </c>
      <c r="P32" s="84">
        <f>J32*90%</f>
        <v>811.62</v>
      </c>
      <c r="Q32" s="174">
        <f t="shared" si="11"/>
        <v>75.9375</v>
      </c>
      <c r="R32" s="84">
        <f t="shared" si="11"/>
        <v>2.673</v>
      </c>
      <c r="S32" s="84">
        <v>0.001</v>
      </c>
      <c r="T32" s="114">
        <v>15</v>
      </c>
      <c r="AD32" s="9" t="s">
        <v>81</v>
      </c>
      <c r="AF32" s="191" t="s">
        <v>52</v>
      </c>
      <c r="AG32" s="191" t="s">
        <v>53</v>
      </c>
      <c r="AI32" s="39" t="s">
        <v>54</v>
      </c>
      <c r="AL32" s="39" t="s">
        <v>73</v>
      </c>
    </row>
    <row r="33" spans="3:38">
      <c r="C33" s="9" t="s">
        <v>80</v>
      </c>
      <c r="D33" t="s">
        <v>71</v>
      </c>
      <c r="E33" t="s">
        <v>61</v>
      </c>
      <c r="F33">
        <v>2021</v>
      </c>
      <c r="G33" s="115">
        <f>AVERAGE([2]mvkmPerTJ_EFF!$G$9:$M$10)*2</f>
        <v>0.293310357587879</v>
      </c>
      <c r="H33" s="167">
        <f>AVERAGE([2]AFA_000kmPerVeh_AFA!$E$5:$K$10)</f>
        <v>31.2857142857143</v>
      </c>
      <c r="I33" s="177">
        <f>I17</f>
        <v>16.1127667258741</v>
      </c>
      <c r="J33" s="70">
        <f>676*1.35</f>
        <v>912.6</v>
      </c>
      <c r="K33" s="172">
        <f>(0.1/1.6)*(10^9)*1.35/10^6</f>
        <v>84.375</v>
      </c>
      <c r="L33" s="84">
        <f>L17</f>
        <v>1.89</v>
      </c>
      <c r="M33" s="84">
        <f t="shared" si="10"/>
        <v>866.97</v>
      </c>
      <c r="N33" s="174">
        <f>K33*0.95</f>
        <v>80.15625</v>
      </c>
      <c r="O33" s="84">
        <f t="shared" si="5"/>
        <v>1.7955</v>
      </c>
      <c r="P33" s="84">
        <f>J33*90%</f>
        <v>821.34</v>
      </c>
      <c r="Q33" s="174">
        <f t="shared" si="11"/>
        <v>75.9375</v>
      </c>
      <c r="R33" s="84">
        <f t="shared" si="11"/>
        <v>1.701</v>
      </c>
      <c r="S33" s="84">
        <v>0.001</v>
      </c>
      <c r="T33" s="114">
        <v>15</v>
      </c>
      <c r="AD33" s="114" t="str">
        <f>C35</f>
        <v>TRA_Tru_PLT_hydrogen</v>
      </c>
      <c r="AE33" s="114"/>
      <c r="AF33" s="114" t="str">
        <f>AF9</f>
        <v>BVkm</v>
      </c>
      <c r="AG33" s="190" t="s">
        <v>53</v>
      </c>
      <c r="AI33" s="39" t="s">
        <v>54</v>
      </c>
      <c r="AL33" s="39"/>
    </row>
    <row r="34" spans="3:38">
      <c r="C34" s="9" t="s">
        <v>81</v>
      </c>
      <c r="D34" t="s">
        <v>71</v>
      </c>
      <c r="E34" s="106" t="s">
        <v>58</v>
      </c>
      <c r="F34">
        <v>2021</v>
      </c>
      <c r="G34" s="139">
        <f>TRA!G12*3</f>
        <v>1.63564262078011</v>
      </c>
      <c r="H34" s="167">
        <f>TRA!H12</f>
        <v>4.02857142857143</v>
      </c>
      <c r="I34" s="155">
        <f>TRA!I12</f>
        <v>1.19133027778195</v>
      </c>
      <c r="J34" s="113">
        <f>15*1.35</f>
        <v>20.25</v>
      </c>
      <c r="K34" s="172">
        <f>(0.1/1.6)*(10^9)*1.35/10^6</f>
        <v>84.375</v>
      </c>
      <c r="L34" s="16">
        <f>J34/100</f>
        <v>0.2025</v>
      </c>
      <c r="M34" s="16">
        <f t="shared" si="10"/>
        <v>19.2375</v>
      </c>
      <c r="N34" s="174">
        <f>K34*0.95</f>
        <v>80.15625</v>
      </c>
      <c r="O34" s="16">
        <f t="shared" si="5"/>
        <v>0.192375</v>
      </c>
      <c r="P34" s="16">
        <f>J34*0.9</f>
        <v>18.225</v>
      </c>
      <c r="Q34" s="174">
        <f t="shared" si="11"/>
        <v>75.9375</v>
      </c>
      <c r="R34">
        <f t="shared" si="11"/>
        <v>0.18225</v>
      </c>
      <c r="S34">
        <v>0.001</v>
      </c>
      <c r="T34" s="114">
        <v>15</v>
      </c>
      <c r="AD34" s="114" t="str">
        <f t="shared" ref="AD34:AD40" si="12">C36</f>
        <v>TRA_Tru_FLT_hydrogen</v>
      </c>
      <c r="AE34" s="114"/>
      <c r="AF34" s="114" t="str">
        <f t="shared" ref="AF34:AF40" si="13">AF10</f>
        <v>BVkm</v>
      </c>
      <c r="AG34" s="190" t="s">
        <v>53</v>
      </c>
      <c r="AI34" s="39" t="s">
        <v>54</v>
      </c>
      <c r="AL34" s="39"/>
    </row>
    <row r="35" s="114" customFormat="1" spans="3:38">
      <c r="C35" s="114" t="s">
        <v>82</v>
      </c>
      <c r="D35" s="168" t="s">
        <v>83</v>
      </c>
      <c r="E35" s="114" t="str">
        <f>E10</f>
        <v>TRA_Tru</v>
      </c>
      <c r="F35" s="114">
        <v>2021</v>
      </c>
      <c r="G35" s="114">
        <f>2*AVERAGE([2]mvkmPerTJ_EFF!$G$11:$M$12)</f>
        <v>0.522983936313518</v>
      </c>
      <c r="H35" s="169">
        <f>H19</f>
        <v>13.0058571428571</v>
      </c>
      <c r="I35" s="178">
        <f>I7</f>
        <v>1.71369752068902</v>
      </c>
      <c r="J35" s="114">
        <f>93*1.35</f>
        <v>125.55</v>
      </c>
      <c r="K35" s="179">
        <f>(0.1/1.6)*(10^9)*1.35/10^6</f>
        <v>84.375</v>
      </c>
      <c r="L35" s="114">
        <f>L7</f>
        <v>2.33955</v>
      </c>
      <c r="M35" s="113">
        <f t="shared" ref="M35:M42" si="14">J35*95%</f>
        <v>119.2725</v>
      </c>
      <c r="N35" s="124">
        <f t="shared" ref="N35:N42" si="15">K35*0.95</f>
        <v>80.15625</v>
      </c>
      <c r="O35" s="113">
        <f t="shared" ref="O35:O42" si="16">L35*0.95</f>
        <v>2.2225725</v>
      </c>
      <c r="P35" s="113">
        <f t="shared" ref="P35:P42" si="17">J35*0.9</f>
        <v>112.995</v>
      </c>
      <c r="Q35" s="124">
        <f t="shared" ref="Q35:Q42" si="18">K35*0.9</f>
        <v>75.9375</v>
      </c>
      <c r="R35" s="114">
        <f t="shared" ref="R35:R42" si="19">L35*0.9</f>
        <v>2.105595</v>
      </c>
      <c r="S35" s="114">
        <f t="shared" ref="S35:S42" si="20">S34</f>
        <v>0.001</v>
      </c>
      <c r="T35" s="114">
        <f t="shared" ref="T35:T42" si="21">T34</f>
        <v>15</v>
      </c>
      <c r="AD35" s="114" t="str">
        <f t="shared" si="12"/>
        <v>TRA_Tru_MT_hydrogen</v>
      </c>
      <c r="AF35" s="114" t="str">
        <f t="shared" si="13"/>
        <v>BVkm</v>
      </c>
      <c r="AG35" s="190" t="s">
        <v>53</v>
      </c>
      <c r="AI35" s="195" t="s">
        <v>54</v>
      </c>
      <c r="AL35" s="39"/>
    </row>
    <row r="36" s="114" customFormat="1" spans="3:38">
      <c r="C36" s="114" t="s">
        <v>84</v>
      </c>
      <c r="D36" s="168" t="str">
        <f>D35</f>
        <v>TRASYNH2CT</v>
      </c>
      <c r="E36" s="168" t="str">
        <f>E35</f>
        <v>TRA_Tru</v>
      </c>
      <c r="F36" s="168">
        <f>F35</f>
        <v>2021</v>
      </c>
      <c r="G36" s="114">
        <f>G35</f>
        <v>0.522983936313518</v>
      </c>
      <c r="H36" s="169">
        <f>H35</f>
        <v>13.0058571428571</v>
      </c>
      <c r="I36" s="179">
        <f>I9</f>
        <v>0.55986165464206</v>
      </c>
      <c r="J36" s="114">
        <f>J35</f>
        <v>125.55</v>
      </c>
      <c r="K36" s="179">
        <f t="shared" ref="K36:K42" si="22">(0.1/1.6)*(10^9)*1.35/10^6</f>
        <v>84.375</v>
      </c>
      <c r="L36" s="114">
        <f>L9</f>
        <v>2.33955</v>
      </c>
      <c r="M36" s="113">
        <f t="shared" si="14"/>
        <v>119.2725</v>
      </c>
      <c r="N36" s="124">
        <f t="shared" si="15"/>
        <v>80.15625</v>
      </c>
      <c r="O36" s="113">
        <f t="shared" si="16"/>
        <v>2.2225725</v>
      </c>
      <c r="P36" s="113">
        <f t="shared" si="17"/>
        <v>112.995</v>
      </c>
      <c r="Q36" s="124">
        <f t="shared" si="18"/>
        <v>75.9375</v>
      </c>
      <c r="R36" s="114">
        <f t="shared" si="19"/>
        <v>2.105595</v>
      </c>
      <c r="S36" s="114">
        <f t="shared" si="20"/>
        <v>0.001</v>
      </c>
      <c r="T36" s="114">
        <f t="shared" si="21"/>
        <v>15</v>
      </c>
      <c r="AD36" s="114" t="str">
        <f t="shared" si="12"/>
        <v>TRA_Tru_HT_hydrogen</v>
      </c>
      <c r="AF36" s="114" t="str">
        <f t="shared" si="13"/>
        <v>BVkm</v>
      </c>
      <c r="AG36" s="190" t="s">
        <v>53</v>
      </c>
      <c r="AI36" s="195" t="s">
        <v>54</v>
      </c>
      <c r="AL36" s="39"/>
    </row>
    <row r="37" s="114" customFormat="1" spans="3:38">
      <c r="C37" s="114" t="s">
        <v>85</v>
      </c>
      <c r="D37" s="168" t="str">
        <f t="shared" ref="D37:F38" si="23">D36</f>
        <v>TRASYNH2CT</v>
      </c>
      <c r="E37" s="168" t="str">
        <f t="shared" si="23"/>
        <v>TRA_Tru</v>
      </c>
      <c r="F37" s="168">
        <f t="shared" si="23"/>
        <v>2021</v>
      </c>
      <c r="G37" s="114">
        <f>2*AVERAGE([2]mvkmPerTJ_EFF!$G$14:$M$15)</f>
        <v>0.353645986173803</v>
      </c>
      <c r="H37" s="169">
        <f t="shared" ref="H37:H42" si="24">H36</f>
        <v>13.0058571428571</v>
      </c>
      <c r="I37" s="179">
        <f>I10</f>
        <v>1.01179998747686</v>
      </c>
      <c r="J37" s="114">
        <f>181*1.35</f>
        <v>244.35</v>
      </c>
      <c r="K37" s="179">
        <f t="shared" si="22"/>
        <v>84.375</v>
      </c>
      <c r="L37" s="41">
        <f>L10</f>
        <v>2.33955</v>
      </c>
      <c r="M37" s="113">
        <f t="shared" si="14"/>
        <v>232.1325</v>
      </c>
      <c r="N37" s="124">
        <f t="shared" si="15"/>
        <v>80.15625</v>
      </c>
      <c r="O37" s="113">
        <f t="shared" si="16"/>
        <v>2.2225725</v>
      </c>
      <c r="P37" s="113">
        <f t="shared" si="17"/>
        <v>219.915</v>
      </c>
      <c r="Q37" s="124">
        <f t="shared" si="18"/>
        <v>75.9375</v>
      </c>
      <c r="R37" s="114">
        <f t="shared" si="19"/>
        <v>2.105595</v>
      </c>
      <c r="S37" s="114">
        <f t="shared" si="20"/>
        <v>0.001</v>
      </c>
      <c r="T37" s="114">
        <f t="shared" si="21"/>
        <v>15</v>
      </c>
      <c r="AD37" s="114" t="str">
        <f t="shared" si="12"/>
        <v>TRA_Bus_SB_hydrogen</v>
      </c>
      <c r="AF37" s="114" t="str">
        <f t="shared" si="13"/>
        <v>BVkm</v>
      </c>
      <c r="AG37" s="190" t="s">
        <v>53</v>
      </c>
      <c r="AI37" s="195" t="s">
        <v>54</v>
      </c>
      <c r="AL37" s="39"/>
    </row>
    <row r="38" s="114" customFormat="1" spans="3:38">
      <c r="C38" s="114" t="s">
        <v>86</v>
      </c>
      <c r="D38" s="168" t="str">
        <f t="shared" si="23"/>
        <v>TRASYNH2CT</v>
      </c>
      <c r="E38" s="168" t="str">
        <f t="shared" si="23"/>
        <v>TRA_Tru</v>
      </c>
      <c r="F38" s="168">
        <f t="shared" si="23"/>
        <v>2021</v>
      </c>
      <c r="G38" s="114">
        <f>1.5*AVERAGE([2]mvkmPerTJ_EFF!$G$16:$M$16)</f>
        <v>3.22757961871035</v>
      </c>
      <c r="H38" s="169">
        <f t="shared" si="24"/>
        <v>13.0058571428571</v>
      </c>
      <c r="I38" s="179">
        <f>I11</f>
        <v>0.318970292616525</v>
      </c>
      <c r="J38" s="41">
        <f>473*1.35</f>
        <v>638.55</v>
      </c>
      <c r="K38" s="179">
        <f t="shared" si="22"/>
        <v>84.375</v>
      </c>
      <c r="L38" s="41">
        <f>L11</f>
        <v>2.33955</v>
      </c>
      <c r="M38" s="113">
        <f t="shared" si="14"/>
        <v>606.6225</v>
      </c>
      <c r="N38" s="124">
        <f t="shared" si="15"/>
        <v>80.15625</v>
      </c>
      <c r="O38" s="113">
        <f t="shared" si="16"/>
        <v>2.2225725</v>
      </c>
      <c r="P38" s="113">
        <f t="shared" si="17"/>
        <v>574.695</v>
      </c>
      <c r="Q38" s="124">
        <f t="shared" si="18"/>
        <v>75.9375</v>
      </c>
      <c r="R38" s="114">
        <f t="shared" si="19"/>
        <v>2.105595</v>
      </c>
      <c r="S38" s="114">
        <f t="shared" si="20"/>
        <v>0.001</v>
      </c>
      <c r="T38" s="114">
        <f t="shared" si="21"/>
        <v>15</v>
      </c>
      <c r="AD38" s="114" t="str">
        <f t="shared" si="12"/>
        <v>TRA_Bus_UT_hydrogen</v>
      </c>
      <c r="AF38" s="114" t="str">
        <f t="shared" si="13"/>
        <v>BVkm</v>
      </c>
      <c r="AG38" s="190" t="s">
        <v>53</v>
      </c>
      <c r="AI38" s="195" t="s">
        <v>54</v>
      </c>
      <c r="AL38" s="39"/>
    </row>
    <row r="39" s="114" customFormat="1" spans="3:38">
      <c r="C39" s="114" t="s">
        <v>87</v>
      </c>
      <c r="D39" s="114" t="str">
        <f>D35</f>
        <v>TRASYNH2CT</v>
      </c>
      <c r="E39" s="114" t="str">
        <f>E13</f>
        <v>TRA_Bus</v>
      </c>
      <c r="F39" s="114">
        <v>2021</v>
      </c>
      <c r="G39" s="115">
        <f>AVERAGE([2]mvkmPerTJ_EFF!$G$5:$M$6)*1.5</f>
        <v>0.200014697549847</v>
      </c>
      <c r="H39" s="169">
        <f t="shared" si="24"/>
        <v>13.0058571428571</v>
      </c>
      <c r="I39" s="114">
        <f>I13</f>
        <v>21.9737611487708</v>
      </c>
      <c r="J39" s="114">
        <f>261*1.35</f>
        <v>352.35</v>
      </c>
      <c r="K39" s="179">
        <f t="shared" si="22"/>
        <v>84.375</v>
      </c>
      <c r="L39" s="114">
        <f>L13</f>
        <v>2.97</v>
      </c>
      <c r="M39" s="113">
        <f t="shared" si="14"/>
        <v>334.7325</v>
      </c>
      <c r="N39" s="124">
        <f t="shared" si="15"/>
        <v>80.15625</v>
      </c>
      <c r="O39" s="113">
        <f t="shared" si="16"/>
        <v>2.8215</v>
      </c>
      <c r="P39" s="113">
        <f t="shared" si="17"/>
        <v>317.115</v>
      </c>
      <c r="Q39" s="124">
        <f t="shared" si="18"/>
        <v>75.9375</v>
      </c>
      <c r="R39" s="114">
        <f t="shared" si="19"/>
        <v>2.673</v>
      </c>
      <c r="S39" s="114">
        <f t="shared" si="20"/>
        <v>0.001</v>
      </c>
      <c r="T39" s="114">
        <f t="shared" si="21"/>
        <v>15</v>
      </c>
      <c r="AD39" s="114" t="str">
        <f t="shared" si="12"/>
        <v>TRA_Bus_IC_hydrogen</v>
      </c>
      <c r="AF39" s="114" t="str">
        <f t="shared" si="13"/>
        <v>BVkm</v>
      </c>
      <c r="AG39" s="190" t="s">
        <v>53</v>
      </c>
      <c r="AI39" s="195" t="s">
        <v>54</v>
      </c>
      <c r="AL39" s="39"/>
    </row>
    <row r="40" s="114" customFormat="1" spans="3:38">
      <c r="C40" s="114" t="s">
        <v>88</v>
      </c>
      <c r="D40" s="114" t="str">
        <f t="shared" ref="D40:F41" si="25">D39</f>
        <v>TRASYNH2CT</v>
      </c>
      <c r="E40" s="114" t="str">
        <f t="shared" si="25"/>
        <v>TRA_Bus</v>
      </c>
      <c r="F40" s="114">
        <f t="shared" si="25"/>
        <v>2021</v>
      </c>
      <c r="G40" s="115">
        <f>AVERAGE([2]mvkmPerTJ_EFF!$G$7:$M$8)*2</f>
        <v>0.127701684807264</v>
      </c>
      <c r="H40" s="169">
        <f t="shared" si="24"/>
        <v>13.0058571428571</v>
      </c>
      <c r="I40" s="114">
        <f>I15</f>
        <v>11.9384348573679</v>
      </c>
      <c r="J40" s="114">
        <f>664*1.35</f>
        <v>896.4</v>
      </c>
      <c r="K40" s="179">
        <f t="shared" si="22"/>
        <v>84.375</v>
      </c>
      <c r="L40" s="114">
        <f>L15</f>
        <v>2.97</v>
      </c>
      <c r="M40" s="113">
        <f t="shared" si="14"/>
        <v>851.58</v>
      </c>
      <c r="N40" s="124">
        <f t="shared" si="15"/>
        <v>80.15625</v>
      </c>
      <c r="O40" s="113">
        <f t="shared" si="16"/>
        <v>2.8215</v>
      </c>
      <c r="P40" s="113">
        <f t="shared" si="17"/>
        <v>806.76</v>
      </c>
      <c r="Q40" s="124">
        <f t="shared" si="18"/>
        <v>75.9375</v>
      </c>
      <c r="R40" s="114">
        <f t="shared" si="19"/>
        <v>2.673</v>
      </c>
      <c r="S40" s="114">
        <f t="shared" si="20"/>
        <v>0.001</v>
      </c>
      <c r="T40" s="114">
        <f t="shared" si="21"/>
        <v>15</v>
      </c>
      <c r="AD40" s="114" t="str">
        <f t="shared" si="12"/>
        <v>TRA_Car_hydrogen</v>
      </c>
      <c r="AF40" s="114" t="str">
        <f t="shared" si="13"/>
        <v>BVkm</v>
      </c>
      <c r="AG40" s="190" t="s">
        <v>53</v>
      </c>
      <c r="AI40" s="195" t="s">
        <v>54</v>
      </c>
      <c r="AL40" s="39"/>
    </row>
    <row r="41" s="114" customFormat="1" spans="3:20">
      <c r="C41" s="114" t="s">
        <v>89</v>
      </c>
      <c r="D41" s="114" t="str">
        <f t="shared" si="25"/>
        <v>TRASYNH2CT</v>
      </c>
      <c r="E41" s="114" t="str">
        <f t="shared" si="25"/>
        <v>TRA_Bus</v>
      </c>
      <c r="F41" s="114">
        <f t="shared" si="25"/>
        <v>2021</v>
      </c>
      <c r="G41" s="115">
        <f>AVERAGE([2]mvkmPerTJ_EFF!$G$9:$M$10)*1.5</f>
        <v>0.219982768190909</v>
      </c>
      <c r="H41" s="169">
        <f t="shared" si="24"/>
        <v>13.0058571428571</v>
      </c>
      <c r="I41" s="114">
        <f>I17</f>
        <v>16.1127667258741</v>
      </c>
      <c r="J41" s="114">
        <f>666*1.35</f>
        <v>899.1</v>
      </c>
      <c r="K41" s="179">
        <f t="shared" si="22"/>
        <v>84.375</v>
      </c>
      <c r="L41" s="114">
        <f>L17</f>
        <v>1.89</v>
      </c>
      <c r="M41" s="113">
        <f t="shared" si="14"/>
        <v>854.145</v>
      </c>
      <c r="N41" s="124">
        <f t="shared" si="15"/>
        <v>80.15625</v>
      </c>
      <c r="O41" s="113">
        <f t="shared" si="16"/>
        <v>1.7955</v>
      </c>
      <c r="P41" s="113">
        <f t="shared" si="17"/>
        <v>809.19</v>
      </c>
      <c r="Q41" s="124">
        <f t="shared" si="18"/>
        <v>75.9375</v>
      </c>
      <c r="R41" s="114">
        <f t="shared" si="19"/>
        <v>1.701</v>
      </c>
      <c r="S41" s="114">
        <f t="shared" si="20"/>
        <v>0.001</v>
      </c>
      <c r="T41" s="114">
        <f t="shared" si="21"/>
        <v>15</v>
      </c>
    </row>
    <row r="42" s="114" customFormat="1" spans="3:20">
      <c r="C42" s="114" t="s">
        <v>90</v>
      </c>
      <c r="D42" s="114" t="str">
        <f>D39</f>
        <v>TRASYNH2CT</v>
      </c>
      <c r="E42" s="114" t="str">
        <f>E19</f>
        <v>TRA_Car</v>
      </c>
      <c r="F42" s="114">
        <v>2021</v>
      </c>
      <c r="G42" s="114">
        <f>AVERAGE([2]mvkmPerTJ_EFF!$G$18:$M$18)*2</f>
        <v>0.722338153735503</v>
      </c>
      <c r="H42" s="169">
        <f t="shared" si="24"/>
        <v>13.0058571428571</v>
      </c>
      <c r="I42" s="114">
        <f>I19</f>
        <v>1.58589639888736</v>
      </c>
      <c r="J42" s="41">
        <f>48.2*1.35</f>
        <v>65.07</v>
      </c>
      <c r="K42" s="179">
        <f t="shared" si="22"/>
        <v>84.375</v>
      </c>
      <c r="L42" s="114">
        <f>L19</f>
        <v>2.06955</v>
      </c>
      <c r="M42" s="113">
        <f t="shared" si="14"/>
        <v>61.8165</v>
      </c>
      <c r="N42" s="124">
        <f t="shared" si="15"/>
        <v>80.15625</v>
      </c>
      <c r="O42" s="113">
        <f t="shared" si="16"/>
        <v>1.9660725</v>
      </c>
      <c r="P42" s="113">
        <f t="shared" si="17"/>
        <v>58.563</v>
      </c>
      <c r="Q42" s="124">
        <f t="shared" si="18"/>
        <v>75.9375</v>
      </c>
      <c r="R42" s="114">
        <f t="shared" si="19"/>
        <v>1.862595</v>
      </c>
      <c r="S42" s="114">
        <f t="shared" si="20"/>
        <v>0.001</v>
      </c>
      <c r="T42" s="114">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55" zoomScaleNormal="55" topLeftCell="J1" workbookViewId="0">
      <pane ySplit="5" topLeftCell="A6" activePane="bottomLeft" state="frozen"/>
      <selection/>
      <selection pane="bottomLeft" activeCell="AA135" sqref="AA6:AA135"/>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26" t="s">
        <v>92</v>
      </c>
      <c r="AO1" s="128" t="s">
        <v>93</v>
      </c>
      <c r="AP1" s="57"/>
    </row>
    <row r="2" ht="36" customHeight="1" spans="2:42">
      <c r="B2" t="s">
        <v>94</v>
      </c>
      <c r="J2" s="41" t="s">
        <v>95</v>
      </c>
      <c r="K2" s="109"/>
      <c r="Q2" s="117" t="s">
        <v>96</v>
      </c>
      <c r="AN2" s="57" t="s">
        <v>97</v>
      </c>
      <c r="AO2" s="57" t="s">
        <v>98</v>
      </c>
      <c r="AP2" s="57" t="s">
        <v>99</v>
      </c>
    </row>
    <row r="3" ht="47" customHeight="1" spans="2:42">
      <c r="B3" s="102" t="s">
        <v>100</v>
      </c>
      <c r="AN3" s="127">
        <v>0.096</v>
      </c>
      <c r="AO3" s="127">
        <f>(7.1+15.9+9.6)/100</f>
        <v>0.326</v>
      </c>
      <c r="AP3" s="57">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101</v>
      </c>
      <c r="F5" s="12" t="s">
        <v>10</v>
      </c>
      <c r="G5" s="43" t="s">
        <v>11</v>
      </c>
      <c r="H5" s="44" t="s">
        <v>12</v>
      </c>
      <c r="I5" s="44" t="s">
        <v>49</v>
      </c>
      <c r="J5" s="44" t="s">
        <v>13</v>
      </c>
      <c r="K5" s="14" t="s">
        <v>15</v>
      </c>
      <c r="L5" s="14" t="s">
        <v>17</v>
      </c>
      <c r="M5" s="14" t="s">
        <v>18</v>
      </c>
      <c r="N5" s="14" t="s">
        <v>20</v>
      </c>
      <c r="O5" s="14" t="s">
        <v>21</v>
      </c>
      <c r="P5" s="14" t="s">
        <v>23</v>
      </c>
      <c r="Q5" s="48" t="s">
        <v>25</v>
      </c>
      <c r="R5" s="26" t="s">
        <v>24</v>
      </c>
      <c r="S5" s="49" t="s">
        <v>102</v>
      </c>
      <c r="V5" s="51" t="s">
        <v>27</v>
      </c>
      <c r="W5" s="51" t="s">
        <v>8</v>
      </c>
      <c r="X5" s="51" t="s">
        <v>29</v>
      </c>
      <c r="Y5" s="51" t="s">
        <v>30</v>
      </c>
      <c r="Z5" s="51" t="s">
        <v>31</v>
      </c>
      <c r="AA5" s="51" t="s">
        <v>32</v>
      </c>
      <c r="AB5" s="51" t="s">
        <v>33</v>
      </c>
      <c r="AC5" s="51"/>
      <c r="AN5">
        <f t="shared" si="0"/>
        <v>0.096</v>
      </c>
      <c r="AO5">
        <f t="shared" si="0"/>
        <v>0.326</v>
      </c>
      <c r="AP5">
        <f t="shared" si="0"/>
        <v>0.578</v>
      </c>
    </row>
    <row r="6" spans="3:42">
      <c r="C6" t="s">
        <v>103</v>
      </c>
      <c r="D6" t="s">
        <v>104</v>
      </c>
      <c r="F6" t="s">
        <v>105</v>
      </c>
      <c r="G6" s="40">
        <v>2021</v>
      </c>
      <c r="H6" s="103">
        <v>0.6</v>
      </c>
      <c r="I6" s="103"/>
      <c r="J6" s="110"/>
      <c r="K6" s="111">
        <f>6520/(105/3.412)*1</f>
        <v>211.868952380952</v>
      </c>
      <c r="L6" s="111">
        <f>80/(105/3.412)*1</f>
        <v>2.59961904761905</v>
      </c>
      <c r="M6" s="112">
        <f>K6</f>
        <v>211.868952380952</v>
      </c>
      <c r="N6" s="112">
        <f>L6</f>
        <v>2.59961904761905</v>
      </c>
      <c r="O6" s="112">
        <f>M6</f>
        <v>211.868952380952</v>
      </c>
      <c r="P6" s="112">
        <f>L6</f>
        <v>2.59961904761905</v>
      </c>
      <c r="Q6" s="118">
        <f>(20+33)/2</f>
        <v>26.5</v>
      </c>
      <c r="R6" s="119">
        <v>31.54</v>
      </c>
      <c r="S6">
        <v>1</v>
      </c>
      <c r="V6" s="52" t="s">
        <v>51</v>
      </c>
      <c r="W6" t="s">
        <v>103</v>
      </c>
      <c r="X6" s="52"/>
      <c r="Y6" s="52" t="s">
        <v>106</v>
      </c>
      <c r="Z6" s="52" t="s">
        <v>107</v>
      </c>
      <c r="AA6" s="52"/>
      <c r="AB6" s="52"/>
      <c r="AC6" s="52"/>
      <c r="AN6">
        <f t="shared" si="0"/>
        <v>0.096</v>
      </c>
      <c r="AO6">
        <f t="shared" si="0"/>
        <v>0.326</v>
      </c>
      <c r="AP6">
        <f t="shared" si="0"/>
        <v>0.578</v>
      </c>
    </row>
    <row r="7" spans="3:42">
      <c r="C7" t="s">
        <v>108</v>
      </c>
      <c r="D7" t="s">
        <v>104</v>
      </c>
      <c r="F7" t="s">
        <v>105</v>
      </c>
      <c r="G7" s="40">
        <v>2021</v>
      </c>
      <c r="H7" s="103">
        <v>0.78</v>
      </c>
      <c r="I7" s="103"/>
      <c r="J7" s="110"/>
      <c r="K7" s="112">
        <f>K6</f>
        <v>211.868952380952</v>
      </c>
      <c r="L7" s="112">
        <f t="shared" ref="L7:Q7" si="1">L6</f>
        <v>2.59961904761905</v>
      </c>
      <c r="M7" s="112">
        <f t="shared" ref="M7:M23" si="2">K7</f>
        <v>211.868952380952</v>
      </c>
      <c r="N7" s="112">
        <f t="shared" si="1"/>
        <v>2.59961904761905</v>
      </c>
      <c r="O7" s="112">
        <f t="shared" ref="O7:O23" si="3">M7</f>
        <v>211.868952380952</v>
      </c>
      <c r="P7" s="112">
        <f t="shared" si="1"/>
        <v>2.59961904761905</v>
      </c>
      <c r="Q7" s="118">
        <f t="shared" si="1"/>
        <v>26.5</v>
      </c>
      <c r="R7" s="119">
        <v>31.54</v>
      </c>
      <c r="S7">
        <v>1</v>
      </c>
      <c r="V7" s="52"/>
      <c r="W7" t="s">
        <v>108</v>
      </c>
      <c r="X7" s="52"/>
      <c r="Y7" s="52" t="s">
        <v>106</v>
      </c>
      <c r="Z7" s="52" t="s">
        <v>107</v>
      </c>
      <c r="AA7" s="52"/>
      <c r="AB7" s="52"/>
      <c r="AC7" s="52"/>
      <c r="AN7">
        <f t="shared" si="0"/>
        <v>0.096</v>
      </c>
      <c r="AO7">
        <f t="shared" si="0"/>
        <v>0.326</v>
      </c>
      <c r="AP7">
        <f t="shared" si="0"/>
        <v>0.578</v>
      </c>
    </row>
    <row r="8" spans="3:42">
      <c r="C8" t="s">
        <v>109</v>
      </c>
      <c r="D8" t="s">
        <v>104</v>
      </c>
      <c r="F8" t="s">
        <v>105</v>
      </c>
      <c r="G8" s="40">
        <v>2021</v>
      </c>
      <c r="H8" s="103">
        <v>0.85</v>
      </c>
      <c r="I8" s="103"/>
      <c r="J8" s="110"/>
      <c r="K8" s="112">
        <f>K7</f>
        <v>211.868952380952</v>
      </c>
      <c r="L8" s="112">
        <f>L7</f>
        <v>2.59961904761905</v>
      </c>
      <c r="M8" s="112">
        <f t="shared" si="2"/>
        <v>211.868952380952</v>
      </c>
      <c r="N8" s="112">
        <f>N7</f>
        <v>2.59961904761905</v>
      </c>
      <c r="O8" s="112">
        <f t="shared" si="3"/>
        <v>211.868952380952</v>
      </c>
      <c r="P8" s="112">
        <f t="shared" ref="P8:P11" si="4">P7</f>
        <v>2.59961904761905</v>
      </c>
      <c r="Q8" s="118">
        <f>Q7</f>
        <v>26.5</v>
      </c>
      <c r="R8" s="119">
        <v>31.54</v>
      </c>
      <c r="S8">
        <v>1</v>
      </c>
      <c r="V8" s="52"/>
      <c r="W8" t="s">
        <v>109</v>
      </c>
      <c r="X8" s="52"/>
      <c r="Y8" s="52" t="s">
        <v>106</v>
      </c>
      <c r="Z8" s="52" t="s">
        <v>107</v>
      </c>
      <c r="AA8" s="52"/>
      <c r="AB8" s="52"/>
      <c r="AC8" s="52"/>
      <c r="AN8">
        <f t="shared" si="0"/>
        <v>0.096</v>
      </c>
      <c r="AO8">
        <f t="shared" si="0"/>
        <v>0.326</v>
      </c>
      <c r="AP8">
        <f t="shared" si="0"/>
        <v>0.578</v>
      </c>
    </row>
    <row r="9" spans="3:29">
      <c r="C9" t="s">
        <v>110</v>
      </c>
      <c r="D9" t="s">
        <v>111</v>
      </c>
      <c r="F9" t="s">
        <v>105</v>
      </c>
      <c r="G9" s="40">
        <v>2021</v>
      </c>
      <c r="H9" s="103">
        <v>0.62</v>
      </c>
      <c r="I9" s="103"/>
      <c r="J9" s="110"/>
      <c r="K9" s="113">
        <f>AY16</f>
        <v>573.73785</v>
      </c>
      <c r="L9" s="113">
        <f>60/10</f>
        <v>6</v>
      </c>
      <c r="M9" s="114">
        <f t="shared" si="2"/>
        <v>573.73785</v>
      </c>
      <c r="N9" s="113">
        <f>L9</f>
        <v>6</v>
      </c>
      <c r="O9" s="114">
        <f t="shared" si="3"/>
        <v>573.73785</v>
      </c>
      <c r="P9" s="113">
        <f>N9</f>
        <v>6</v>
      </c>
      <c r="Q9" s="120">
        <v>22</v>
      </c>
      <c r="R9" s="119">
        <v>31.54</v>
      </c>
      <c r="S9">
        <v>1</v>
      </c>
      <c r="V9" s="52"/>
      <c r="W9" t="s">
        <v>110</v>
      </c>
      <c r="X9" s="52"/>
      <c r="Y9" s="52" t="s">
        <v>106</v>
      </c>
      <c r="Z9" s="52" t="s">
        <v>107</v>
      </c>
      <c r="AA9" s="52"/>
      <c r="AB9" s="52"/>
      <c r="AC9" s="52"/>
    </row>
    <row r="10" spans="3:29">
      <c r="C10" t="s">
        <v>112</v>
      </c>
      <c r="D10" t="s">
        <v>111</v>
      </c>
      <c r="F10" t="s">
        <v>105</v>
      </c>
      <c r="G10" s="40">
        <v>2021</v>
      </c>
      <c r="H10" s="103">
        <v>0.8</v>
      </c>
      <c r="I10" s="103"/>
      <c r="J10" s="110"/>
      <c r="K10" s="114">
        <f t="shared" ref="K10:N10" si="5">K9</f>
        <v>573.73785</v>
      </c>
      <c r="L10" s="113">
        <f t="shared" si="5"/>
        <v>6</v>
      </c>
      <c r="M10" s="114">
        <f t="shared" si="2"/>
        <v>573.73785</v>
      </c>
      <c r="N10" s="113">
        <f t="shared" si="5"/>
        <v>6</v>
      </c>
      <c r="O10" s="114">
        <f t="shared" si="3"/>
        <v>573.73785</v>
      </c>
      <c r="P10" s="113">
        <f t="shared" si="4"/>
        <v>6</v>
      </c>
      <c r="Q10" s="120">
        <v>22</v>
      </c>
      <c r="R10" s="119">
        <v>31.54</v>
      </c>
      <c r="S10">
        <v>1</v>
      </c>
      <c r="V10" s="52"/>
      <c r="W10" t="s">
        <v>112</v>
      </c>
      <c r="X10" s="52"/>
      <c r="Y10" s="52" t="s">
        <v>106</v>
      </c>
      <c r="Z10" s="52" t="s">
        <v>107</v>
      </c>
      <c r="AA10" s="52"/>
      <c r="AB10" s="52"/>
      <c r="AC10" s="52"/>
    </row>
    <row r="11" spans="3:29">
      <c r="C11" t="s">
        <v>113</v>
      </c>
      <c r="D11" t="s">
        <v>111</v>
      </c>
      <c r="F11" t="s">
        <v>105</v>
      </c>
      <c r="G11" s="40">
        <v>2021</v>
      </c>
      <c r="H11" s="103">
        <v>0.9</v>
      </c>
      <c r="I11" s="103"/>
      <c r="J11" s="110"/>
      <c r="K11" s="114">
        <f t="shared" ref="K11:N11" si="6">K10</f>
        <v>573.73785</v>
      </c>
      <c r="L11" s="113">
        <f t="shared" si="6"/>
        <v>6</v>
      </c>
      <c r="M11" s="114">
        <f t="shared" si="2"/>
        <v>573.73785</v>
      </c>
      <c r="N11" s="113">
        <f t="shared" si="6"/>
        <v>6</v>
      </c>
      <c r="O11" s="114">
        <f t="shared" si="3"/>
        <v>573.73785</v>
      </c>
      <c r="P11" s="113">
        <f t="shared" si="4"/>
        <v>6</v>
      </c>
      <c r="Q11" s="120">
        <v>22</v>
      </c>
      <c r="R11" s="119">
        <v>31.54</v>
      </c>
      <c r="S11">
        <v>1</v>
      </c>
      <c r="V11" s="52"/>
      <c r="W11" t="s">
        <v>113</v>
      </c>
      <c r="X11" s="52"/>
      <c r="Y11" s="52" t="s">
        <v>106</v>
      </c>
      <c r="Z11" s="52" t="s">
        <v>107</v>
      </c>
      <c r="AA11" s="52"/>
      <c r="AB11" s="52"/>
      <c r="AC11" s="52"/>
    </row>
    <row r="12" spans="3:29">
      <c r="C12" t="s">
        <v>114</v>
      </c>
      <c r="D12" t="s">
        <v>115</v>
      </c>
      <c r="F12" t="s">
        <v>105</v>
      </c>
      <c r="G12" s="40">
        <v>2021</v>
      </c>
      <c r="H12" s="103">
        <v>1</v>
      </c>
      <c r="I12" s="103"/>
      <c r="J12" s="110"/>
      <c r="K12" s="113">
        <f>AY17</f>
        <v>655.7031</v>
      </c>
      <c r="L12" s="41">
        <v>5</v>
      </c>
      <c r="M12" s="41">
        <f t="shared" si="2"/>
        <v>655.7031</v>
      </c>
      <c r="N12" s="41">
        <f t="shared" ref="N12:N13" si="7">L12</f>
        <v>5</v>
      </c>
      <c r="O12" s="41">
        <f t="shared" si="3"/>
        <v>655.7031</v>
      </c>
      <c r="P12" s="41">
        <f t="shared" ref="P12:P13" si="8">N12</f>
        <v>5</v>
      </c>
      <c r="Q12" s="118">
        <f>(15+30)/2</f>
        <v>22.5</v>
      </c>
      <c r="R12" s="119">
        <v>31.54</v>
      </c>
      <c r="S12">
        <v>1</v>
      </c>
      <c r="V12" s="52"/>
      <c r="W12" t="s">
        <v>114</v>
      </c>
      <c r="X12" s="52"/>
      <c r="Y12" s="52" t="s">
        <v>106</v>
      </c>
      <c r="Z12" s="52" t="s">
        <v>107</v>
      </c>
      <c r="AA12" s="52"/>
      <c r="AB12" s="52"/>
      <c r="AC12" s="52"/>
    </row>
    <row r="13" spans="3:29">
      <c r="C13" t="s">
        <v>116</v>
      </c>
      <c r="D13" s="104" t="s">
        <v>115</v>
      </c>
      <c r="E13" s="104"/>
      <c r="F13" t="s">
        <v>105</v>
      </c>
      <c r="G13" s="40">
        <v>2021</v>
      </c>
      <c r="H13" s="103">
        <v>1</v>
      </c>
      <c r="I13" s="103"/>
      <c r="J13" s="110"/>
      <c r="K13" s="115">
        <f>AY19</f>
        <v>1727.75295</v>
      </c>
      <c r="L13" s="41">
        <f>150/10*1</f>
        <v>15</v>
      </c>
      <c r="M13" s="41">
        <f t="shared" si="2"/>
        <v>1727.75295</v>
      </c>
      <c r="N13" s="41">
        <f t="shared" si="7"/>
        <v>15</v>
      </c>
      <c r="O13" s="41">
        <f t="shared" si="3"/>
        <v>1727.75295</v>
      </c>
      <c r="P13" s="41">
        <f t="shared" si="8"/>
        <v>15</v>
      </c>
      <c r="Q13" s="118">
        <v>15.3</v>
      </c>
      <c r="R13" s="121">
        <v>31.54</v>
      </c>
      <c r="S13" s="122">
        <v>0.33</v>
      </c>
      <c r="V13" s="52"/>
      <c r="W13" t="s">
        <v>116</v>
      </c>
      <c r="X13" s="52"/>
      <c r="Y13" s="52" t="s">
        <v>106</v>
      </c>
      <c r="Z13" s="52" t="s">
        <v>107</v>
      </c>
      <c r="AA13" s="52"/>
      <c r="AB13" s="52"/>
      <c r="AC13" s="52"/>
    </row>
    <row r="14" spans="4:41">
      <c r="D14" s="105" t="str">
        <f>[3]COMM!$E$19</f>
        <v>RSDAHT</v>
      </c>
      <c r="H14" s="103"/>
      <c r="I14" s="103"/>
      <c r="K14" s="114"/>
      <c r="L14" s="114"/>
      <c r="M14" s="114"/>
      <c r="N14" s="114"/>
      <c r="O14" s="114"/>
      <c r="P14" s="114"/>
      <c r="Q14" s="120"/>
      <c r="R14" s="119">
        <v>31.54</v>
      </c>
      <c r="S14" s="57">
        <f>1-S13</f>
        <v>0.67</v>
      </c>
      <c r="V14" s="52"/>
      <c r="W14" t="s">
        <v>49</v>
      </c>
      <c r="X14" s="52"/>
      <c r="Y14" s="52"/>
      <c r="Z14" s="52"/>
      <c r="AA14" s="52"/>
      <c r="AB14" s="52"/>
      <c r="AC14" s="52"/>
      <c r="AN14" s="128" t="s">
        <v>117</v>
      </c>
      <c r="AO14" s="128" t="s">
        <v>118</v>
      </c>
    </row>
    <row r="15" ht="29" spans="3:51">
      <c r="C15" t="s">
        <v>119</v>
      </c>
      <c r="D15" t="s">
        <v>120</v>
      </c>
      <c r="F15" t="s">
        <v>105</v>
      </c>
      <c r="G15" s="40">
        <v>2021</v>
      </c>
      <c r="H15" s="103">
        <v>0.5</v>
      </c>
      <c r="I15" s="103"/>
      <c r="K15" s="114">
        <f>K16</f>
        <v>308.4448</v>
      </c>
      <c r="L15" s="114">
        <f t="shared" ref="L15:Q15" si="9">L16</f>
        <v>21.1544</v>
      </c>
      <c r="M15" s="114">
        <f t="shared" si="9"/>
        <v>308.4448</v>
      </c>
      <c r="N15" s="114">
        <f t="shared" si="9"/>
        <v>21.1544</v>
      </c>
      <c r="O15" s="114">
        <f t="shared" si="9"/>
        <v>308.4448</v>
      </c>
      <c r="P15" s="114">
        <f t="shared" si="9"/>
        <v>21.1544</v>
      </c>
      <c r="Q15" s="113">
        <f t="shared" si="9"/>
        <v>19</v>
      </c>
      <c r="R15" s="119">
        <v>31.54</v>
      </c>
      <c r="S15">
        <v>1</v>
      </c>
      <c r="V15" s="52"/>
      <c r="W15" t="s">
        <v>119</v>
      </c>
      <c r="X15" s="52"/>
      <c r="Y15" s="52" t="s">
        <v>106</v>
      </c>
      <c r="Z15" s="52" t="s">
        <v>107</v>
      </c>
      <c r="AA15" s="52"/>
      <c r="AB15" s="52"/>
      <c r="AC15" s="52"/>
      <c r="AN15" s="129" t="s">
        <v>121</v>
      </c>
      <c r="AO15" s="129" t="s">
        <v>122</v>
      </c>
      <c r="AP15" s="129" t="s">
        <v>123</v>
      </c>
      <c r="AQ15" s="129" t="s">
        <v>124</v>
      </c>
      <c r="AR15" s="129" t="s">
        <v>125</v>
      </c>
      <c r="AS15" s="129" t="s">
        <v>126</v>
      </c>
      <c r="AT15" s="129" t="s">
        <v>127</v>
      </c>
      <c r="AX15" s="114" t="s">
        <v>128</v>
      </c>
      <c r="AY15" s="113" t="s">
        <v>129</v>
      </c>
    </row>
    <row r="16" spans="3:51">
      <c r="C16" t="s">
        <v>130</v>
      </c>
      <c r="D16" t="s">
        <v>131</v>
      </c>
      <c r="F16" t="s">
        <v>105</v>
      </c>
      <c r="G16" s="40">
        <v>2021</v>
      </c>
      <c r="H16" s="103">
        <v>0.5</v>
      </c>
      <c r="I16" s="103"/>
      <c r="K16" s="111">
        <f>4520/(50/3.412)*1</f>
        <v>308.4448</v>
      </c>
      <c r="L16" s="111">
        <f>310/(50/3.412)*1</f>
        <v>21.1544</v>
      </c>
      <c r="M16" s="111">
        <f>K16</f>
        <v>308.4448</v>
      </c>
      <c r="N16" s="111">
        <f>L16</f>
        <v>21.1544</v>
      </c>
      <c r="O16" s="111">
        <f>M16</f>
        <v>308.4448</v>
      </c>
      <c r="P16" s="111">
        <f>N16</f>
        <v>21.1544</v>
      </c>
      <c r="Q16" s="123">
        <v>19</v>
      </c>
      <c r="R16" s="119">
        <v>31.54</v>
      </c>
      <c r="S16">
        <v>1</v>
      </c>
      <c r="V16" s="52"/>
      <c r="W16" t="s">
        <v>130</v>
      </c>
      <c r="X16" s="52"/>
      <c r="Y16" s="52" t="s">
        <v>106</v>
      </c>
      <c r="Z16" s="52" t="s">
        <v>107</v>
      </c>
      <c r="AA16" s="52"/>
      <c r="AB16" s="52"/>
      <c r="AC16" s="52"/>
      <c r="AG16" s="130">
        <v>0.6</v>
      </c>
      <c r="AN16" s="131" t="s">
        <v>132</v>
      </c>
      <c r="AO16" s="135">
        <v>4500</v>
      </c>
      <c r="AP16" s="135">
        <v>6030</v>
      </c>
      <c r="AQ16" s="135">
        <v>4080</v>
      </c>
      <c r="AR16" s="135">
        <v>4850</v>
      </c>
      <c r="AS16" s="135">
        <v>3750</v>
      </c>
      <c r="AT16" s="135">
        <v>4170</v>
      </c>
      <c r="AX16">
        <f>AVERAGE(AO16:AP16)*AN3+AVERAGE(AQ16:AR16)*AO3+AVERAGE(AS16:AT16)*AP3</f>
        <v>4249.91</v>
      </c>
      <c r="AY16" s="113">
        <f>AX16/10*1.35</f>
        <v>573.73785</v>
      </c>
    </row>
    <row r="17" spans="3:51">
      <c r="C17" s="106" t="s">
        <v>133</v>
      </c>
      <c r="D17" s="106" t="s">
        <v>115</v>
      </c>
      <c r="E17" s="106"/>
      <c r="F17" t="s">
        <v>105</v>
      </c>
      <c r="G17" s="40">
        <v>2021</v>
      </c>
      <c r="H17" s="107">
        <v>0.75</v>
      </c>
      <c r="I17" s="116"/>
      <c r="K17" s="114">
        <f>AVERAGE(K16,K12)</f>
        <v>482.07395</v>
      </c>
      <c r="L17" s="114">
        <f>AVERAGE(L16,L12)</f>
        <v>13.0772</v>
      </c>
      <c r="M17" s="114">
        <f t="shared" si="2"/>
        <v>482.07395</v>
      </c>
      <c r="N17" s="114">
        <f>L17</f>
        <v>13.0772</v>
      </c>
      <c r="O17" s="114">
        <f t="shared" si="3"/>
        <v>482.07395</v>
      </c>
      <c r="P17" s="114">
        <f>N17</f>
        <v>13.0772</v>
      </c>
      <c r="Q17" s="118">
        <f>AVERAGE(Q16,Q12)</f>
        <v>20.75</v>
      </c>
      <c r="R17" s="119">
        <v>31.54</v>
      </c>
      <c r="S17" s="124">
        <f>'[7]TechHeat-RES-SD'!$I$161</f>
        <v>0.609756097560976</v>
      </c>
      <c r="V17" s="52"/>
      <c r="W17" s="106" t="s">
        <v>133</v>
      </c>
      <c r="X17" s="52"/>
      <c r="Y17" s="52" t="s">
        <v>106</v>
      </c>
      <c r="Z17" s="52" t="s">
        <v>107</v>
      </c>
      <c r="AA17" s="52"/>
      <c r="AB17" s="52"/>
      <c r="AC17" s="52"/>
      <c r="AG17" s="130">
        <v>0.78</v>
      </c>
      <c r="AN17" s="131" t="s">
        <v>134</v>
      </c>
      <c r="AO17" s="135">
        <v>4990</v>
      </c>
      <c r="AP17" s="135">
        <v>4990</v>
      </c>
      <c r="AQ17" s="135">
        <v>4990</v>
      </c>
      <c r="AR17" s="135">
        <v>4990</v>
      </c>
      <c r="AS17" s="135">
        <v>4760</v>
      </c>
      <c r="AT17" s="135">
        <v>4760</v>
      </c>
      <c r="AX17">
        <f>AVERAGE(AO17:AP17)*AN4+AVERAGE(AQ17:AR17)*AO4+AVERAGE(AS17:AT17)*AP4</f>
        <v>4857.06</v>
      </c>
      <c r="AY17" s="113">
        <f>AX17/10*1.35</f>
        <v>655.7031</v>
      </c>
    </row>
    <row r="18" ht="43.5" spans="4:51">
      <c r="D18" s="106" t="s">
        <v>131</v>
      </c>
      <c r="E18" s="106"/>
      <c r="H18" s="107"/>
      <c r="I18" s="116"/>
      <c r="K18" s="114"/>
      <c r="L18" s="2"/>
      <c r="M18" s="114"/>
      <c r="N18" s="2"/>
      <c r="O18" s="114"/>
      <c r="P18" s="2"/>
      <c r="Q18" s="120"/>
      <c r="R18" s="119"/>
      <c r="S18" s="124">
        <f>1-S17</f>
        <v>0.390243902439024</v>
      </c>
      <c r="V18" s="52"/>
      <c r="W18" t="s">
        <v>49</v>
      </c>
      <c r="X18" s="52"/>
      <c r="Y18" s="52"/>
      <c r="Z18" s="52"/>
      <c r="AA18" s="52"/>
      <c r="AB18" s="52"/>
      <c r="AC18" s="52"/>
      <c r="AG18" s="130">
        <v>0.85</v>
      </c>
      <c r="AN18" s="132" t="s">
        <v>135</v>
      </c>
      <c r="AO18" s="135">
        <v>7570</v>
      </c>
      <c r="AP18" s="135">
        <v>8180</v>
      </c>
      <c r="AQ18" s="135">
        <v>6200</v>
      </c>
      <c r="AR18" s="135">
        <v>6200</v>
      </c>
      <c r="AS18" s="135">
        <v>5760</v>
      </c>
      <c r="AT18" s="135">
        <v>5760</v>
      </c>
      <c r="AX18">
        <f>AVERAGE(AO18:AP18)*AN5+AVERAGE(AQ18:AR18)*AO5+AVERAGE(AS18:AT18)*AP5</f>
        <v>6106.48</v>
      </c>
      <c r="AY18" s="113">
        <f>AX18/10*1.35</f>
        <v>824.3748</v>
      </c>
    </row>
    <row r="19" ht="43.5" spans="3:51">
      <c r="C19" s="106" t="s">
        <v>136</v>
      </c>
      <c r="D19" s="106" t="s">
        <v>104</v>
      </c>
      <c r="E19" s="106"/>
      <c r="F19" t="s">
        <v>105</v>
      </c>
      <c r="G19" s="40">
        <v>2021</v>
      </c>
      <c r="H19" s="107">
        <v>0.675</v>
      </c>
      <c r="I19" s="116"/>
      <c r="K19" s="114">
        <f>AVERAGE(K6,K16)</f>
        <v>260.156876190476</v>
      </c>
      <c r="L19" s="114">
        <f>AVERAGE(L6,L16)</f>
        <v>11.8770095238095</v>
      </c>
      <c r="M19" s="114">
        <f t="shared" si="2"/>
        <v>260.156876190476</v>
      </c>
      <c r="N19" s="114">
        <f>L19</f>
        <v>11.8770095238095</v>
      </c>
      <c r="O19" s="114">
        <f t="shared" si="3"/>
        <v>260.156876190476</v>
      </c>
      <c r="P19" s="114">
        <f>N19</f>
        <v>11.8770095238095</v>
      </c>
      <c r="Q19" s="118">
        <f>AVERAGE(Q6,Q16)</f>
        <v>22.75</v>
      </c>
      <c r="R19" s="119">
        <v>31.54</v>
      </c>
      <c r="S19" s="124">
        <f>'[7]TechHeat-RES-SD'!$I$163</f>
        <v>0.238095238095238</v>
      </c>
      <c r="V19" s="52"/>
      <c r="W19" s="106" t="s">
        <v>136</v>
      </c>
      <c r="X19" s="52"/>
      <c r="Y19" s="52" t="s">
        <v>106</v>
      </c>
      <c r="Z19" s="52" t="s">
        <v>107</v>
      </c>
      <c r="AA19" s="52"/>
      <c r="AB19" s="52"/>
      <c r="AC19" s="52"/>
      <c r="AG19" s="130">
        <v>0.62</v>
      </c>
      <c r="AN19" s="131" t="s">
        <v>137</v>
      </c>
      <c r="AO19" s="135">
        <v>14840</v>
      </c>
      <c r="AP19" s="135">
        <v>19880</v>
      </c>
      <c r="AQ19" s="135">
        <v>12870</v>
      </c>
      <c r="AR19" s="135">
        <v>13260</v>
      </c>
      <c r="AS19" s="135">
        <v>11890</v>
      </c>
      <c r="AT19" s="135">
        <v>11890</v>
      </c>
      <c r="AX19">
        <f>AVERAGE(AO19:AP19)*AN6+AVERAGE(AQ19:AR19)*AO6+AVERAGE(AS19:AT19)*AP6</f>
        <v>12798.17</v>
      </c>
      <c r="AY19" s="113">
        <f>AX19/10*1.35</f>
        <v>1727.75295</v>
      </c>
    </row>
    <row r="20" ht="29" spans="4:51">
      <c r="D20" s="106" t="s">
        <v>131</v>
      </c>
      <c r="E20" s="106"/>
      <c r="H20" s="107"/>
      <c r="I20" s="116"/>
      <c r="K20" s="114"/>
      <c r="L20" s="2"/>
      <c r="M20" s="114"/>
      <c r="N20" s="2"/>
      <c r="O20" s="114"/>
      <c r="P20" s="2"/>
      <c r="Q20" s="120"/>
      <c r="R20" s="119"/>
      <c r="S20" s="124">
        <f>1-S19</f>
        <v>0.761904761904762</v>
      </c>
      <c r="V20" s="52"/>
      <c r="W20" t="s">
        <v>49</v>
      </c>
      <c r="X20" s="52"/>
      <c r="Y20" s="52"/>
      <c r="Z20" s="52"/>
      <c r="AA20" s="52"/>
      <c r="AB20" s="52"/>
      <c r="AC20" s="52"/>
      <c r="AG20" s="130">
        <v>0.8</v>
      </c>
      <c r="AN20" s="132" t="s">
        <v>138</v>
      </c>
      <c r="AO20" s="136">
        <v>880</v>
      </c>
      <c r="AP20" s="135">
        <v>1810</v>
      </c>
      <c r="AQ20" s="136">
        <v>620</v>
      </c>
      <c r="AR20" s="135">
        <v>1090</v>
      </c>
      <c r="AS20" s="136">
        <v>420</v>
      </c>
      <c r="AT20" s="136">
        <v>680</v>
      </c>
      <c r="AX20">
        <f>AVERAGE(AO20:AP20)*AN7+AVERAGE(AQ20:AR20)*AO7+AVERAGE(AS20:AT20)*AP7</f>
        <v>725.75</v>
      </c>
      <c r="AY20" s="113">
        <f>AX20/10*1.35</f>
        <v>97.97625</v>
      </c>
    </row>
    <row r="21" spans="3:46">
      <c r="C21" s="106" t="s">
        <v>139</v>
      </c>
      <c r="D21" s="106" t="s">
        <v>115</v>
      </c>
      <c r="E21" s="106"/>
      <c r="F21" t="s">
        <v>105</v>
      </c>
      <c r="G21" s="40">
        <v>2021</v>
      </c>
      <c r="H21" s="107">
        <v>0.9</v>
      </c>
      <c r="I21" s="116"/>
      <c r="K21" s="114">
        <f>AVERAGE(K12,K11)</f>
        <v>614.720475</v>
      </c>
      <c r="L21" s="114">
        <f>AVERAGE(L12,L11)</f>
        <v>5.5</v>
      </c>
      <c r="M21" s="114">
        <f t="shared" si="2"/>
        <v>614.720475</v>
      </c>
      <c r="N21" s="114">
        <f>L21</f>
        <v>5.5</v>
      </c>
      <c r="O21" s="114">
        <f t="shared" si="3"/>
        <v>614.720475</v>
      </c>
      <c r="P21" s="114">
        <f>N21</f>
        <v>5.5</v>
      </c>
      <c r="Q21" s="120">
        <f>AVERAGE(Q9,Q12)</f>
        <v>22.25</v>
      </c>
      <c r="R21" s="119">
        <v>31.54</v>
      </c>
      <c r="S21" s="124">
        <f>'[7]TechHeat-RES-SD'!$I$165</f>
        <v>0.320512820512821</v>
      </c>
      <c r="V21" s="52"/>
      <c r="W21" s="106" t="s">
        <v>139</v>
      </c>
      <c r="X21" s="52"/>
      <c r="Y21" s="52" t="s">
        <v>106</v>
      </c>
      <c r="Z21" s="52" t="s">
        <v>107</v>
      </c>
      <c r="AA21" s="52"/>
      <c r="AB21" s="52"/>
      <c r="AC21" s="52"/>
      <c r="AG21" s="130">
        <v>0.9</v>
      </c>
      <c r="AN21" s="132" t="s">
        <v>140</v>
      </c>
      <c r="AO21" s="135">
        <v>3400</v>
      </c>
      <c r="AP21" s="135">
        <v>3400</v>
      </c>
      <c r="AQ21" s="136" t="s">
        <v>141</v>
      </c>
      <c r="AR21" s="136" t="s">
        <v>141</v>
      </c>
      <c r="AS21" s="136" t="s">
        <v>141</v>
      </c>
      <c r="AT21" s="136" t="s">
        <v>141</v>
      </c>
    </row>
    <row r="22" spans="4:33">
      <c r="D22" s="106" t="s">
        <v>111</v>
      </c>
      <c r="E22" s="106"/>
      <c r="H22" s="107"/>
      <c r="I22" s="116"/>
      <c r="K22" s="114"/>
      <c r="L22" s="2"/>
      <c r="M22" s="114"/>
      <c r="N22" s="2"/>
      <c r="O22" s="114"/>
      <c r="P22" s="2"/>
      <c r="Q22" s="120"/>
      <c r="R22" s="119"/>
      <c r="S22" s="124">
        <f>1-S21</f>
        <v>0.679487179487179</v>
      </c>
      <c r="V22" s="52"/>
      <c r="W22" t="s">
        <v>49</v>
      </c>
      <c r="X22" s="52"/>
      <c r="Y22" s="52"/>
      <c r="Z22" s="52"/>
      <c r="AA22" s="52"/>
      <c r="AB22" s="52"/>
      <c r="AC22" s="52"/>
      <c r="AG22" s="130">
        <v>1</v>
      </c>
    </row>
    <row r="23" spans="3:33">
      <c r="C23" s="106" t="s">
        <v>142</v>
      </c>
      <c r="D23" s="106" t="s">
        <v>115</v>
      </c>
      <c r="E23" s="106"/>
      <c r="F23" t="s">
        <v>105</v>
      </c>
      <c r="G23" s="40">
        <v>2021</v>
      </c>
      <c r="H23" s="107">
        <v>0.89</v>
      </c>
      <c r="I23" s="116"/>
      <c r="K23" s="114">
        <f>AVERAGE(K6,K12)</f>
        <v>433.786026190476</v>
      </c>
      <c r="L23" s="114">
        <f>AVERAGE(L6,L12)</f>
        <v>3.79980952380952</v>
      </c>
      <c r="M23" s="114">
        <f t="shared" si="2"/>
        <v>433.786026190476</v>
      </c>
      <c r="N23" s="114">
        <f>L23</f>
        <v>3.79980952380952</v>
      </c>
      <c r="O23" s="114">
        <f t="shared" si="3"/>
        <v>433.786026190476</v>
      </c>
      <c r="P23" s="114">
        <f>N23</f>
        <v>3.79980952380952</v>
      </c>
      <c r="Q23" s="118">
        <f>AVERAGE(Q6,Q12)</f>
        <v>24.5</v>
      </c>
      <c r="R23" s="119">
        <v>31.54</v>
      </c>
      <c r="S23" s="124">
        <f>'[7]TechHeat-RES-SD'!$I$167</f>
        <v>0.833333333333333</v>
      </c>
      <c r="V23" s="52"/>
      <c r="W23" s="106" t="s">
        <v>142</v>
      </c>
      <c r="X23" s="52"/>
      <c r="Y23" s="52" t="s">
        <v>106</v>
      </c>
      <c r="Z23" s="52" t="s">
        <v>107</v>
      </c>
      <c r="AA23" s="52"/>
      <c r="AB23" s="52"/>
      <c r="AC23" s="52"/>
      <c r="AG23" s="130">
        <v>1.9</v>
      </c>
    </row>
    <row r="24" spans="4:33">
      <c r="D24" s="106" t="s">
        <v>104</v>
      </c>
      <c r="E24" s="106"/>
      <c r="K24" s="114"/>
      <c r="M24" s="114"/>
      <c r="O24" s="114"/>
      <c r="P24" s="2"/>
      <c r="Q24" s="41"/>
      <c r="S24" s="124">
        <f>1-S23</f>
        <v>0.166666666666667</v>
      </c>
      <c r="V24" s="52"/>
      <c r="W24" t="s">
        <v>49</v>
      </c>
      <c r="X24" s="52"/>
      <c r="Y24" s="52"/>
      <c r="Z24" s="52"/>
      <c r="AA24" s="52"/>
      <c r="AB24" s="52"/>
      <c r="AC24" s="52"/>
      <c r="AG24" s="130">
        <v>0.5</v>
      </c>
    </row>
    <row r="25" spans="3:33">
      <c r="C25" t="s">
        <v>143</v>
      </c>
      <c r="D25" t="s">
        <v>104</v>
      </c>
      <c r="F25" t="s">
        <v>144</v>
      </c>
      <c r="G25" s="40">
        <v>2021</v>
      </c>
      <c r="H25" s="103">
        <v>0.6</v>
      </c>
      <c r="I25" s="103"/>
      <c r="K25" s="61">
        <f t="shared" ref="K25:Q25" si="10">K6</f>
        <v>211.868952380952</v>
      </c>
      <c r="L25" s="61">
        <f t="shared" si="10"/>
        <v>2.59961904761905</v>
      </c>
      <c r="M25" s="61">
        <f t="shared" si="10"/>
        <v>211.868952380952</v>
      </c>
      <c r="N25" s="61">
        <f t="shared" si="10"/>
        <v>2.59961904761905</v>
      </c>
      <c r="O25" s="61">
        <f t="shared" si="10"/>
        <v>211.868952380952</v>
      </c>
      <c r="P25" s="61">
        <f t="shared" si="10"/>
        <v>2.59961904761905</v>
      </c>
      <c r="Q25" s="118">
        <f t="shared" si="10"/>
        <v>26.5</v>
      </c>
      <c r="R25">
        <v>31.54</v>
      </c>
      <c r="S25">
        <v>1</v>
      </c>
      <c r="V25" s="52"/>
      <c r="W25" t="s">
        <v>143</v>
      </c>
      <c r="X25" s="52"/>
      <c r="Y25" s="52" t="s">
        <v>106</v>
      </c>
      <c r="Z25" s="52" t="s">
        <v>107</v>
      </c>
      <c r="AA25" s="52"/>
      <c r="AB25" s="52"/>
      <c r="AC25" s="52"/>
      <c r="AG25" s="130">
        <v>0.5</v>
      </c>
    </row>
    <row r="26" spans="3:33">
      <c r="C26" t="s">
        <v>145</v>
      </c>
      <c r="D26" t="s">
        <v>104</v>
      </c>
      <c r="F26" t="s">
        <v>144</v>
      </c>
      <c r="G26" s="40">
        <v>2021</v>
      </c>
      <c r="H26" s="103">
        <v>0.78</v>
      </c>
      <c r="I26" s="103"/>
      <c r="K26" s="61">
        <f t="shared" ref="K26:K32" si="11">K7</f>
        <v>211.868952380952</v>
      </c>
      <c r="L26" s="61">
        <f t="shared" ref="L26:L32" si="12">L7</f>
        <v>2.59961904761905</v>
      </c>
      <c r="M26" s="61">
        <f t="shared" ref="M26:M32" si="13">M7</f>
        <v>211.868952380952</v>
      </c>
      <c r="N26" s="61">
        <f t="shared" ref="N26:N32" si="14">N7</f>
        <v>2.59961904761905</v>
      </c>
      <c r="O26" s="61">
        <f t="shared" ref="O26:O32" si="15">O7</f>
        <v>211.868952380952</v>
      </c>
      <c r="P26" s="61">
        <f t="shared" ref="P26:Q32" si="16">P7</f>
        <v>2.59961904761905</v>
      </c>
      <c r="Q26" s="118">
        <f t="shared" si="16"/>
        <v>26.5</v>
      </c>
      <c r="R26">
        <v>31.54</v>
      </c>
      <c r="S26">
        <v>1</v>
      </c>
      <c r="V26" s="52"/>
      <c r="W26" t="s">
        <v>145</v>
      </c>
      <c r="X26" s="52"/>
      <c r="Y26" s="52" t="s">
        <v>106</v>
      </c>
      <c r="Z26" s="52" t="s">
        <v>107</v>
      </c>
      <c r="AA26" s="52"/>
      <c r="AB26" s="52"/>
      <c r="AC26" s="52"/>
      <c r="AG26" s="133">
        <v>0.75</v>
      </c>
    </row>
    <row r="27" spans="3:33">
      <c r="C27" t="s">
        <v>146</v>
      </c>
      <c r="D27" t="s">
        <v>104</v>
      </c>
      <c r="F27" t="s">
        <v>144</v>
      </c>
      <c r="G27" s="40">
        <v>2021</v>
      </c>
      <c r="H27" s="103">
        <v>0.85</v>
      </c>
      <c r="I27" s="103"/>
      <c r="K27" s="61">
        <f t="shared" si="11"/>
        <v>211.868952380952</v>
      </c>
      <c r="L27" s="61">
        <f t="shared" si="12"/>
        <v>2.59961904761905</v>
      </c>
      <c r="M27" s="61">
        <f t="shared" si="13"/>
        <v>211.868952380952</v>
      </c>
      <c r="N27" s="61">
        <f t="shared" si="14"/>
        <v>2.59961904761905</v>
      </c>
      <c r="O27" s="61">
        <f t="shared" si="15"/>
        <v>211.868952380952</v>
      </c>
      <c r="P27" s="61">
        <f t="shared" si="16"/>
        <v>2.59961904761905</v>
      </c>
      <c r="Q27" s="118">
        <f t="shared" si="16"/>
        <v>26.5</v>
      </c>
      <c r="R27">
        <v>31.54</v>
      </c>
      <c r="S27">
        <v>1</v>
      </c>
      <c r="V27" s="52"/>
      <c r="W27" t="s">
        <v>146</v>
      </c>
      <c r="X27" s="52"/>
      <c r="Y27" s="52" t="s">
        <v>106</v>
      </c>
      <c r="Z27" s="52" t="s">
        <v>107</v>
      </c>
      <c r="AA27" s="52"/>
      <c r="AB27" s="52"/>
      <c r="AC27" s="52"/>
      <c r="AG27" s="133"/>
    </row>
    <row r="28" spans="3:33">
      <c r="C28" t="s">
        <v>147</v>
      </c>
      <c r="D28" t="s">
        <v>111</v>
      </c>
      <c r="F28" t="s">
        <v>144</v>
      </c>
      <c r="G28" s="40">
        <v>2021</v>
      </c>
      <c r="H28" s="103">
        <v>0.62</v>
      </c>
      <c r="I28" s="103"/>
      <c r="K28" s="61">
        <f t="shared" si="11"/>
        <v>573.73785</v>
      </c>
      <c r="L28" s="61">
        <f t="shared" si="12"/>
        <v>6</v>
      </c>
      <c r="M28" s="61">
        <f t="shared" si="13"/>
        <v>573.73785</v>
      </c>
      <c r="N28" s="61">
        <f t="shared" si="14"/>
        <v>6</v>
      </c>
      <c r="O28" s="61">
        <f t="shared" si="15"/>
        <v>573.73785</v>
      </c>
      <c r="P28" s="61">
        <f t="shared" si="16"/>
        <v>6</v>
      </c>
      <c r="Q28" s="118">
        <f t="shared" si="16"/>
        <v>22</v>
      </c>
      <c r="R28">
        <v>31.54</v>
      </c>
      <c r="S28">
        <v>1</v>
      </c>
      <c r="V28" s="52"/>
      <c r="W28" t="s">
        <v>147</v>
      </c>
      <c r="X28" s="52"/>
      <c r="Y28" s="52" t="s">
        <v>106</v>
      </c>
      <c r="Z28" s="52" t="s">
        <v>107</v>
      </c>
      <c r="AA28" s="52"/>
      <c r="AB28" s="52"/>
      <c r="AC28" s="52"/>
      <c r="AG28" s="133">
        <v>0.675</v>
      </c>
    </row>
    <row r="29" spans="3:33">
      <c r="C29" t="s">
        <v>148</v>
      </c>
      <c r="D29" t="s">
        <v>111</v>
      </c>
      <c r="F29" t="s">
        <v>144</v>
      </c>
      <c r="G29" s="40">
        <v>2021</v>
      </c>
      <c r="H29" s="103">
        <v>0.8</v>
      </c>
      <c r="I29" s="103"/>
      <c r="K29" s="61">
        <f t="shared" si="11"/>
        <v>573.73785</v>
      </c>
      <c r="L29" s="61">
        <f t="shared" si="12"/>
        <v>6</v>
      </c>
      <c r="M29" s="61">
        <f t="shared" si="13"/>
        <v>573.73785</v>
      </c>
      <c r="N29" s="61">
        <f t="shared" si="14"/>
        <v>6</v>
      </c>
      <c r="O29" s="61">
        <f t="shared" si="15"/>
        <v>573.73785</v>
      </c>
      <c r="P29" s="61">
        <f t="shared" si="16"/>
        <v>6</v>
      </c>
      <c r="Q29" s="118">
        <f t="shared" si="16"/>
        <v>22</v>
      </c>
      <c r="R29">
        <v>31.54</v>
      </c>
      <c r="S29">
        <v>1</v>
      </c>
      <c r="V29" s="52"/>
      <c r="W29" t="s">
        <v>148</v>
      </c>
      <c r="X29" s="52"/>
      <c r="Y29" s="52" t="s">
        <v>106</v>
      </c>
      <c r="Z29" s="52" t="s">
        <v>107</v>
      </c>
      <c r="AA29" s="52"/>
      <c r="AB29" s="52"/>
      <c r="AC29" s="52"/>
      <c r="AG29" s="133"/>
    </row>
    <row r="30" spans="3:33">
      <c r="C30" t="s">
        <v>149</v>
      </c>
      <c r="D30" t="s">
        <v>111</v>
      </c>
      <c r="F30" t="s">
        <v>144</v>
      </c>
      <c r="G30" s="40">
        <v>2021</v>
      </c>
      <c r="H30" s="103">
        <v>0.9</v>
      </c>
      <c r="I30" s="103"/>
      <c r="K30" s="61">
        <f t="shared" si="11"/>
        <v>573.73785</v>
      </c>
      <c r="L30" s="61">
        <f t="shared" si="12"/>
        <v>6</v>
      </c>
      <c r="M30" s="61">
        <f t="shared" si="13"/>
        <v>573.73785</v>
      </c>
      <c r="N30" s="61">
        <f t="shared" si="14"/>
        <v>6</v>
      </c>
      <c r="O30" s="61">
        <f t="shared" si="15"/>
        <v>573.73785</v>
      </c>
      <c r="P30" s="61">
        <f t="shared" si="16"/>
        <v>6</v>
      </c>
      <c r="Q30" s="118">
        <f t="shared" si="16"/>
        <v>22</v>
      </c>
      <c r="R30">
        <v>31.54</v>
      </c>
      <c r="S30">
        <v>1</v>
      </c>
      <c r="V30" s="52"/>
      <c r="W30" t="s">
        <v>149</v>
      </c>
      <c r="X30" s="52"/>
      <c r="Y30" s="52" t="s">
        <v>106</v>
      </c>
      <c r="Z30" s="52" t="s">
        <v>107</v>
      </c>
      <c r="AA30" s="52"/>
      <c r="AB30" s="52"/>
      <c r="AC30" s="52"/>
      <c r="AG30" s="133">
        <v>0.9</v>
      </c>
    </row>
    <row r="31" spans="3:33">
      <c r="C31" t="s">
        <v>150</v>
      </c>
      <c r="D31" t="s">
        <v>115</v>
      </c>
      <c r="F31" t="s">
        <v>144</v>
      </c>
      <c r="G31" s="40">
        <v>2021</v>
      </c>
      <c r="H31" s="103">
        <v>1</v>
      </c>
      <c r="I31" s="103"/>
      <c r="K31" s="61">
        <f t="shared" si="11"/>
        <v>655.7031</v>
      </c>
      <c r="L31" s="61">
        <f t="shared" si="12"/>
        <v>5</v>
      </c>
      <c r="M31" s="61">
        <f t="shared" si="13"/>
        <v>655.7031</v>
      </c>
      <c r="N31" s="61">
        <f t="shared" si="14"/>
        <v>5</v>
      </c>
      <c r="O31" s="61">
        <f t="shared" si="15"/>
        <v>655.7031</v>
      </c>
      <c r="P31" s="61">
        <f t="shared" si="16"/>
        <v>5</v>
      </c>
      <c r="Q31" s="118">
        <f t="shared" si="16"/>
        <v>22.5</v>
      </c>
      <c r="R31">
        <v>31.54</v>
      </c>
      <c r="S31">
        <v>1</v>
      </c>
      <c r="V31" s="52"/>
      <c r="W31" t="s">
        <v>150</v>
      </c>
      <c r="X31" s="52"/>
      <c r="Y31" s="52" t="s">
        <v>106</v>
      </c>
      <c r="Z31" s="52" t="s">
        <v>107</v>
      </c>
      <c r="AA31" s="52"/>
      <c r="AB31" s="52"/>
      <c r="AC31" s="52"/>
      <c r="AG31" s="133"/>
    </row>
    <row r="32" spans="3:33">
      <c r="C32" t="s">
        <v>151</v>
      </c>
      <c r="D32" s="104" t="s">
        <v>115</v>
      </c>
      <c r="E32" s="104"/>
      <c r="F32" s="101" t="s">
        <v>144</v>
      </c>
      <c r="G32" s="40">
        <v>2021</v>
      </c>
      <c r="H32" s="103">
        <v>1</v>
      </c>
      <c r="I32" s="103"/>
      <c r="K32" s="61">
        <f t="shared" si="11"/>
        <v>1727.75295</v>
      </c>
      <c r="L32" s="61">
        <f t="shared" si="12"/>
        <v>15</v>
      </c>
      <c r="M32" s="61">
        <f t="shared" si="13"/>
        <v>1727.75295</v>
      </c>
      <c r="N32" s="61">
        <f t="shared" si="14"/>
        <v>15</v>
      </c>
      <c r="O32" s="61">
        <f t="shared" si="15"/>
        <v>1727.75295</v>
      </c>
      <c r="P32" s="61">
        <f t="shared" si="16"/>
        <v>15</v>
      </c>
      <c r="Q32" s="118">
        <f t="shared" si="16"/>
        <v>15.3</v>
      </c>
      <c r="R32" s="101">
        <v>31.54</v>
      </c>
      <c r="S32" s="101">
        <v>0.33</v>
      </c>
      <c r="V32" s="52"/>
      <c r="W32" t="s">
        <v>151</v>
      </c>
      <c r="X32" s="52"/>
      <c r="Y32" s="52" t="s">
        <v>106</v>
      </c>
      <c r="Z32" s="52" t="s">
        <v>107</v>
      </c>
      <c r="AA32" s="52"/>
      <c r="AB32" s="52"/>
      <c r="AC32" s="52"/>
      <c r="AG32" s="133">
        <v>0.89</v>
      </c>
    </row>
    <row r="33" spans="4:33">
      <c r="D33" s="105" t="str">
        <f>[3]COMM!$E$19</f>
        <v>RSDAHT</v>
      </c>
      <c r="H33" s="103"/>
      <c r="I33" s="103"/>
      <c r="K33" s="114"/>
      <c r="L33" s="2"/>
      <c r="M33" s="114"/>
      <c r="N33" s="2"/>
      <c r="O33" s="114"/>
      <c r="P33" s="2"/>
      <c r="Q33" s="118"/>
      <c r="R33">
        <v>31.54</v>
      </c>
      <c r="V33" s="52"/>
      <c r="W33" t="s">
        <v>49</v>
      </c>
      <c r="X33" s="52"/>
      <c r="Y33" s="52"/>
      <c r="Z33" s="52"/>
      <c r="AA33" s="52"/>
      <c r="AB33" s="52"/>
      <c r="AC33" s="52"/>
      <c r="AG33" s="134"/>
    </row>
    <row r="34" spans="3:29">
      <c r="C34" t="s">
        <v>152</v>
      </c>
      <c r="D34" t="s">
        <v>120</v>
      </c>
      <c r="F34" t="s">
        <v>144</v>
      </c>
      <c r="G34" s="40">
        <v>2021</v>
      </c>
      <c r="H34" s="103">
        <v>0.5</v>
      </c>
      <c r="I34" s="103"/>
      <c r="K34" s="61">
        <f t="shared" ref="K34:K38" si="17">K15</f>
        <v>308.4448</v>
      </c>
      <c r="L34" s="61">
        <f t="shared" ref="L34:L38" si="18">L15</f>
        <v>21.1544</v>
      </c>
      <c r="M34" s="61">
        <f t="shared" ref="M34:M38" si="19">M15</f>
        <v>308.4448</v>
      </c>
      <c r="N34" s="61">
        <f t="shared" ref="N34:N38" si="20">N15</f>
        <v>21.1544</v>
      </c>
      <c r="O34" s="61">
        <f t="shared" ref="O34:O38" si="21">O15</f>
        <v>308.4448</v>
      </c>
      <c r="P34" s="61">
        <f t="shared" ref="P34:P38" si="22">P15</f>
        <v>21.1544</v>
      </c>
      <c r="Q34" s="118">
        <f t="shared" ref="Q34:Q42" si="23">Q15</f>
        <v>19</v>
      </c>
      <c r="R34">
        <v>31.54</v>
      </c>
      <c r="S34">
        <v>1</v>
      </c>
      <c r="V34" s="52"/>
      <c r="W34" t="s">
        <v>152</v>
      </c>
      <c r="X34" s="52"/>
      <c r="Y34" s="52" t="s">
        <v>106</v>
      </c>
      <c r="Z34" s="52" t="s">
        <v>107</v>
      </c>
      <c r="AA34" s="52"/>
      <c r="AB34" s="52"/>
      <c r="AC34" s="52"/>
    </row>
    <row r="35" spans="3:33">
      <c r="C35" t="s">
        <v>153</v>
      </c>
      <c r="D35" t="s">
        <v>131</v>
      </c>
      <c r="F35" t="s">
        <v>144</v>
      </c>
      <c r="G35" s="40">
        <v>2021</v>
      </c>
      <c r="H35" s="103">
        <v>0.5</v>
      </c>
      <c r="I35" s="103"/>
      <c r="K35" s="61">
        <f t="shared" si="17"/>
        <v>308.4448</v>
      </c>
      <c r="L35" s="61">
        <f t="shared" si="18"/>
        <v>21.1544</v>
      </c>
      <c r="M35" s="61">
        <f t="shared" si="19"/>
        <v>308.4448</v>
      </c>
      <c r="N35" s="61">
        <f t="shared" si="20"/>
        <v>21.1544</v>
      </c>
      <c r="O35" s="61">
        <f t="shared" si="21"/>
        <v>308.4448</v>
      </c>
      <c r="P35" s="61">
        <f t="shared" si="22"/>
        <v>21.1544</v>
      </c>
      <c r="Q35" s="118">
        <f t="shared" si="23"/>
        <v>19</v>
      </c>
      <c r="R35">
        <v>31.54</v>
      </c>
      <c r="S35">
        <v>1</v>
      </c>
      <c r="V35" s="52"/>
      <c r="W35" t="s">
        <v>153</v>
      </c>
      <c r="X35" s="52"/>
      <c r="Y35" s="52" t="s">
        <v>106</v>
      </c>
      <c r="Z35" s="52" t="s">
        <v>107</v>
      </c>
      <c r="AA35" s="52"/>
      <c r="AB35" s="52"/>
      <c r="AC35" s="52"/>
      <c r="AG35" s="130">
        <v>0.6</v>
      </c>
    </row>
    <row r="36" spans="3:33">
      <c r="C36" s="106" t="s">
        <v>154</v>
      </c>
      <c r="D36" s="106" t="s">
        <v>115</v>
      </c>
      <c r="E36" s="106"/>
      <c r="F36" t="s">
        <v>144</v>
      </c>
      <c r="G36" s="40">
        <v>2021</v>
      </c>
      <c r="H36" s="103">
        <v>0.75</v>
      </c>
      <c r="I36" s="103"/>
      <c r="K36" s="61">
        <f t="shared" si="17"/>
        <v>482.07395</v>
      </c>
      <c r="L36" s="61">
        <f t="shared" si="18"/>
        <v>13.0772</v>
      </c>
      <c r="M36" s="61">
        <f t="shared" si="19"/>
        <v>482.07395</v>
      </c>
      <c r="N36" s="61">
        <f t="shared" si="20"/>
        <v>13.0772</v>
      </c>
      <c r="O36" s="61">
        <f t="shared" si="21"/>
        <v>482.07395</v>
      </c>
      <c r="P36" s="61">
        <f t="shared" si="22"/>
        <v>13.0772</v>
      </c>
      <c r="Q36" s="118">
        <f t="shared" si="23"/>
        <v>20.75</v>
      </c>
      <c r="R36">
        <v>31.54</v>
      </c>
      <c r="S36" s="124">
        <f>'[7]TechHeat-RES-SD'!$I$161</f>
        <v>0.609756097560976</v>
      </c>
      <c r="V36" s="52"/>
      <c r="W36" s="106" t="s">
        <v>154</v>
      </c>
      <c r="X36" s="52"/>
      <c r="Y36" s="52" t="s">
        <v>106</v>
      </c>
      <c r="Z36" s="52" t="s">
        <v>107</v>
      </c>
      <c r="AA36" s="52"/>
      <c r="AB36" s="52"/>
      <c r="AC36" s="52"/>
      <c r="AG36" s="130">
        <v>0.78</v>
      </c>
    </row>
    <row r="37" spans="4:33">
      <c r="D37" s="106" t="s">
        <v>131</v>
      </c>
      <c r="E37" s="106"/>
      <c r="H37" s="103"/>
      <c r="I37" s="103"/>
      <c r="K37" s="114"/>
      <c r="M37" s="114"/>
      <c r="O37" s="114"/>
      <c r="P37" s="2"/>
      <c r="Q37" s="118"/>
      <c r="S37" s="124">
        <f t="shared" ref="S37:S41" si="24">1-S36</f>
        <v>0.390243902439024</v>
      </c>
      <c r="V37" s="52"/>
      <c r="W37" t="s">
        <v>49</v>
      </c>
      <c r="X37" s="52"/>
      <c r="Y37" s="52"/>
      <c r="Z37" s="52"/>
      <c r="AA37" s="52"/>
      <c r="AB37" s="52"/>
      <c r="AC37" s="52"/>
      <c r="AG37" s="130">
        <v>0.85</v>
      </c>
    </row>
    <row r="38" spans="3:33">
      <c r="C38" s="106" t="s">
        <v>155</v>
      </c>
      <c r="D38" s="106" t="s">
        <v>104</v>
      </c>
      <c r="E38" s="106"/>
      <c r="F38" t="s">
        <v>144</v>
      </c>
      <c r="G38" s="40">
        <v>2021</v>
      </c>
      <c r="H38" s="103">
        <v>0.675</v>
      </c>
      <c r="I38" s="103"/>
      <c r="K38" s="61">
        <f t="shared" si="17"/>
        <v>260.156876190476</v>
      </c>
      <c r="L38" s="61">
        <f t="shared" si="18"/>
        <v>11.8770095238095</v>
      </c>
      <c r="M38" s="61">
        <f t="shared" si="19"/>
        <v>260.156876190476</v>
      </c>
      <c r="N38" s="61">
        <f t="shared" si="20"/>
        <v>11.8770095238095</v>
      </c>
      <c r="O38" s="61">
        <f t="shared" si="21"/>
        <v>260.156876190476</v>
      </c>
      <c r="P38" s="61">
        <f t="shared" si="22"/>
        <v>11.8770095238095</v>
      </c>
      <c r="Q38" s="118">
        <f t="shared" si="23"/>
        <v>22.75</v>
      </c>
      <c r="R38">
        <v>31.54</v>
      </c>
      <c r="S38" s="124">
        <f>'[7]TechHeat-RES-SD'!$I$163</f>
        <v>0.238095238095238</v>
      </c>
      <c r="V38" s="52"/>
      <c r="W38" s="106" t="s">
        <v>155</v>
      </c>
      <c r="X38" s="52"/>
      <c r="Y38" s="52" t="s">
        <v>106</v>
      </c>
      <c r="Z38" s="52" t="s">
        <v>107</v>
      </c>
      <c r="AA38" s="52"/>
      <c r="AB38" s="52"/>
      <c r="AC38" s="52"/>
      <c r="AG38" s="130">
        <v>0.62</v>
      </c>
    </row>
    <row r="39" spans="4:33">
      <c r="D39" s="106" t="s">
        <v>131</v>
      </c>
      <c r="E39" s="106"/>
      <c r="H39" s="103"/>
      <c r="I39" s="103"/>
      <c r="K39" s="114"/>
      <c r="L39" s="2"/>
      <c r="M39" s="114"/>
      <c r="N39" s="2"/>
      <c r="O39" s="114"/>
      <c r="P39" s="2"/>
      <c r="Q39" s="118"/>
      <c r="S39" s="124">
        <f t="shared" si="24"/>
        <v>0.761904761904762</v>
      </c>
      <c r="V39" s="52"/>
      <c r="W39" t="s">
        <v>49</v>
      </c>
      <c r="X39" s="52"/>
      <c r="Y39" s="52"/>
      <c r="Z39" s="52"/>
      <c r="AA39" s="52"/>
      <c r="AB39" s="52"/>
      <c r="AC39" s="52"/>
      <c r="AG39" s="130">
        <v>0.8</v>
      </c>
    </row>
    <row r="40" spans="3:33">
      <c r="C40" s="106" t="s">
        <v>156</v>
      </c>
      <c r="D40" s="106" t="s">
        <v>115</v>
      </c>
      <c r="E40" s="106"/>
      <c r="F40" t="s">
        <v>144</v>
      </c>
      <c r="G40" s="40">
        <v>2021</v>
      </c>
      <c r="H40" s="103">
        <v>0.9</v>
      </c>
      <c r="I40" s="103"/>
      <c r="K40" s="61">
        <f t="shared" ref="K40:P40" si="25">K21</f>
        <v>614.720475</v>
      </c>
      <c r="L40" s="61">
        <f t="shared" si="25"/>
        <v>5.5</v>
      </c>
      <c r="M40" s="61">
        <f t="shared" si="25"/>
        <v>614.720475</v>
      </c>
      <c r="N40" s="61">
        <f t="shared" si="25"/>
        <v>5.5</v>
      </c>
      <c r="O40" s="61">
        <f t="shared" si="25"/>
        <v>614.720475</v>
      </c>
      <c r="P40" s="61">
        <f t="shared" si="25"/>
        <v>5.5</v>
      </c>
      <c r="Q40" s="118">
        <f t="shared" si="23"/>
        <v>22.25</v>
      </c>
      <c r="R40">
        <v>31.54</v>
      </c>
      <c r="S40" s="124">
        <f>'[7]TechHeat-RES-SD'!$I$165</f>
        <v>0.320512820512821</v>
      </c>
      <c r="V40" s="52"/>
      <c r="W40" s="106" t="s">
        <v>156</v>
      </c>
      <c r="X40" s="52"/>
      <c r="Y40" s="52" t="s">
        <v>106</v>
      </c>
      <c r="Z40" s="52" t="s">
        <v>107</v>
      </c>
      <c r="AA40" s="52"/>
      <c r="AB40" s="52"/>
      <c r="AC40" s="52"/>
      <c r="AG40" s="130">
        <v>0.9</v>
      </c>
    </row>
    <row r="41" spans="4:33">
      <c r="D41" s="106" t="s">
        <v>111</v>
      </c>
      <c r="E41" s="106"/>
      <c r="H41" s="103"/>
      <c r="I41" s="103"/>
      <c r="K41" s="114"/>
      <c r="L41" s="2"/>
      <c r="M41" s="114"/>
      <c r="N41" s="2"/>
      <c r="O41" s="114"/>
      <c r="P41" s="2"/>
      <c r="Q41" s="118"/>
      <c r="S41" s="124">
        <f t="shared" si="24"/>
        <v>0.679487179487179</v>
      </c>
      <c r="V41" s="52"/>
      <c r="W41" t="s">
        <v>49</v>
      </c>
      <c r="X41" s="52"/>
      <c r="Y41" s="52"/>
      <c r="Z41" s="52"/>
      <c r="AA41" s="52"/>
      <c r="AB41" s="52"/>
      <c r="AC41" s="52"/>
      <c r="AG41" s="130">
        <v>1</v>
      </c>
    </row>
    <row r="42" spans="3:33">
      <c r="C42" s="106" t="s">
        <v>157</v>
      </c>
      <c r="D42" s="106" t="s">
        <v>115</v>
      </c>
      <c r="E42" s="106"/>
      <c r="F42" t="s">
        <v>144</v>
      </c>
      <c r="G42" s="40">
        <v>2021</v>
      </c>
      <c r="H42" s="103">
        <v>0.89</v>
      </c>
      <c r="I42" s="103"/>
      <c r="K42" s="61">
        <f t="shared" ref="K42:P42" si="26">K23</f>
        <v>433.786026190476</v>
      </c>
      <c r="L42" s="61">
        <f t="shared" si="26"/>
        <v>3.79980952380952</v>
      </c>
      <c r="M42" s="61">
        <f t="shared" si="26"/>
        <v>433.786026190476</v>
      </c>
      <c r="N42" s="61">
        <f t="shared" si="26"/>
        <v>3.79980952380952</v>
      </c>
      <c r="O42" s="61">
        <f t="shared" si="26"/>
        <v>433.786026190476</v>
      </c>
      <c r="P42" s="61">
        <f t="shared" si="26"/>
        <v>3.79980952380952</v>
      </c>
      <c r="Q42" s="118">
        <f t="shared" si="23"/>
        <v>24.5</v>
      </c>
      <c r="R42">
        <v>31.54</v>
      </c>
      <c r="S42" s="124">
        <f>'[7]TechHeat-RES-SD'!$I$167</f>
        <v>0.833333333333333</v>
      </c>
      <c r="V42" s="52"/>
      <c r="W42" s="106" t="s">
        <v>157</v>
      </c>
      <c r="X42" s="52"/>
      <c r="Y42" s="52" t="s">
        <v>106</v>
      </c>
      <c r="Z42" s="52" t="s">
        <v>107</v>
      </c>
      <c r="AA42" s="52"/>
      <c r="AB42" s="52"/>
      <c r="AC42" s="52"/>
      <c r="AG42" s="130">
        <v>1.9</v>
      </c>
    </row>
    <row r="43" spans="4:33">
      <c r="D43" s="106" t="s">
        <v>104</v>
      </c>
      <c r="E43" s="106"/>
      <c r="K43" s="114"/>
      <c r="M43" s="114"/>
      <c r="O43" s="114"/>
      <c r="P43" s="2"/>
      <c r="Q43" s="41"/>
      <c r="S43" s="124">
        <f>1-S42</f>
        <v>0.166666666666667</v>
      </c>
      <c r="V43" s="52"/>
      <c r="W43" t="s">
        <v>49</v>
      </c>
      <c r="X43" s="52"/>
      <c r="Y43" s="52"/>
      <c r="Z43" s="52"/>
      <c r="AA43" s="52"/>
      <c r="AB43" s="52"/>
      <c r="AC43" s="52"/>
      <c r="AG43" s="130">
        <v>0.5</v>
      </c>
    </row>
    <row r="44" spans="3:33">
      <c r="C44" t="s">
        <v>158</v>
      </c>
      <c r="D44" t="s">
        <v>104</v>
      </c>
      <c r="F44" t="s">
        <v>159</v>
      </c>
      <c r="G44" s="40">
        <v>2021</v>
      </c>
      <c r="H44" s="41">
        <v>0.6</v>
      </c>
      <c r="K44" s="61">
        <f t="shared" ref="K44:Q44" si="27">K25</f>
        <v>211.868952380952</v>
      </c>
      <c r="L44" s="61">
        <f t="shared" si="27"/>
        <v>2.59961904761905</v>
      </c>
      <c r="M44" s="61">
        <f t="shared" si="27"/>
        <v>211.868952380952</v>
      </c>
      <c r="N44" s="61">
        <f t="shared" si="27"/>
        <v>2.59961904761905</v>
      </c>
      <c r="O44" s="61">
        <f t="shared" si="27"/>
        <v>211.868952380952</v>
      </c>
      <c r="P44" s="61">
        <f t="shared" si="27"/>
        <v>2.59961904761905</v>
      </c>
      <c r="Q44" s="118">
        <f t="shared" si="27"/>
        <v>26.5</v>
      </c>
      <c r="R44">
        <v>31.54</v>
      </c>
      <c r="S44">
        <v>1</v>
      </c>
      <c r="V44" s="52"/>
      <c r="W44" t="s">
        <v>158</v>
      </c>
      <c r="X44" s="52"/>
      <c r="Y44" s="52" t="s">
        <v>106</v>
      </c>
      <c r="Z44" s="52" t="s">
        <v>107</v>
      </c>
      <c r="AA44" s="52"/>
      <c r="AB44" s="52"/>
      <c r="AC44" s="52"/>
      <c r="AG44" s="130">
        <v>0.5</v>
      </c>
    </row>
    <row r="45" spans="3:33">
      <c r="C45" t="s">
        <v>160</v>
      </c>
      <c r="D45" t="s">
        <v>104</v>
      </c>
      <c r="F45" t="s">
        <v>159</v>
      </c>
      <c r="G45" s="40">
        <v>2021</v>
      </c>
      <c r="H45" s="41">
        <v>0.78</v>
      </c>
      <c r="K45" s="61">
        <f t="shared" ref="K45:Q45" si="28">K26</f>
        <v>211.868952380952</v>
      </c>
      <c r="L45" s="61">
        <f t="shared" si="28"/>
        <v>2.59961904761905</v>
      </c>
      <c r="M45" s="61">
        <f t="shared" si="28"/>
        <v>211.868952380952</v>
      </c>
      <c r="N45" s="61">
        <f t="shared" si="28"/>
        <v>2.59961904761905</v>
      </c>
      <c r="O45" s="61">
        <f t="shared" si="28"/>
        <v>211.868952380952</v>
      </c>
      <c r="P45" s="61">
        <f t="shared" si="28"/>
        <v>2.59961904761905</v>
      </c>
      <c r="Q45" s="118">
        <f t="shared" si="28"/>
        <v>26.5</v>
      </c>
      <c r="R45">
        <v>31.54</v>
      </c>
      <c r="S45">
        <v>1</v>
      </c>
      <c r="V45" s="52"/>
      <c r="W45" t="s">
        <v>160</v>
      </c>
      <c r="X45" s="52"/>
      <c r="Y45" s="52" t="s">
        <v>106</v>
      </c>
      <c r="Z45" s="52" t="s">
        <v>107</v>
      </c>
      <c r="AA45" s="52"/>
      <c r="AB45" s="52"/>
      <c r="AC45" s="52"/>
      <c r="AG45" s="130">
        <v>0.75</v>
      </c>
    </row>
    <row r="46" spans="3:33">
      <c r="C46" t="s">
        <v>161</v>
      </c>
      <c r="D46" t="s">
        <v>104</v>
      </c>
      <c r="F46" t="s">
        <v>159</v>
      </c>
      <c r="G46" s="40">
        <v>2021</v>
      </c>
      <c r="H46" s="41">
        <v>0.85</v>
      </c>
      <c r="K46" s="61">
        <f t="shared" ref="K46:Q46" si="29">K27</f>
        <v>211.868952380952</v>
      </c>
      <c r="L46" s="61">
        <f t="shared" si="29"/>
        <v>2.59961904761905</v>
      </c>
      <c r="M46" s="61">
        <f t="shared" si="29"/>
        <v>211.868952380952</v>
      </c>
      <c r="N46" s="61">
        <f t="shared" si="29"/>
        <v>2.59961904761905</v>
      </c>
      <c r="O46" s="61">
        <f t="shared" si="29"/>
        <v>211.868952380952</v>
      </c>
      <c r="P46" s="61">
        <f t="shared" si="29"/>
        <v>2.59961904761905</v>
      </c>
      <c r="Q46" s="118">
        <f t="shared" si="29"/>
        <v>26.5</v>
      </c>
      <c r="R46">
        <v>31.54</v>
      </c>
      <c r="S46">
        <v>1</v>
      </c>
      <c r="V46" s="52"/>
      <c r="W46" t="s">
        <v>161</v>
      </c>
      <c r="X46" s="52"/>
      <c r="Y46" s="52" t="s">
        <v>106</v>
      </c>
      <c r="Z46" s="52" t="s">
        <v>107</v>
      </c>
      <c r="AA46" s="52"/>
      <c r="AB46" s="52"/>
      <c r="AC46" s="52"/>
      <c r="AG46" s="130"/>
    </row>
    <row r="47" spans="3:33">
      <c r="C47" t="s">
        <v>162</v>
      </c>
      <c r="D47" t="s">
        <v>111</v>
      </c>
      <c r="F47" t="s">
        <v>159</v>
      </c>
      <c r="G47" s="40">
        <v>2021</v>
      </c>
      <c r="H47" s="41">
        <v>0.62</v>
      </c>
      <c r="K47" s="61">
        <f t="shared" ref="K47:Q47" si="30">K28</f>
        <v>573.73785</v>
      </c>
      <c r="L47" s="61">
        <f t="shared" si="30"/>
        <v>6</v>
      </c>
      <c r="M47" s="61">
        <f t="shared" si="30"/>
        <v>573.73785</v>
      </c>
      <c r="N47" s="61">
        <f t="shared" si="30"/>
        <v>6</v>
      </c>
      <c r="O47" s="61">
        <f t="shared" si="30"/>
        <v>573.73785</v>
      </c>
      <c r="P47" s="61">
        <f t="shared" si="30"/>
        <v>6</v>
      </c>
      <c r="Q47" s="118">
        <f t="shared" si="30"/>
        <v>22</v>
      </c>
      <c r="R47">
        <v>31.54</v>
      </c>
      <c r="S47">
        <v>1</v>
      </c>
      <c r="V47" s="52"/>
      <c r="W47" t="s">
        <v>162</v>
      </c>
      <c r="X47" s="52"/>
      <c r="Y47" s="52" t="s">
        <v>106</v>
      </c>
      <c r="Z47" s="52" t="s">
        <v>107</v>
      </c>
      <c r="AA47" s="52"/>
      <c r="AB47" s="52"/>
      <c r="AC47" s="52"/>
      <c r="AG47" s="130">
        <v>0.675</v>
      </c>
    </row>
    <row r="48" spans="3:33">
      <c r="C48" t="s">
        <v>163</v>
      </c>
      <c r="D48" t="s">
        <v>111</v>
      </c>
      <c r="F48" t="s">
        <v>159</v>
      </c>
      <c r="G48" s="40">
        <v>2021</v>
      </c>
      <c r="H48" s="41">
        <v>0.8</v>
      </c>
      <c r="K48" s="61">
        <f t="shared" ref="K48:Q48" si="31">K29</f>
        <v>573.73785</v>
      </c>
      <c r="L48" s="61">
        <f t="shared" si="31"/>
        <v>6</v>
      </c>
      <c r="M48" s="61">
        <f t="shared" si="31"/>
        <v>573.73785</v>
      </c>
      <c r="N48" s="61">
        <f t="shared" si="31"/>
        <v>6</v>
      </c>
      <c r="O48" s="61">
        <f t="shared" si="31"/>
        <v>573.73785</v>
      </c>
      <c r="P48" s="61">
        <f t="shared" si="31"/>
        <v>6</v>
      </c>
      <c r="Q48" s="118">
        <f t="shared" si="31"/>
        <v>22</v>
      </c>
      <c r="R48">
        <v>31.54</v>
      </c>
      <c r="S48">
        <v>1</v>
      </c>
      <c r="V48" s="52"/>
      <c r="W48" t="s">
        <v>163</v>
      </c>
      <c r="X48" s="52"/>
      <c r="Y48" s="52" t="s">
        <v>106</v>
      </c>
      <c r="Z48" s="52" t="s">
        <v>107</v>
      </c>
      <c r="AA48" s="52"/>
      <c r="AB48" s="52"/>
      <c r="AC48" s="52"/>
      <c r="AG48" s="130"/>
    </row>
    <row r="49" spans="3:33">
      <c r="C49" t="s">
        <v>164</v>
      </c>
      <c r="D49" t="s">
        <v>111</v>
      </c>
      <c r="F49" t="s">
        <v>159</v>
      </c>
      <c r="G49" s="40">
        <v>2021</v>
      </c>
      <c r="H49" s="41">
        <v>0.9</v>
      </c>
      <c r="K49" s="61">
        <f t="shared" ref="K49:Q49" si="32">K30</f>
        <v>573.73785</v>
      </c>
      <c r="L49" s="61">
        <f t="shared" si="32"/>
        <v>6</v>
      </c>
      <c r="M49" s="61">
        <f t="shared" si="32"/>
        <v>573.73785</v>
      </c>
      <c r="N49" s="61">
        <f t="shared" si="32"/>
        <v>6</v>
      </c>
      <c r="O49" s="61">
        <f t="shared" si="32"/>
        <v>573.73785</v>
      </c>
      <c r="P49" s="61">
        <f t="shared" si="32"/>
        <v>6</v>
      </c>
      <c r="Q49" s="118">
        <f t="shared" si="32"/>
        <v>22</v>
      </c>
      <c r="R49">
        <v>31.54</v>
      </c>
      <c r="S49">
        <v>1</v>
      </c>
      <c r="V49" s="52"/>
      <c r="W49" t="s">
        <v>164</v>
      </c>
      <c r="X49" s="52"/>
      <c r="Y49" s="52" t="s">
        <v>106</v>
      </c>
      <c r="Z49" s="52" t="s">
        <v>107</v>
      </c>
      <c r="AA49" s="52"/>
      <c r="AB49" s="52"/>
      <c r="AC49" s="52"/>
      <c r="AG49" s="130">
        <v>0.9</v>
      </c>
    </row>
    <row r="50" spans="3:33">
      <c r="C50" t="s">
        <v>165</v>
      </c>
      <c r="D50" t="s">
        <v>115</v>
      </c>
      <c r="F50" t="s">
        <v>159</v>
      </c>
      <c r="G50" s="40">
        <v>2021</v>
      </c>
      <c r="H50" s="41">
        <v>1</v>
      </c>
      <c r="K50" s="61">
        <f t="shared" ref="K50:Q50" si="33">K31</f>
        <v>655.7031</v>
      </c>
      <c r="L50" s="61">
        <f t="shared" si="33"/>
        <v>5</v>
      </c>
      <c r="M50" s="61">
        <f t="shared" si="33"/>
        <v>655.7031</v>
      </c>
      <c r="N50" s="61">
        <f t="shared" si="33"/>
        <v>5</v>
      </c>
      <c r="O50" s="61">
        <f t="shared" si="33"/>
        <v>655.7031</v>
      </c>
      <c r="P50" s="61">
        <f t="shared" si="33"/>
        <v>5</v>
      </c>
      <c r="Q50" s="118">
        <f t="shared" si="33"/>
        <v>22.5</v>
      </c>
      <c r="R50">
        <v>31.54</v>
      </c>
      <c r="S50">
        <v>1</v>
      </c>
      <c r="V50" s="52"/>
      <c r="W50" t="s">
        <v>165</v>
      </c>
      <c r="X50" s="52"/>
      <c r="Y50" s="52" t="s">
        <v>106</v>
      </c>
      <c r="Z50" s="52" t="s">
        <v>107</v>
      </c>
      <c r="AA50" s="52"/>
      <c r="AB50" s="52"/>
      <c r="AC50" s="52"/>
      <c r="AG50" s="130"/>
    </row>
    <row r="51" spans="3:33">
      <c r="C51" t="s">
        <v>166</v>
      </c>
      <c r="D51" s="108" t="s">
        <v>115</v>
      </c>
      <c r="E51" s="108"/>
      <c r="F51" s="101" t="s">
        <v>159</v>
      </c>
      <c r="G51" s="40">
        <v>2021</v>
      </c>
      <c r="H51" s="41">
        <v>1</v>
      </c>
      <c r="K51" s="61">
        <f t="shared" ref="K51:Q51" si="34">K32</f>
        <v>1727.75295</v>
      </c>
      <c r="L51" s="61">
        <f t="shared" si="34"/>
        <v>15</v>
      </c>
      <c r="M51" s="61">
        <f t="shared" si="34"/>
        <v>1727.75295</v>
      </c>
      <c r="N51" s="61">
        <f t="shared" si="34"/>
        <v>15</v>
      </c>
      <c r="O51" s="61">
        <f t="shared" si="34"/>
        <v>1727.75295</v>
      </c>
      <c r="P51" s="61">
        <f t="shared" si="34"/>
        <v>15</v>
      </c>
      <c r="Q51" s="118">
        <f t="shared" si="34"/>
        <v>15.3</v>
      </c>
      <c r="R51" s="101">
        <v>31.54</v>
      </c>
      <c r="S51" s="125">
        <v>0.33</v>
      </c>
      <c r="V51" s="52"/>
      <c r="W51" t="s">
        <v>166</v>
      </c>
      <c r="X51" s="52"/>
      <c r="Y51" s="52" t="s">
        <v>106</v>
      </c>
      <c r="Z51" s="52" t="s">
        <v>107</v>
      </c>
      <c r="AA51" s="52"/>
      <c r="AB51" s="52"/>
      <c r="AC51" s="52"/>
      <c r="AG51" s="130">
        <v>0.89</v>
      </c>
    </row>
    <row r="52" spans="4:33">
      <c r="D52" s="105" t="str">
        <f>[3]COMM!$E$19</f>
        <v>RSDAHT</v>
      </c>
      <c r="K52" s="114"/>
      <c r="L52" s="2"/>
      <c r="M52" s="114"/>
      <c r="N52" s="2"/>
      <c r="O52" s="114"/>
      <c r="P52" s="2"/>
      <c r="Q52" s="118"/>
      <c r="R52">
        <v>31.54</v>
      </c>
      <c r="S52" s="84">
        <f>1-S51</f>
        <v>0.67</v>
      </c>
      <c r="V52" s="52"/>
      <c r="W52" t="s">
        <v>49</v>
      </c>
      <c r="X52" s="52"/>
      <c r="Y52" s="52"/>
      <c r="Z52" s="52"/>
      <c r="AA52" s="52"/>
      <c r="AB52" s="52"/>
      <c r="AC52" s="52"/>
      <c r="AG52" s="130"/>
    </row>
    <row r="53" spans="3:29">
      <c r="C53" t="s">
        <v>167</v>
      </c>
      <c r="D53" t="s">
        <v>120</v>
      </c>
      <c r="F53" t="s">
        <v>159</v>
      </c>
      <c r="G53" s="40">
        <v>2021</v>
      </c>
      <c r="H53" s="41">
        <v>0.5</v>
      </c>
      <c r="K53" s="61">
        <f t="shared" ref="K53:Q61" si="35">K34</f>
        <v>308.4448</v>
      </c>
      <c r="L53" s="61">
        <f t="shared" si="35"/>
        <v>21.1544</v>
      </c>
      <c r="M53" s="61">
        <f t="shared" si="35"/>
        <v>308.4448</v>
      </c>
      <c r="N53" s="61">
        <f t="shared" si="35"/>
        <v>21.1544</v>
      </c>
      <c r="O53" s="61">
        <f t="shared" si="35"/>
        <v>308.4448</v>
      </c>
      <c r="P53" s="61">
        <f t="shared" si="35"/>
        <v>21.1544</v>
      </c>
      <c r="Q53" s="118">
        <f t="shared" si="35"/>
        <v>19</v>
      </c>
      <c r="R53">
        <v>31.54</v>
      </c>
      <c r="S53">
        <v>1</v>
      </c>
      <c r="V53" s="52"/>
      <c r="W53" t="s">
        <v>167</v>
      </c>
      <c r="X53" s="52"/>
      <c r="Y53" s="52" t="s">
        <v>106</v>
      </c>
      <c r="Z53" s="52" t="s">
        <v>107</v>
      </c>
      <c r="AA53" s="52"/>
      <c r="AB53" s="52"/>
      <c r="AC53" s="52"/>
    </row>
    <row r="54" spans="3:33">
      <c r="C54" t="s">
        <v>168</v>
      </c>
      <c r="D54" t="s">
        <v>131</v>
      </c>
      <c r="F54" t="s">
        <v>159</v>
      </c>
      <c r="G54" s="40">
        <v>2021</v>
      </c>
      <c r="H54" s="41">
        <v>0.5</v>
      </c>
      <c r="K54" s="61">
        <f t="shared" ref="K54:P54" si="36">K35</f>
        <v>308.4448</v>
      </c>
      <c r="L54" s="61">
        <f t="shared" si="36"/>
        <v>21.1544</v>
      </c>
      <c r="M54" s="61">
        <f t="shared" si="36"/>
        <v>308.4448</v>
      </c>
      <c r="N54" s="61">
        <f t="shared" si="36"/>
        <v>21.1544</v>
      </c>
      <c r="O54" s="61">
        <f t="shared" si="36"/>
        <v>308.4448</v>
      </c>
      <c r="P54" s="61">
        <f t="shared" si="36"/>
        <v>21.1544</v>
      </c>
      <c r="Q54" s="118">
        <f t="shared" si="35"/>
        <v>19</v>
      </c>
      <c r="R54">
        <v>31.54</v>
      </c>
      <c r="S54">
        <v>1</v>
      </c>
      <c r="V54" s="52"/>
      <c r="W54" t="s">
        <v>168</v>
      </c>
      <c r="X54" s="52"/>
      <c r="Y54" s="52" t="s">
        <v>106</v>
      </c>
      <c r="Z54" s="52" t="s">
        <v>107</v>
      </c>
      <c r="AA54" s="52"/>
      <c r="AB54" s="52"/>
      <c r="AC54" s="52"/>
      <c r="AG54">
        <v>0.6</v>
      </c>
    </row>
    <row r="55" spans="3:33">
      <c r="C55" s="106" t="s">
        <v>169</v>
      </c>
      <c r="D55" s="106" t="s">
        <v>115</v>
      </c>
      <c r="E55" s="106"/>
      <c r="F55" t="s">
        <v>159</v>
      </c>
      <c r="G55" s="40">
        <v>2021</v>
      </c>
      <c r="H55" s="41">
        <v>0.75</v>
      </c>
      <c r="K55" s="61">
        <f t="shared" ref="K55:P55" si="37">K36</f>
        <v>482.07395</v>
      </c>
      <c r="L55" s="61">
        <f t="shared" si="37"/>
        <v>13.0772</v>
      </c>
      <c r="M55" s="61">
        <f t="shared" si="37"/>
        <v>482.07395</v>
      </c>
      <c r="N55" s="61">
        <f t="shared" si="37"/>
        <v>13.0772</v>
      </c>
      <c r="O55" s="61">
        <f t="shared" si="37"/>
        <v>482.07395</v>
      </c>
      <c r="P55" s="61">
        <f t="shared" si="37"/>
        <v>13.0772</v>
      </c>
      <c r="Q55" s="118">
        <f t="shared" si="35"/>
        <v>20.75</v>
      </c>
      <c r="R55">
        <v>31.54</v>
      </c>
      <c r="S55" s="124">
        <f>'[7]TechHeat-RES-SD'!$I$161</f>
        <v>0.609756097560976</v>
      </c>
      <c r="V55" s="52"/>
      <c r="W55" s="106" t="s">
        <v>169</v>
      </c>
      <c r="X55" s="52"/>
      <c r="Y55" s="52" t="s">
        <v>106</v>
      </c>
      <c r="Z55" s="52" t="s">
        <v>107</v>
      </c>
      <c r="AA55" s="52"/>
      <c r="AB55" s="52"/>
      <c r="AC55" s="52"/>
      <c r="AG55">
        <v>0.78</v>
      </c>
    </row>
    <row r="56" spans="4:33">
      <c r="D56" s="106" t="s">
        <v>131</v>
      </c>
      <c r="E56" s="106"/>
      <c r="K56" s="114"/>
      <c r="M56" s="114"/>
      <c r="O56" s="114"/>
      <c r="P56" s="2"/>
      <c r="Q56" s="118"/>
      <c r="S56" s="124">
        <f t="shared" ref="S56:S60" si="38">1-S55</f>
        <v>0.390243902439024</v>
      </c>
      <c r="V56" s="52"/>
      <c r="W56" t="s">
        <v>49</v>
      </c>
      <c r="X56" s="52"/>
      <c r="Y56" s="52"/>
      <c r="Z56" s="52"/>
      <c r="AA56" s="52"/>
      <c r="AB56" s="52"/>
      <c r="AC56" s="52"/>
      <c r="AG56">
        <v>0.85</v>
      </c>
    </row>
    <row r="57" spans="3:33">
      <c r="C57" s="106" t="s">
        <v>170</v>
      </c>
      <c r="D57" s="106" t="s">
        <v>104</v>
      </c>
      <c r="E57" s="106"/>
      <c r="F57" t="s">
        <v>159</v>
      </c>
      <c r="G57" s="40">
        <v>2021</v>
      </c>
      <c r="H57" s="41">
        <v>0.675</v>
      </c>
      <c r="K57" s="61">
        <f t="shared" ref="K57:P57" si="39">K38</f>
        <v>260.156876190476</v>
      </c>
      <c r="L57" s="61">
        <f t="shared" si="39"/>
        <v>11.8770095238095</v>
      </c>
      <c r="M57" s="61">
        <f t="shared" si="39"/>
        <v>260.156876190476</v>
      </c>
      <c r="N57" s="61">
        <f t="shared" si="39"/>
        <v>11.8770095238095</v>
      </c>
      <c r="O57" s="61">
        <f t="shared" si="39"/>
        <v>260.156876190476</v>
      </c>
      <c r="P57" s="61">
        <f t="shared" si="39"/>
        <v>11.8770095238095</v>
      </c>
      <c r="Q57" s="118">
        <f t="shared" si="35"/>
        <v>22.75</v>
      </c>
      <c r="R57">
        <v>31.54</v>
      </c>
      <c r="S57" s="124">
        <f>'[7]TechHeat-RES-SD'!$I$163</f>
        <v>0.238095238095238</v>
      </c>
      <c r="V57" s="52"/>
      <c r="W57" s="106" t="s">
        <v>170</v>
      </c>
      <c r="X57" s="52"/>
      <c r="Y57" s="52" t="s">
        <v>106</v>
      </c>
      <c r="Z57" s="52" t="s">
        <v>107</v>
      </c>
      <c r="AA57" s="52"/>
      <c r="AB57" s="52"/>
      <c r="AC57" s="52"/>
      <c r="AG57">
        <v>0.62</v>
      </c>
    </row>
    <row r="58" spans="4:33">
      <c r="D58" s="106" t="s">
        <v>131</v>
      </c>
      <c r="E58" s="106"/>
      <c r="K58" s="114"/>
      <c r="L58" s="2"/>
      <c r="M58" s="114"/>
      <c r="N58" s="2"/>
      <c r="O58" s="114"/>
      <c r="P58" s="2"/>
      <c r="Q58" s="118"/>
      <c r="S58" s="124">
        <f t="shared" si="38"/>
        <v>0.761904761904762</v>
      </c>
      <c r="V58" s="52"/>
      <c r="W58" t="s">
        <v>49</v>
      </c>
      <c r="X58" s="52"/>
      <c r="Y58" s="52"/>
      <c r="Z58" s="52"/>
      <c r="AA58" s="52"/>
      <c r="AB58" s="52"/>
      <c r="AC58" s="52"/>
      <c r="AG58">
        <v>0.8</v>
      </c>
    </row>
    <row r="59" spans="3:33">
      <c r="C59" s="106" t="s">
        <v>171</v>
      </c>
      <c r="D59" s="106" t="s">
        <v>115</v>
      </c>
      <c r="E59" s="106"/>
      <c r="F59" t="s">
        <v>159</v>
      </c>
      <c r="G59" s="40">
        <v>2021</v>
      </c>
      <c r="H59" s="41">
        <v>0.9</v>
      </c>
      <c r="K59" s="61">
        <f t="shared" ref="K59:P59" si="40">K40</f>
        <v>614.720475</v>
      </c>
      <c r="L59" s="61">
        <f t="shared" si="40"/>
        <v>5.5</v>
      </c>
      <c r="M59" s="61">
        <f t="shared" si="40"/>
        <v>614.720475</v>
      </c>
      <c r="N59" s="61">
        <f t="shared" si="40"/>
        <v>5.5</v>
      </c>
      <c r="O59" s="61">
        <f t="shared" si="40"/>
        <v>614.720475</v>
      </c>
      <c r="P59" s="61">
        <f t="shared" si="40"/>
        <v>5.5</v>
      </c>
      <c r="Q59" s="118">
        <f t="shared" si="35"/>
        <v>22.25</v>
      </c>
      <c r="R59">
        <v>31.54</v>
      </c>
      <c r="S59" s="124">
        <f>'[7]TechHeat-RES-SD'!$I$165</f>
        <v>0.320512820512821</v>
      </c>
      <c r="V59" s="52"/>
      <c r="W59" s="106" t="s">
        <v>171</v>
      </c>
      <c r="X59" s="52"/>
      <c r="Y59" s="52" t="s">
        <v>106</v>
      </c>
      <c r="Z59" s="52" t="s">
        <v>107</v>
      </c>
      <c r="AA59" s="52"/>
      <c r="AB59" s="52"/>
      <c r="AC59" s="52"/>
      <c r="AG59">
        <v>0.9</v>
      </c>
    </row>
    <row r="60" spans="4:33">
      <c r="D60" s="106" t="s">
        <v>111</v>
      </c>
      <c r="E60" s="106"/>
      <c r="K60" s="114"/>
      <c r="L60" s="2"/>
      <c r="M60" s="114"/>
      <c r="N60" s="2"/>
      <c r="O60" s="114"/>
      <c r="P60" s="2"/>
      <c r="Q60" s="118"/>
      <c r="S60" s="124">
        <f t="shared" si="38"/>
        <v>0.679487179487179</v>
      </c>
      <c r="V60" s="52"/>
      <c r="W60" t="s">
        <v>49</v>
      </c>
      <c r="X60" s="52"/>
      <c r="Y60" s="52"/>
      <c r="Z60" s="52"/>
      <c r="AA60" s="52"/>
      <c r="AB60" s="52"/>
      <c r="AC60" s="52"/>
      <c r="AG60">
        <v>1</v>
      </c>
    </row>
    <row r="61" spans="3:33">
      <c r="C61" s="106" t="s">
        <v>172</v>
      </c>
      <c r="D61" s="106" t="s">
        <v>115</v>
      </c>
      <c r="E61" s="106"/>
      <c r="F61" t="s">
        <v>159</v>
      </c>
      <c r="G61" s="40">
        <v>2021</v>
      </c>
      <c r="H61" s="41">
        <v>0.89</v>
      </c>
      <c r="K61" s="61">
        <f t="shared" ref="K61:P61" si="41">K42</f>
        <v>433.786026190476</v>
      </c>
      <c r="L61" s="61">
        <f t="shared" si="41"/>
        <v>3.79980952380952</v>
      </c>
      <c r="M61" s="61">
        <f t="shared" si="41"/>
        <v>433.786026190476</v>
      </c>
      <c r="N61" s="61">
        <f t="shared" si="41"/>
        <v>3.79980952380952</v>
      </c>
      <c r="O61" s="61">
        <f t="shared" si="41"/>
        <v>433.786026190476</v>
      </c>
      <c r="P61" s="61">
        <f t="shared" si="41"/>
        <v>3.79980952380952</v>
      </c>
      <c r="Q61" s="118">
        <f t="shared" si="35"/>
        <v>24.5</v>
      </c>
      <c r="R61">
        <v>31.54</v>
      </c>
      <c r="S61" s="124">
        <f>'[7]TechHeat-RES-SD'!$I$167</f>
        <v>0.833333333333333</v>
      </c>
      <c r="V61" s="52"/>
      <c r="W61" s="106" t="s">
        <v>172</v>
      </c>
      <c r="X61" s="52"/>
      <c r="Y61" s="52" t="s">
        <v>106</v>
      </c>
      <c r="Z61" s="52" t="s">
        <v>107</v>
      </c>
      <c r="AA61" s="52"/>
      <c r="AB61" s="52"/>
      <c r="AC61" s="52"/>
      <c r="AG61">
        <v>1.9</v>
      </c>
    </row>
    <row r="62" spans="4:33">
      <c r="D62" s="106" t="s">
        <v>104</v>
      </c>
      <c r="E62" s="106"/>
      <c r="K62" s="114"/>
      <c r="L62" s="2"/>
      <c r="M62" s="114"/>
      <c r="N62" s="2"/>
      <c r="O62" s="114"/>
      <c r="P62" s="2"/>
      <c r="S62" s="124">
        <f>1-S61</f>
        <v>0.166666666666667</v>
      </c>
      <c r="V62" s="52"/>
      <c r="W62" t="s">
        <v>49</v>
      </c>
      <c r="X62" s="52"/>
      <c r="Y62" s="52"/>
      <c r="Z62" s="52"/>
      <c r="AA62" s="52"/>
      <c r="AB62" s="52"/>
      <c r="AC62" s="52"/>
      <c r="AG62">
        <v>0.5</v>
      </c>
    </row>
    <row r="63" spans="3:33">
      <c r="C63" t="s">
        <v>173</v>
      </c>
      <c r="D63" t="s">
        <v>104</v>
      </c>
      <c r="F63" t="s">
        <v>174</v>
      </c>
      <c r="G63" s="40">
        <v>2021</v>
      </c>
      <c r="H63" s="41">
        <v>0.6</v>
      </c>
      <c r="K63" s="61">
        <f t="shared" ref="K63:Q63" si="42">K44</f>
        <v>211.868952380952</v>
      </c>
      <c r="L63" s="61">
        <f t="shared" si="42"/>
        <v>2.59961904761905</v>
      </c>
      <c r="M63" s="61">
        <f t="shared" si="42"/>
        <v>211.868952380952</v>
      </c>
      <c r="N63" s="61">
        <f t="shared" si="42"/>
        <v>2.59961904761905</v>
      </c>
      <c r="O63" s="61">
        <f t="shared" si="42"/>
        <v>211.868952380952</v>
      </c>
      <c r="P63" s="61">
        <f t="shared" si="42"/>
        <v>2.59961904761905</v>
      </c>
      <c r="Q63" s="118">
        <f t="shared" si="42"/>
        <v>26.5</v>
      </c>
      <c r="R63">
        <v>31.54</v>
      </c>
      <c r="S63">
        <v>1</v>
      </c>
      <c r="V63" s="52"/>
      <c r="W63" t="s">
        <v>173</v>
      </c>
      <c r="X63" s="52"/>
      <c r="Y63" s="52" t="s">
        <v>106</v>
      </c>
      <c r="Z63" s="52" t="s">
        <v>107</v>
      </c>
      <c r="AA63" s="52"/>
      <c r="AB63" s="52"/>
      <c r="AC63" s="52"/>
      <c r="AG63">
        <v>0.5</v>
      </c>
    </row>
    <row r="64" spans="3:33">
      <c r="C64" t="s">
        <v>175</v>
      </c>
      <c r="D64" t="s">
        <v>104</v>
      </c>
      <c r="F64" t="s">
        <v>174</v>
      </c>
      <c r="G64" s="40">
        <v>2021</v>
      </c>
      <c r="H64" s="41">
        <v>0.78</v>
      </c>
      <c r="K64" s="61">
        <f t="shared" ref="K64:Q64" si="43">K45</f>
        <v>211.868952380952</v>
      </c>
      <c r="L64" s="61">
        <f t="shared" si="43"/>
        <v>2.59961904761905</v>
      </c>
      <c r="M64" s="61">
        <f t="shared" si="43"/>
        <v>211.868952380952</v>
      </c>
      <c r="N64" s="61">
        <f t="shared" si="43"/>
        <v>2.59961904761905</v>
      </c>
      <c r="O64" s="61">
        <f t="shared" si="43"/>
        <v>211.868952380952</v>
      </c>
      <c r="P64" s="61">
        <f t="shared" si="43"/>
        <v>2.59961904761905</v>
      </c>
      <c r="Q64" s="118">
        <f t="shared" si="43"/>
        <v>26.5</v>
      </c>
      <c r="R64">
        <v>31.54</v>
      </c>
      <c r="S64">
        <v>1</v>
      </c>
      <c r="V64" s="52"/>
      <c r="W64" t="s">
        <v>175</v>
      </c>
      <c r="X64" s="52"/>
      <c r="Y64" s="52" t="s">
        <v>106</v>
      </c>
      <c r="Z64" s="52" t="s">
        <v>107</v>
      </c>
      <c r="AA64" s="52"/>
      <c r="AB64" s="52"/>
      <c r="AC64" s="52"/>
      <c r="AG64">
        <v>0.75</v>
      </c>
    </row>
    <row r="65" spans="3:29">
      <c r="C65" t="s">
        <v>176</v>
      </c>
      <c r="D65" t="s">
        <v>104</v>
      </c>
      <c r="F65" t="s">
        <v>174</v>
      </c>
      <c r="G65" s="40">
        <v>2021</v>
      </c>
      <c r="H65" s="41">
        <v>0.85</v>
      </c>
      <c r="K65" s="61">
        <f t="shared" ref="K65:Q65" si="44">K46</f>
        <v>211.868952380952</v>
      </c>
      <c r="L65" s="61">
        <f t="shared" si="44"/>
        <v>2.59961904761905</v>
      </c>
      <c r="M65" s="61">
        <f t="shared" si="44"/>
        <v>211.868952380952</v>
      </c>
      <c r="N65" s="61">
        <f t="shared" si="44"/>
        <v>2.59961904761905</v>
      </c>
      <c r="O65" s="61">
        <f t="shared" si="44"/>
        <v>211.868952380952</v>
      </c>
      <c r="P65" s="61">
        <f t="shared" si="44"/>
        <v>2.59961904761905</v>
      </c>
      <c r="Q65" s="118">
        <f t="shared" si="44"/>
        <v>26.5</v>
      </c>
      <c r="R65">
        <v>31.54</v>
      </c>
      <c r="S65">
        <v>1</v>
      </c>
      <c r="V65" s="52"/>
      <c r="W65" t="s">
        <v>176</v>
      </c>
      <c r="X65" s="52"/>
      <c r="Y65" s="52" t="s">
        <v>106</v>
      </c>
      <c r="Z65" s="52" t="s">
        <v>107</v>
      </c>
      <c r="AA65" s="52"/>
      <c r="AB65" s="52"/>
      <c r="AC65" s="52"/>
    </row>
    <row r="66" spans="3:33">
      <c r="C66" t="s">
        <v>177</v>
      </c>
      <c r="D66" t="s">
        <v>111</v>
      </c>
      <c r="F66" t="s">
        <v>174</v>
      </c>
      <c r="G66" s="40">
        <v>2021</v>
      </c>
      <c r="H66" s="41">
        <v>0.62</v>
      </c>
      <c r="K66" s="61">
        <f t="shared" ref="K66:Q66" si="45">K47</f>
        <v>573.73785</v>
      </c>
      <c r="L66" s="61">
        <f t="shared" si="45"/>
        <v>6</v>
      </c>
      <c r="M66" s="61">
        <f t="shared" si="45"/>
        <v>573.73785</v>
      </c>
      <c r="N66" s="61">
        <f t="shared" si="45"/>
        <v>6</v>
      </c>
      <c r="O66" s="61">
        <f t="shared" si="45"/>
        <v>573.73785</v>
      </c>
      <c r="P66" s="61">
        <f t="shared" si="45"/>
        <v>6</v>
      </c>
      <c r="Q66" s="118">
        <f t="shared" si="45"/>
        <v>22</v>
      </c>
      <c r="R66">
        <v>31.54</v>
      </c>
      <c r="S66">
        <v>1</v>
      </c>
      <c r="V66" s="52"/>
      <c r="W66" t="s">
        <v>177</v>
      </c>
      <c r="X66" s="52"/>
      <c r="Y66" s="52" t="s">
        <v>106</v>
      </c>
      <c r="Z66" s="52" t="s">
        <v>107</v>
      </c>
      <c r="AA66" s="52"/>
      <c r="AB66" s="52"/>
      <c r="AC66" s="52"/>
      <c r="AG66">
        <v>0.675</v>
      </c>
    </row>
    <row r="67" spans="3:29">
      <c r="C67" t="s">
        <v>178</v>
      </c>
      <c r="D67" t="s">
        <v>111</v>
      </c>
      <c r="F67" t="s">
        <v>174</v>
      </c>
      <c r="G67" s="40">
        <v>2021</v>
      </c>
      <c r="H67" s="41">
        <v>0.8</v>
      </c>
      <c r="K67" s="61">
        <f t="shared" ref="K67:Q67" si="46">K48</f>
        <v>573.73785</v>
      </c>
      <c r="L67" s="61">
        <f t="shared" si="46"/>
        <v>6</v>
      </c>
      <c r="M67" s="61">
        <f t="shared" si="46"/>
        <v>573.73785</v>
      </c>
      <c r="N67" s="61">
        <f t="shared" si="46"/>
        <v>6</v>
      </c>
      <c r="O67" s="61">
        <f t="shared" si="46"/>
        <v>573.73785</v>
      </c>
      <c r="P67" s="61">
        <f t="shared" si="46"/>
        <v>6</v>
      </c>
      <c r="Q67" s="118">
        <f t="shared" si="46"/>
        <v>22</v>
      </c>
      <c r="R67">
        <v>31.54</v>
      </c>
      <c r="S67">
        <v>1</v>
      </c>
      <c r="V67" s="52"/>
      <c r="W67" t="s">
        <v>178</v>
      </c>
      <c r="X67" s="52"/>
      <c r="Y67" s="52" t="s">
        <v>106</v>
      </c>
      <c r="Z67" s="52" t="s">
        <v>107</v>
      </c>
      <c r="AA67" s="52"/>
      <c r="AB67" s="52"/>
      <c r="AC67" s="52"/>
    </row>
    <row r="68" spans="3:33">
      <c r="C68" t="s">
        <v>179</v>
      </c>
      <c r="D68" t="s">
        <v>111</v>
      </c>
      <c r="F68" t="s">
        <v>174</v>
      </c>
      <c r="G68" s="40">
        <v>2021</v>
      </c>
      <c r="H68" s="41">
        <v>0.9</v>
      </c>
      <c r="K68" s="61">
        <f t="shared" ref="K68:Q68" si="47">K49</f>
        <v>573.73785</v>
      </c>
      <c r="L68" s="61">
        <f t="shared" si="47"/>
        <v>6</v>
      </c>
      <c r="M68" s="61">
        <f t="shared" si="47"/>
        <v>573.73785</v>
      </c>
      <c r="N68" s="61">
        <f t="shared" si="47"/>
        <v>6</v>
      </c>
      <c r="O68" s="61">
        <f t="shared" si="47"/>
        <v>573.73785</v>
      </c>
      <c r="P68" s="61">
        <f t="shared" si="47"/>
        <v>6</v>
      </c>
      <c r="Q68" s="118">
        <f t="shared" si="47"/>
        <v>22</v>
      </c>
      <c r="R68">
        <v>31.54</v>
      </c>
      <c r="S68">
        <v>1</v>
      </c>
      <c r="V68" s="52"/>
      <c r="W68" t="s">
        <v>179</v>
      </c>
      <c r="X68" s="52"/>
      <c r="Y68" s="52" t="s">
        <v>106</v>
      </c>
      <c r="Z68" s="52" t="s">
        <v>107</v>
      </c>
      <c r="AA68" s="52"/>
      <c r="AB68" s="52"/>
      <c r="AC68" s="52"/>
      <c r="AG68">
        <v>0.9</v>
      </c>
    </row>
    <row r="69" spans="3:29">
      <c r="C69" t="s">
        <v>180</v>
      </c>
      <c r="D69" t="s">
        <v>115</v>
      </c>
      <c r="F69" t="s">
        <v>174</v>
      </c>
      <c r="G69" s="40">
        <v>2021</v>
      </c>
      <c r="H69" s="41">
        <v>1</v>
      </c>
      <c r="K69" s="61">
        <f t="shared" ref="K69:Q69" si="48">K50</f>
        <v>655.7031</v>
      </c>
      <c r="L69" s="61">
        <f t="shared" si="48"/>
        <v>5</v>
      </c>
      <c r="M69" s="61">
        <f t="shared" si="48"/>
        <v>655.7031</v>
      </c>
      <c r="N69" s="61">
        <f t="shared" si="48"/>
        <v>5</v>
      </c>
      <c r="O69" s="61">
        <f t="shared" si="48"/>
        <v>655.7031</v>
      </c>
      <c r="P69" s="61">
        <f t="shared" si="48"/>
        <v>5</v>
      </c>
      <c r="Q69" s="118">
        <f t="shared" si="48"/>
        <v>22.5</v>
      </c>
      <c r="R69">
        <v>31.54</v>
      </c>
      <c r="S69">
        <v>1</v>
      </c>
      <c r="V69" s="52"/>
      <c r="W69" t="s">
        <v>180</v>
      </c>
      <c r="X69" s="52"/>
      <c r="Y69" s="52" t="s">
        <v>106</v>
      </c>
      <c r="Z69" s="52" t="s">
        <v>107</v>
      </c>
      <c r="AA69" s="52"/>
      <c r="AB69" s="52"/>
      <c r="AC69" s="52"/>
    </row>
    <row r="70" s="101" customFormat="1" spans="3:33">
      <c r="C70" s="101" t="s">
        <v>181</v>
      </c>
      <c r="D70" s="108" t="s">
        <v>115</v>
      </c>
      <c r="E70" s="108"/>
      <c r="F70" s="101" t="s">
        <v>174</v>
      </c>
      <c r="G70" s="40">
        <v>2021</v>
      </c>
      <c r="H70" s="41">
        <f>H69</f>
        <v>1</v>
      </c>
      <c r="I70" s="41"/>
      <c r="J70" s="41"/>
      <c r="K70" s="61">
        <f t="shared" ref="K70:Q70" si="49">K51</f>
        <v>1727.75295</v>
      </c>
      <c r="L70" s="61">
        <f t="shared" si="49"/>
        <v>15</v>
      </c>
      <c r="M70" s="61">
        <f t="shared" si="49"/>
        <v>1727.75295</v>
      </c>
      <c r="N70" s="61">
        <f t="shared" si="49"/>
        <v>15</v>
      </c>
      <c r="O70" s="61">
        <f t="shared" si="49"/>
        <v>1727.75295</v>
      </c>
      <c r="P70" s="61">
        <f t="shared" si="49"/>
        <v>15</v>
      </c>
      <c r="Q70" s="118">
        <f t="shared" si="49"/>
        <v>15.3</v>
      </c>
      <c r="R70" s="101">
        <v>31.54</v>
      </c>
      <c r="S70" s="125">
        <v>0.33</v>
      </c>
      <c r="V70" s="143"/>
      <c r="W70" s="101" t="s">
        <v>181</v>
      </c>
      <c r="X70" s="143"/>
      <c r="Y70" s="143" t="s">
        <v>106</v>
      </c>
      <c r="Z70" s="143" t="s">
        <v>107</v>
      </c>
      <c r="AA70" s="52"/>
      <c r="AB70" s="143"/>
      <c r="AC70" s="143"/>
      <c r="AG70" s="101">
        <v>0.89</v>
      </c>
    </row>
    <row r="71" spans="4:29">
      <c r="D71" s="105" t="str">
        <f>[3]COMM!$E$19</f>
        <v>RSDAHT</v>
      </c>
      <c r="K71" s="114"/>
      <c r="L71" s="2"/>
      <c r="M71" s="114"/>
      <c r="N71" s="2"/>
      <c r="O71" s="114"/>
      <c r="P71" s="2"/>
      <c r="Q71" s="118"/>
      <c r="R71">
        <v>31.54</v>
      </c>
      <c r="S71" s="84">
        <f>1-S70</f>
        <v>0.67</v>
      </c>
      <c r="V71" s="52"/>
      <c r="W71" t="s">
        <v>49</v>
      </c>
      <c r="X71" s="52"/>
      <c r="Y71" s="52"/>
      <c r="Z71" s="52"/>
      <c r="AA71" s="52"/>
      <c r="AB71" s="52"/>
      <c r="AC71" s="52"/>
    </row>
    <row r="72" spans="3:29">
      <c r="C72" t="s">
        <v>182</v>
      </c>
      <c r="D72" t="s">
        <v>120</v>
      </c>
      <c r="F72" t="s">
        <v>174</v>
      </c>
      <c r="G72" s="40">
        <v>2021</v>
      </c>
      <c r="H72" s="41">
        <v>0.5</v>
      </c>
      <c r="K72" s="61">
        <f t="shared" ref="K72:Q80" si="50">K53</f>
        <v>308.4448</v>
      </c>
      <c r="L72" s="61">
        <f t="shared" si="50"/>
        <v>21.1544</v>
      </c>
      <c r="M72" s="61">
        <f t="shared" si="50"/>
        <v>308.4448</v>
      </c>
      <c r="N72" s="61">
        <f t="shared" si="50"/>
        <v>21.1544</v>
      </c>
      <c r="O72" s="61">
        <f t="shared" si="50"/>
        <v>308.4448</v>
      </c>
      <c r="P72" s="61">
        <f t="shared" si="50"/>
        <v>21.1544</v>
      </c>
      <c r="Q72" s="118">
        <f t="shared" si="50"/>
        <v>19</v>
      </c>
      <c r="R72">
        <v>31.54</v>
      </c>
      <c r="S72">
        <v>1</v>
      </c>
      <c r="V72" s="52"/>
      <c r="W72" t="s">
        <v>182</v>
      </c>
      <c r="X72" s="52"/>
      <c r="Y72" s="52" t="s">
        <v>106</v>
      </c>
      <c r="Z72" s="52" t="s">
        <v>107</v>
      </c>
      <c r="AA72" s="52"/>
      <c r="AB72" s="52"/>
      <c r="AC72" s="52"/>
    </row>
    <row r="73" spans="3:33">
      <c r="C73" t="s">
        <v>183</v>
      </c>
      <c r="D73" t="s">
        <v>131</v>
      </c>
      <c r="F73" t="s">
        <v>174</v>
      </c>
      <c r="G73" s="40">
        <v>2021</v>
      </c>
      <c r="H73" s="41">
        <v>0.5</v>
      </c>
      <c r="K73" s="61">
        <f t="shared" ref="K73:P73" si="51">K54</f>
        <v>308.4448</v>
      </c>
      <c r="L73" s="61">
        <f t="shared" si="51"/>
        <v>21.1544</v>
      </c>
      <c r="M73" s="61">
        <f t="shared" si="51"/>
        <v>308.4448</v>
      </c>
      <c r="N73" s="61">
        <f t="shared" si="51"/>
        <v>21.1544</v>
      </c>
      <c r="O73" s="61">
        <f t="shared" si="51"/>
        <v>308.4448</v>
      </c>
      <c r="P73" s="61">
        <f t="shared" si="51"/>
        <v>21.1544</v>
      </c>
      <c r="Q73" s="118">
        <f t="shared" si="50"/>
        <v>19</v>
      </c>
      <c r="R73">
        <v>31.54</v>
      </c>
      <c r="S73">
        <v>1</v>
      </c>
      <c r="V73" s="52"/>
      <c r="W73" t="s">
        <v>183</v>
      </c>
      <c r="X73" s="52"/>
      <c r="Y73" s="52" t="s">
        <v>106</v>
      </c>
      <c r="Z73" s="52" t="s">
        <v>107</v>
      </c>
      <c r="AA73" s="52"/>
      <c r="AB73" s="52"/>
      <c r="AC73" s="52"/>
      <c r="AG73">
        <v>0.6</v>
      </c>
    </row>
    <row r="74" spans="3:33">
      <c r="C74" s="106" t="s">
        <v>184</v>
      </c>
      <c r="D74" s="106" t="s">
        <v>115</v>
      </c>
      <c r="E74" s="106"/>
      <c r="F74" t="s">
        <v>174</v>
      </c>
      <c r="G74" s="40">
        <v>2021</v>
      </c>
      <c r="H74" s="41">
        <v>0.75</v>
      </c>
      <c r="K74" s="61">
        <f t="shared" ref="K74:P74" si="52">K55</f>
        <v>482.07395</v>
      </c>
      <c r="L74" s="61">
        <f t="shared" si="52"/>
        <v>13.0772</v>
      </c>
      <c r="M74" s="61">
        <f t="shared" si="52"/>
        <v>482.07395</v>
      </c>
      <c r="N74" s="61">
        <f t="shared" si="52"/>
        <v>13.0772</v>
      </c>
      <c r="O74" s="61">
        <f t="shared" si="52"/>
        <v>482.07395</v>
      </c>
      <c r="P74" s="61">
        <f t="shared" si="52"/>
        <v>13.0772</v>
      </c>
      <c r="Q74" s="118">
        <f t="shared" si="50"/>
        <v>20.75</v>
      </c>
      <c r="R74">
        <v>31.54</v>
      </c>
      <c r="S74" s="124">
        <f>'[7]TechHeat-RES-SD'!$I$161</f>
        <v>0.609756097560976</v>
      </c>
      <c r="V74" s="52"/>
      <c r="W74" s="106" t="s">
        <v>184</v>
      </c>
      <c r="X74" s="52"/>
      <c r="Y74" s="52" t="s">
        <v>106</v>
      </c>
      <c r="Z74" s="52" t="s">
        <v>107</v>
      </c>
      <c r="AA74" s="52"/>
      <c r="AB74" s="52"/>
      <c r="AC74" s="52"/>
      <c r="AG74">
        <v>0.78</v>
      </c>
    </row>
    <row r="75" spans="4:33">
      <c r="D75" s="106" t="s">
        <v>131</v>
      </c>
      <c r="E75" s="106"/>
      <c r="K75" s="114"/>
      <c r="M75" s="114"/>
      <c r="O75" s="114"/>
      <c r="P75" s="2"/>
      <c r="Q75" s="118"/>
      <c r="S75" s="124">
        <f t="shared" ref="S75:S79" si="53">1-S74</f>
        <v>0.390243902439024</v>
      </c>
      <c r="V75" s="52"/>
      <c r="W75" t="s">
        <v>49</v>
      </c>
      <c r="X75" s="52"/>
      <c r="Y75" s="52"/>
      <c r="Z75" s="52"/>
      <c r="AA75" s="52"/>
      <c r="AB75" s="52"/>
      <c r="AC75" s="52"/>
      <c r="AG75">
        <v>0.85</v>
      </c>
    </row>
    <row r="76" spans="3:33">
      <c r="C76" s="106" t="s">
        <v>185</v>
      </c>
      <c r="D76" s="106" t="s">
        <v>104</v>
      </c>
      <c r="E76" s="106"/>
      <c r="F76" t="s">
        <v>174</v>
      </c>
      <c r="G76" s="40">
        <v>2021</v>
      </c>
      <c r="H76" s="41">
        <v>0.675</v>
      </c>
      <c r="K76" s="61">
        <f t="shared" ref="K76:P76" si="54">K57</f>
        <v>260.156876190476</v>
      </c>
      <c r="L76" s="61">
        <f t="shared" si="54"/>
        <v>11.8770095238095</v>
      </c>
      <c r="M76" s="61">
        <f t="shared" si="54"/>
        <v>260.156876190476</v>
      </c>
      <c r="N76" s="61">
        <f t="shared" si="54"/>
        <v>11.8770095238095</v>
      </c>
      <c r="O76" s="61">
        <f t="shared" si="54"/>
        <v>260.156876190476</v>
      </c>
      <c r="P76" s="61">
        <f t="shared" si="54"/>
        <v>11.8770095238095</v>
      </c>
      <c r="Q76" s="118">
        <f t="shared" si="50"/>
        <v>22.75</v>
      </c>
      <c r="R76">
        <v>31.54</v>
      </c>
      <c r="S76" s="124">
        <f>'[7]TechHeat-RES-SD'!$I$163</f>
        <v>0.238095238095238</v>
      </c>
      <c r="V76" s="52"/>
      <c r="W76" s="106" t="s">
        <v>185</v>
      </c>
      <c r="X76" s="52"/>
      <c r="Y76" s="52" t="s">
        <v>106</v>
      </c>
      <c r="Z76" s="52" t="s">
        <v>107</v>
      </c>
      <c r="AA76" s="52"/>
      <c r="AB76" s="52"/>
      <c r="AC76" s="52"/>
      <c r="AG76">
        <v>0.62</v>
      </c>
    </row>
    <row r="77" spans="4:33">
      <c r="D77" s="106" t="s">
        <v>131</v>
      </c>
      <c r="E77" s="106"/>
      <c r="K77" s="114"/>
      <c r="L77" s="2"/>
      <c r="M77" s="114"/>
      <c r="N77" s="2"/>
      <c r="O77" s="114"/>
      <c r="P77" s="2"/>
      <c r="Q77" s="118"/>
      <c r="S77" s="124">
        <f t="shared" si="53"/>
        <v>0.761904761904762</v>
      </c>
      <c r="V77" s="52"/>
      <c r="W77" t="s">
        <v>49</v>
      </c>
      <c r="X77" s="52"/>
      <c r="Y77" s="52"/>
      <c r="Z77" s="52"/>
      <c r="AA77" s="52"/>
      <c r="AB77" s="52"/>
      <c r="AC77" s="52"/>
      <c r="AG77">
        <v>0.8</v>
      </c>
    </row>
    <row r="78" spans="3:33">
      <c r="C78" s="106" t="s">
        <v>186</v>
      </c>
      <c r="D78" s="106" t="s">
        <v>115</v>
      </c>
      <c r="E78" s="106"/>
      <c r="F78" t="s">
        <v>174</v>
      </c>
      <c r="G78" s="40">
        <v>2021</v>
      </c>
      <c r="H78" s="41">
        <v>0.9</v>
      </c>
      <c r="K78" s="61">
        <f t="shared" ref="K78:P78" si="55">K59</f>
        <v>614.720475</v>
      </c>
      <c r="L78" s="61">
        <f t="shared" si="55"/>
        <v>5.5</v>
      </c>
      <c r="M78" s="61">
        <f t="shared" si="55"/>
        <v>614.720475</v>
      </c>
      <c r="N78" s="61">
        <f t="shared" si="55"/>
        <v>5.5</v>
      </c>
      <c r="O78" s="61">
        <f t="shared" si="55"/>
        <v>614.720475</v>
      </c>
      <c r="P78" s="61">
        <f t="shared" si="55"/>
        <v>5.5</v>
      </c>
      <c r="Q78" s="118">
        <f t="shared" si="50"/>
        <v>22.25</v>
      </c>
      <c r="R78">
        <v>31.54</v>
      </c>
      <c r="S78" s="124">
        <f>'[7]TechHeat-RES-SD'!$I$165</f>
        <v>0.320512820512821</v>
      </c>
      <c r="V78" s="52"/>
      <c r="W78" s="106" t="s">
        <v>186</v>
      </c>
      <c r="X78" s="52"/>
      <c r="Y78" s="52" t="s">
        <v>106</v>
      </c>
      <c r="Z78" s="52" t="s">
        <v>107</v>
      </c>
      <c r="AA78" s="52"/>
      <c r="AB78" s="52"/>
      <c r="AC78" s="52"/>
      <c r="AG78">
        <v>0.9</v>
      </c>
    </row>
    <row r="79" spans="4:33">
      <c r="D79" s="106" t="s">
        <v>111</v>
      </c>
      <c r="E79" s="106"/>
      <c r="K79" s="114"/>
      <c r="L79" s="2"/>
      <c r="M79" s="114"/>
      <c r="N79" s="2"/>
      <c r="O79" s="114"/>
      <c r="P79" s="2"/>
      <c r="Q79" s="118"/>
      <c r="S79" s="124">
        <f t="shared" si="53"/>
        <v>0.679487179487179</v>
      </c>
      <c r="V79" s="52"/>
      <c r="W79" t="s">
        <v>49</v>
      </c>
      <c r="X79" s="52"/>
      <c r="Y79" s="52"/>
      <c r="Z79" s="52"/>
      <c r="AA79" s="52"/>
      <c r="AB79" s="52"/>
      <c r="AC79" s="52"/>
      <c r="AG79">
        <v>1</v>
      </c>
    </row>
    <row r="80" spans="3:33">
      <c r="C80" s="106" t="s">
        <v>187</v>
      </c>
      <c r="D80" s="106" t="s">
        <v>115</v>
      </c>
      <c r="E80" s="106"/>
      <c r="F80" t="s">
        <v>174</v>
      </c>
      <c r="G80" s="40">
        <v>2021</v>
      </c>
      <c r="H80" s="41">
        <v>0.89</v>
      </c>
      <c r="K80" s="61">
        <f t="shared" ref="K80:P80" si="56">K61</f>
        <v>433.786026190476</v>
      </c>
      <c r="L80" s="61">
        <f t="shared" si="56"/>
        <v>3.79980952380952</v>
      </c>
      <c r="M80" s="61">
        <f t="shared" si="56"/>
        <v>433.786026190476</v>
      </c>
      <c r="N80" s="61">
        <f t="shared" si="56"/>
        <v>3.79980952380952</v>
      </c>
      <c r="O80" s="61">
        <f t="shared" si="56"/>
        <v>433.786026190476</v>
      </c>
      <c r="P80" s="61">
        <f t="shared" si="56"/>
        <v>3.79980952380952</v>
      </c>
      <c r="Q80" s="118">
        <f t="shared" si="50"/>
        <v>24.5</v>
      </c>
      <c r="R80">
        <v>31.54</v>
      </c>
      <c r="S80" s="124">
        <f>'[7]TechHeat-RES-SD'!$I$167</f>
        <v>0.833333333333333</v>
      </c>
      <c r="V80" s="52"/>
      <c r="W80" s="106" t="s">
        <v>187</v>
      </c>
      <c r="X80" s="52"/>
      <c r="Y80" s="52" t="s">
        <v>106</v>
      </c>
      <c r="Z80" s="52" t="s">
        <v>107</v>
      </c>
      <c r="AA80" s="52"/>
      <c r="AB80" s="52"/>
      <c r="AC80" s="52"/>
      <c r="AG80">
        <v>1.9</v>
      </c>
    </row>
    <row r="81" spans="4:33">
      <c r="D81" s="106" t="s">
        <v>104</v>
      </c>
      <c r="E81" s="106"/>
      <c r="K81" s="114"/>
      <c r="M81" s="114"/>
      <c r="O81" s="114"/>
      <c r="P81" s="2"/>
      <c r="S81" s="124">
        <f>1-S80</f>
        <v>0.166666666666667</v>
      </c>
      <c r="V81" s="52"/>
      <c r="W81" t="s">
        <v>49</v>
      </c>
      <c r="X81" s="52"/>
      <c r="Y81" s="52"/>
      <c r="Z81" s="52"/>
      <c r="AA81" s="52"/>
      <c r="AB81" s="52"/>
      <c r="AC81" s="52"/>
      <c r="AG81">
        <v>0.5</v>
      </c>
    </row>
    <row r="82" spans="3:33">
      <c r="C82" s="106" t="str">
        <f>W82</f>
        <v>R_ES-SC-SD_ELC_ROOM_CENTRAL1</v>
      </c>
      <c r="D82" s="106" t="s">
        <v>115</v>
      </c>
      <c r="E82" s="106"/>
      <c r="F82" s="106" t="s">
        <v>188</v>
      </c>
      <c r="G82" s="40">
        <v>2021</v>
      </c>
      <c r="H82" s="137">
        <f>11.5/3.412</f>
        <v>3.3704572098476</v>
      </c>
      <c r="I82" s="103"/>
      <c r="K82" s="114">
        <f>AY17</f>
        <v>655.7031</v>
      </c>
      <c r="L82" s="114">
        <f>AVERAGE(20,150)/10</f>
        <v>8.5</v>
      </c>
      <c r="M82" s="114">
        <f>K82</f>
        <v>655.7031</v>
      </c>
      <c r="N82" s="114">
        <f>L82</f>
        <v>8.5</v>
      </c>
      <c r="O82" s="114">
        <f t="shared" ref="O82:P82" si="57">K82</f>
        <v>655.7031</v>
      </c>
      <c r="P82" s="114">
        <f t="shared" si="57"/>
        <v>8.5</v>
      </c>
      <c r="Q82" s="144">
        <f>(11+25)/2</f>
        <v>18</v>
      </c>
      <c r="R82">
        <v>31.54</v>
      </c>
      <c r="S82">
        <v>1</v>
      </c>
      <c r="V82" s="52"/>
      <c r="W82" s="106" t="s">
        <v>189</v>
      </c>
      <c r="X82" s="52"/>
      <c r="Y82" s="52" t="s">
        <v>106</v>
      </c>
      <c r="Z82" s="52" t="s">
        <v>107</v>
      </c>
      <c r="AA82" s="52"/>
      <c r="AB82" s="52"/>
      <c r="AC82" s="52"/>
      <c r="AG82">
        <v>0.5</v>
      </c>
    </row>
    <row r="83" spans="3:33">
      <c r="C83" s="106" t="str">
        <f t="shared" ref="C83:C89" si="58">W83</f>
        <v>*</v>
      </c>
      <c r="D83" s="106"/>
      <c r="E83" s="106"/>
      <c r="F83" s="106"/>
      <c r="H83" s="137"/>
      <c r="I83" s="103"/>
      <c r="K83" s="114"/>
      <c r="L83" s="114"/>
      <c r="M83" s="114"/>
      <c r="N83" s="114"/>
      <c r="O83" s="114"/>
      <c r="P83" s="114"/>
      <c r="Q83" s="142"/>
      <c r="V83" s="52"/>
      <c r="W83" s="106" t="s">
        <v>49</v>
      </c>
      <c r="X83" s="52"/>
      <c r="Y83" s="52"/>
      <c r="Z83" s="52"/>
      <c r="AA83" s="52"/>
      <c r="AB83" s="52"/>
      <c r="AC83" s="52"/>
      <c r="AG83">
        <v>0.75</v>
      </c>
    </row>
    <row r="84" spans="3:29">
      <c r="C84" s="106" t="str">
        <f t="shared" si="58"/>
        <v>R_ES-SC-SA_ELC_ROOM_CENTRAL1</v>
      </c>
      <c r="D84" s="106" t="s">
        <v>115</v>
      </c>
      <c r="E84" s="106"/>
      <c r="F84" s="106" t="s">
        <v>190</v>
      </c>
      <c r="G84" s="40">
        <v>2021</v>
      </c>
      <c r="H84" s="137">
        <f>H82</f>
        <v>3.3704572098476</v>
      </c>
      <c r="I84" s="103"/>
      <c r="K84" s="114">
        <f t="shared" ref="K84:O84" si="59">K82</f>
        <v>655.7031</v>
      </c>
      <c r="L84" s="114">
        <f t="shared" si="59"/>
        <v>8.5</v>
      </c>
      <c r="M84" s="114">
        <f t="shared" ref="M84:M88" si="60">K84</f>
        <v>655.7031</v>
      </c>
      <c r="N84" s="114">
        <f t="shared" si="59"/>
        <v>8.5</v>
      </c>
      <c r="O84" s="114">
        <f t="shared" si="59"/>
        <v>655.7031</v>
      </c>
      <c r="P84" s="114">
        <f>L84</f>
        <v>8.5</v>
      </c>
      <c r="Q84" s="144">
        <f>(11+25)/2</f>
        <v>18</v>
      </c>
      <c r="R84">
        <v>31.54</v>
      </c>
      <c r="S84">
        <v>1</v>
      </c>
      <c r="V84" s="52"/>
      <c r="W84" s="106" t="s">
        <v>191</v>
      </c>
      <c r="X84" s="52"/>
      <c r="Y84" s="52" t="s">
        <v>106</v>
      </c>
      <c r="Z84" s="52" t="s">
        <v>107</v>
      </c>
      <c r="AA84" s="52"/>
      <c r="AB84" s="52"/>
      <c r="AC84" s="52"/>
    </row>
    <row r="85" spans="3:33">
      <c r="C85" s="106" t="str">
        <f t="shared" si="58"/>
        <v>*</v>
      </c>
      <c r="D85" s="106"/>
      <c r="E85" s="106"/>
      <c r="F85" s="106"/>
      <c r="H85" s="137"/>
      <c r="I85" s="103"/>
      <c r="K85" s="114"/>
      <c r="L85" s="114"/>
      <c r="M85" s="114"/>
      <c r="N85" s="114"/>
      <c r="O85" s="114"/>
      <c r="P85" s="114"/>
      <c r="Q85" s="142"/>
      <c r="V85" s="52"/>
      <c r="W85" s="106" t="s">
        <v>49</v>
      </c>
      <c r="X85" s="52"/>
      <c r="Y85" s="52"/>
      <c r="Z85" s="52"/>
      <c r="AA85" s="52"/>
      <c r="AB85" s="52"/>
      <c r="AC85" s="52"/>
      <c r="AG85">
        <v>0.675</v>
      </c>
    </row>
    <row r="86" spans="3:29">
      <c r="C86" s="106" t="str">
        <f t="shared" si="58"/>
        <v>R_ES-SC-AP_ELC_ROOM_CENTRAL1</v>
      </c>
      <c r="D86" s="106" t="s">
        <v>115</v>
      </c>
      <c r="E86" s="106"/>
      <c r="F86" s="106" t="s">
        <v>192</v>
      </c>
      <c r="G86" s="40">
        <v>2021</v>
      </c>
      <c r="H86" s="137">
        <f>13.7/3.412</f>
        <v>4.01524032825322</v>
      </c>
      <c r="I86" s="103"/>
      <c r="K86" s="114">
        <f t="shared" ref="K86:O86" si="61">K84</f>
        <v>655.7031</v>
      </c>
      <c r="L86" s="114">
        <f t="shared" si="61"/>
        <v>8.5</v>
      </c>
      <c r="M86" s="114">
        <f t="shared" si="60"/>
        <v>655.7031</v>
      </c>
      <c r="N86" s="114">
        <f t="shared" si="61"/>
        <v>8.5</v>
      </c>
      <c r="O86" s="114">
        <f t="shared" si="61"/>
        <v>655.7031</v>
      </c>
      <c r="P86" s="114">
        <f>L86</f>
        <v>8.5</v>
      </c>
      <c r="Q86" s="144">
        <f>(11+25)/2</f>
        <v>18</v>
      </c>
      <c r="R86">
        <v>31.54</v>
      </c>
      <c r="S86">
        <v>1</v>
      </c>
      <c r="V86" s="52"/>
      <c r="W86" s="106" t="s">
        <v>193</v>
      </c>
      <c r="X86" s="52"/>
      <c r="Y86" s="52" t="s">
        <v>106</v>
      </c>
      <c r="Z86" s="52" t="s">
        <v>107</v>
      </c>
      <c r="AA86" s="52"/>
      <c r="AB86" s="52"/>
      <c r="AC86" s="52"/>
    </row>
    <row r="87" spans="3:33">
      <c r="C87" s="106" t="str">
        <f t="shared" si="58"/>
        <v>*</v>
      </c>
      <c r="D87" s="106"/>
      <c r="E87" s="106"/>
      <c r="F87" s="106"/>
      <c r="H87" s="137"/>
      <c r="I87" s="103"/>
      <c r="K87" s="114"/>
      <c r="L87" s="114"/>
      <c r="M87" s="114"/>
      <c r="N87" s="114"/>
      <c r="O87" s="114"/>
      <c r="P87" s="114"/>
      <c r="Q87" s="142"/>
      <c r="V87" s="52"/>
      <c r="W87" s="106" t="s">
        <v>49</v>
      </c>
      <c r="X87" s="52"/>
      <c r="Y87" s="52"/>
      <c r="Z87" s="52"/>
      <c r="AA87" s="52"/>
      <c r="AB87" s="52"/>
      <c r="AC87" s="52"/>
      <c r="AG87">
        <v>0.9</v>
      </c>
    </row>
    <row r="88" spans="3:29">
      <c r="C88" s="106" t="str">
        <f t="shared" si="58"/>
        <v>R_ES-SC-MOB_ELC_ROOM_CENTRAL1</v>
      </c>
      <c r="D88" s="106" t="s">
        <v>115</v>
      </c>
      <c r="E88" s="106"/>
      <c r="F88" s="106" t="s">
        <v>194</v>
      </c>
      <c r="G88" s="40">
        <v>2021</v>
      </c>
      <c r="H88" s="137">
        <f>H86</f>
        <v>4.01524032825322</v>
      </c>
      <c r="I88" s="103"/>
      <c r="K88" s="114">
        <f>K86</f>
        <v>655.7031</v>
      </c>
      <c r="L88" s="114">
        <f>L86</f>
        <v>8.5</v>
      </c>
      <c r="M88" s="114">
        <f t="shared" si="60"/>
        <v>655.7031</v>
      </c>
      <c r="N88" s="114">
        <f>N86</f>
        <v>8.5</v>
      </c>
      <c r="O88" s="114">
        <f t="shared" ref="O88:P88" si="62">K88</f>
        <v>655.7031</v>
      </c>
      <c r="P88" s="114">
        <f t="shared" si="62"/>
        <v>8.5</v>
      </c>
      <c r="Q88" s="144">
        <f>(11+25)/2</f>
        <v>18</v>
      </c>
      <c r="R88">
        <v>31.54</v>
      </c>
      <c r="S88">
        <v>1</v>
      </c>
      <c r="V88" s="52"/>
      <c r="W88" s="106" t="s">
        <v>195</v>
      </c>
      <c r="X88" s="52"/>
      <c r="Y88" s="52" t="s">
        <v>106</v>
      </c>
      <c r="Z88" s="52" t="s">
        <v>107</v>
      </c>
      <c r="AA88" s="52"/>
      <c r="AB88" s="52"/>
      <c r="AC88" s="52"/>
    </row>
    <row r="89" spans="3:33">
      <c r="C89" s="106" t="str">
        <f t="shared" si="58"/>
        <v>*</v>
      </c>
      <c r="D89" s="106"/>
      <c r="E89" s="106"/>
      <c r="F89" s="106"/>
      <c r="H89" s="103"/>
      <c r="I89" s="103"/>
      <c r="K89" s="2"/>
      <c r="L89" s="114"/>
      <c r="M89" s="114"/>
      <c r="N89" s="114"/>
      <c r="O89" s="114"/>
      <c r="P89" s="114"/>
      <c r="V89" s="52"/>
      <c r="W89" s="106" t="s">
        <v>49</v>
      </c>
      <c r="X89" s="52"/>
      <c r="Y89" s="52"/>
      <c r="Z89" s="52"/>
      <c r="AA89" s="52"/>
      <c r="AB89" s="52"/>
      <c r="AC89" s="52"/>
      <c r="AG89">
        <v>0.89</v>
      </c>
    </row>
    <row r="90" spans="3:29">
      <c r="C90" s="46" t="s">
        <v>196</v>
      </c>
      <c r="D90" s="46" t="s">
        <v>115</v>
      </c>
      <c r="E90" s="46"/>
      <c r="F90" s="46" t="s">
        <v>197</v>
      </c>
      <c r="G90" s="94">
        <v>2021</v>
      </c>
      <c r="H90" s="91">
        <f>'[4]TechWatHea-SingleDetached-RES'!$N$23</f>
        <v>0.9633267069663</v>
      </c>
      <c r="I90" s="91"/>
      <c r="J90" s="91">
        <v>0.171767776689682</v>
      </c>
      <c r="K90" s="111">
        <f>(710+1290)/2*1/11</f>
        <v>90.9090909090909</v>
      </c>
      <c r="L90" s="111">
        <f>20/11</f>
        <v>1.81818181818182</v>
      </c>
      <c r="M90" s="111">
        <f t="shared" ref="M90:P93" si="63">K90</f>
        <v>90.9090909090909</v>
      </c>
      <c r="N90" s="111">
        <f t="shared" si="63"/>
        <v>1.81818181818182</v>
      </c>
      <c r="O90" s="111">
        <f t="shared" si="63"/>
        <v>90.9090909090909</v>
      </c>
      <c r="P90" s="111">
        <f t="shared" si="63"/>
        <v>1.81818181818182</v>
      </c>
      <c r="Q90" s="123">
        <v>13</v>
      </c>
      <c r="R90" s="57">
        <v>31.54</v>
      </c>
      <c r="S90" s="57">
        <v>1</v>
      </c>
      <c r="V90" s="52"/>
      <c r="W90" s="106" t="s">
        <v>196</v>
      </c>
      <c r="X90" s="52"/>
      <c r="Y90" s="52" t="s">
        <v>106</v>
      </c>
      <c r="Z90" s="52" t="s">
        <v>107</v>
      </c>
      <c r="AA90" s="52"/>
      <c r="AB90" s="52"/>
      <c r="AC90" s="52"/>
    </row>
    <row r="91" spans="3:33">
      <c r="C91" s="46" t="s">
        <v>198</v>
      </c>
      <c r="D91" s="46" t="s">
        <v>111</v>
      </c>
      <c r="E91" s="46"/>
      <c r="F91" s="46" t="s">
        <v>197</v>
      </c>
      <c r="G91" s="94">
        <v>2021</v>
      </c>
      <c r="H91" s="91">
        <f>'[4]TechWatHea-SingleDetached-RES'!$N$24</f>
        <v>0.9633267069663</v>
      </c>
      <c r="I91" s="91"/>
      <c r="J91" s="91">
        <v>0.436692238879344</v>
      </c>
      <c r="K91" s="111">
        <f>(2880+1650)/2*1/12</f>
        <v>188.75</v>
      </c>
      <c r="L91" s="111">
        <f>20/12</f>
        <v>1.66666666666667</v>
      </c>
      <c r="M91" s="111">
        <f t="shared" si="63"/>
        <v>188.75</v>
      </c>
      <c r="N91" s="111">
        <f t="shared" si="63"/>
        <v>1.66666666666667</v>
      </c>
      <c r="O91" s="111">
        <f t="shared" si="63"/>
        <v>188.75</v>
      </c>
      <c r="P91" s="111">
        <f t="shared" si="63"/>
        <v>1.66666666666667</v>
      </c>
      <c r="Q91" s="123">
        <v>19</v>
      </c>
      <c r="R91" s="57">
        <v>31.54</v>
      </c>
      <c r="S91" s="57">
        <v>1</v>
      </c>
      <c r="V91" s="52"/>
      <c r="W91" s="106" t="s">
        <v>198</v>
      </c>
      <c r="X91" s="52"/>
      <c r="Y91" s="52" t="s">
        <v>106</v>
      </c>
      <c r="Z91" s="52" t="s">
        <v>107</v>
      </c>
      <c r="AA91" s="52"/>
      <c r="AB91" s="52"/>
      <c r="AC91" s="52"/>
      <c r="AG91" s="130">
        <v>0.124</v>
      </c>
    </row>
    <row r="92" spans="3:33">
      <c r="C92" s="46" t="s">
        <v>199</v>
      </c>
      <c r="D92" s="46" t="s">
        <v>104</v>
      </c>
      <c r="E92" s="46"/>
      <c r="F92" s="46" t="s">
        <v>197</v>
      </c>
      <c r="G92" s="94">
        <v>2021</v>
      </c>
      <c r="H92" s="91">
        <f>'[4]TechWatHea-SingleDetached-RES'!$N$25</f>
        <v>0.9633267069663</v>
      </c>
      <c r="I92" s="91"/>
      <c r="J92" s="91">
        <v>0.146564546538015</v>
      </c>
      <c r="K92" s="111">
        <f>(2650+3350)/2*1/10</f>
        <v>300</v>
      </c>
      <c r="L92" s="111">
        <f>210/10*1</f>
        <v>21</v>
      </c>
      <c r="M92" s="111">
        <f t="shared" si="63"/>
        <v>300</v>
      </c>
      <c r="N92" s="111">
        <f t="shared" si="63"/>
        <v>21</v>
      </c>
      <c r="O92" s="111">
        <f t="shared" si="63"/>
        <v>300</v>
      </c>
      <c r="P92" s="111">
        <f t="shared" si="63"/>
        <v>21</v>
      </c>
      <c r="Q92" s="123">
        <v>13</v>
      </c>
      <c r="R92" s="57">
        <v>31.54</v>
      </c>
      <c r="S92" s="57">
        <v>1</v>
      </c>
      <c r="V92" s="52"/>
      <c r="W92" s="106" t="s">
        <v>199</v>
      </c>
      <c r="X92" s="52"/>
      <c r="Y92" s="52" t="s">
        <v>106</v>
      </c>
      <c r="Z92" s="52" t="s">
        <v>107</v>
      </c>
      <c r="AA92" s="52"/>
      <c r="AB92" s="52"/>
      <c r="AC92" s="52"/>
      <c r="AG92" s="130"/>
    </row>
    <row r="93" spans="3:33">
      <c r="C93" s="46" t="s">
        <v>200</v>
      </c>
      <c r="D93" s="46" t="s">
        <v>201</v>
      </c>
      <c r="E93" s="46"/>
      <c r="F93" s="46" t="s">
        <v>197</v>
      </c>
      <c r="G93" s="94">
        <v>2021</v>
      </c>
      <c r="H93" s="91">
        <f>'[4]TechWatHea-SingleDetached-RES'!$N$26</f>
        <v>0.9633267069663</v>
      </c>
      <c r="I93" s="91"/>
      <c r="J93" s="91">
        <v>0.315287923478673</v>
      </c>
      <c r="K93" s="111">
        <f>5940/(100/3.412)*1</f>
        <v>202.6728</v>
      </c>
      <c r="L93" s="111">
        <f>160/(100/3.412)*1</f>
        <v>5.4592</v>
      </c>
      <c r="M93" s="111">
        <f t="shared" si="63"/>
        <v>202.6728</v>
      </c>
      <c r="N93" s="111">
        <f t="shared" si="63"/>
        <v>5.4592</v>
      </c>
      <c r="O93" s="111">
        <f t="shared" si="63"/>
        <v>202.6728</v>
      </c>
      <c r="P93" s="111">
        <f t="shared" si="63"/>
        <v>5.4592</v>
      </c>
      <c r="Q93" s="123">
        <v>25</v>
      </c>
      <c r="R93" s="57">
        <v>31.54</v>
      </c>
      <c r="S93" s="57">
        <v>1</v>
      </c>
      <c r="V93" s="52"/>
      <c r="W93" s="106" t="s">
        <v>200</v>
      </c>
      <c r="X93" s="52"/>
      <c r="Y93" s="52" t="s">
        <v>106</v>
      </c>
      <c r="Z93" s="52" t="s">
        <v>107</v>
      </c>
      <c r="AA93" s="52"/>
      <c r="AB93" s="52"/>
      <c r="AC93" s="52"/>
      <c r="AG93" s="130">
        <v>0.124</v>
      </c>
    </row>
    <row r="94" spans="3:33">
      <c r="C94" s="46" t="s">
        <v>202</v>
      </c>
      <c r="D94" s="46" t="s">
        <v>120</v>
      </c>
      <c r="E94" s="46"/>
      <c r="F94" s="46" t="s">
        <v>197</v>
      </c>
      <c r="G94" s="94">
        <v>2021</v>
      </c>
      <c r="H94" s="91">
        <f>'[4]TechWatHea-SingleDetached-RES'!$N$27</f>
        <v>0.9633267069663</v>
      </c>
      <c r="I94" s="91"/>
      <c r="J94" s="91">
        <v>0.821415055286326</v>
      </c>
      <c r="K94" s="111">
        <f>K95</f>
        <v>308.4448</v>
      </c>
      <c r="L94" s="111">
        <f t="shared" ref="L94:Q94" si="64">L95</f>
        <v>21.1544</v>
      </c>
      <c r="M94" s="111">
        <f t="shared" si="64"/>
        <v>308.4448</v>
      </c>
      <c r="N94" s="111">
        <f t="shared" si="64"/>
        <v>21.1544</v>
      </c>
      <c r="O94" s="111">
        <f t="shared" si="64"/>
        <v>308.4448</v>
      </c>
      <c r="P94" s="111">
        <f t="shared" si="64"/>
        <v>21.1544</v>
      </c>
      <c r="Q94" s="70">
        <f t="shared" si="64"/>
        <v>19</v>
      </c>
      <c r="R94" s="57">
        <v>31.54</v>
      </c>
      <c r="S94" s="57">
        <v>1</v>
      </c>
      <c r="V94" s="52"/>
      <c r="W94" s="106" t="s">
        <v>202</v>
      </c>
      <c r="X94" s="52"/>
      <c r="Y94" s="52" t="s">
        <v>106</v>
      </c>
      <c r="Z94" s="52" t="s">
        <v>107</v>
      </c>
      <c r="AA94" s="52"/>
      <c r="AB94" s="52"/>
      <c r="AC94" s="52"/>
      <c r="AG94" s="130"/>
    </row>
    <row r="95" spans="3:33">
      <c r="C95" s="46" t="s">
        <v>203</v>
      </c>
      <c r="D95" s="46" t="s">
        <v>131</v>
      </c>
      <c r="E95" s="46"/>
      <c r="F95" s="46" t="s">
        <v>197</v>
      </c>
      <c r="G95" s="94">
        <v>2021</v>
      </c>
      <c r="H95" s="91">
        <f>'[4]TechWatHea-SingleDetached-RES'!$N$28</f>
        <v>0.9633267069663</v>
      </c>
      <c r="I95" s="91"/>
      <c r="J95" s="91">
        <f>'[4]TechWatHea-SingleDetached-RES'!$N$59</f>
        <v>0.378345508174408</v>
      </c>
      <c r="K95" s="111">
        <f>4520/(50/3.412)*1</f>
        <v>308.4448</v>
      </c>
      <c r="L95" s="111">
        <f>310/(50/3.412)*1</f>
        <v>21.1544</v>
      </c>
      <c r="M95" s="111">
        <f>K95</f>
        <v>308.4448</v>
      </c>
      <c r="N95" s="111">
        <f>L95</f>
        <v>21.1544</v>
      </c>
      <c r="O95" s="111">
        <f>M95</f>
        <v>308.4448</v>
      </c>
      <c r="P95" s="111">
        <f>N95</f>
        <v>21.1544</v>
      </c>
      <c r="Q95" s="123">
        <v>19</v>
      </c>
      <c r="R95" s="57">
        <v>31.54</v>
      </c>
      <c r="S95" s="57">
        <v>1</v>
      </c>
      <c r="V95" s="52"/>
      <c r="W95" s="106" t="s">
        <v>203</v>
      </c>
      <c r="X95" s="52"/>
      <c r="Y95" s="52" t="s">
        <v>106</v>
      </c>
      <c r="Z95" s="52" t="s">
        <v>107</v>
      </c>
      <c r="AA95" s="52"/>
      <c r="AB95" s="52"/>
      <c r="AC95" s="52"/>
      <c r="AG95" s="130">
        <v>0.124</v>
      </c>
    </row>
    <row r="96" spans="3:33">
      <c r="C96" s="106" t="s">
        <v>204</v>
      </c>
      <c r="D96" s="106" t="s">
        <v>115</v>
      </c>
      <c r="E96" s="106"/>
      <c r="F96" s="106" t="s">
        <v>205</v>
      </c>
      <c r="G96" s="94">
        <v>2021</v>
      </c>
      <c r="H96" s="91">
        <f>'[4]TechWatHea-SingleAttached'!$N$23</f>
        <v>0.9633267069663</v>
      </c>
      <c r="I96" s="91"/>
      <c r="J96" s="91">
        <v>0.138117250646714</v>
      </c>
      <c r="K96" s="61">
        <f t="shared" ref="K96:Q96" si="65">K90</f>
        <v>90.9090909090909</v>
      </c>
      <c r="L96" s="61">
        <f t="shared" si="65"/>
        <v>1.81818181818182</v>
      </c>
      <c r="M96" s="61">
        <f t="shared" si="65"/>
        <v>90.9090909090909</v>
      </c>
      <c r="N96" s="61">
        <f t="shared" si="65"/>
        <v>1.81818181818182</v>
      </c>
      <c r="O96" s="61">
        <f t="shared" si="65"/>
        <v>90.9090909090909</v>
      </c>
      <c r="P96" s="61">
        <f t="shared" si="65"/>
        <v>1.81818181818182</v>
      </c>
      <c r="Q96" s="123">
        <f t="shared" si="65"/>
        <v>13</v>
      </c>
      <c r="R96" s="57">
        <v>31.54</v>
      </c>
      <c r="S96" s="57">
        <v>1</v>
      </c>
      <c r="V96" s="52"/>
      <c r="W96" s="106" t="s">
        <v>204</v>
      </c>
      <c r="X96" s="52"/>
      <c r="Y96" s="52" t="s">
        <v>106</v>
      </c>
      <c r="Z96" s="52" t="s">
        <v>107</v>
      </c>
      <c r="AA96" s="52"/>
      <c r="AB96" s="52"/>
      <c r="AC96" s="52"/>
      <c r="AG96" s="130"/>
    </row>
    <row r="97" spans="3:33">
      <c r="C97" s="106" t="s">
        <v>206</v>
      </c>
      <c r="D97" s="106" t="s">
        <v>111</v>
      </c>
      <c r="E97" s="106"/>
      <c r="F97" s="106" t="s">
        <v>205</v>
      </c>
      <c r="G97" s="94">
        <v>2021</v>
      </c>
      <c r="H97" s="91">
        <f>'[4]TechWatHea-SingleAttached'!$N$24</f>
        <v>0.9633267069663</v>
      </c>
      <c r="I97" s="91"/>
      <c r="J97" s="91">
        <v>0.354678591350925</v>
      </c>
      <c r="K97" s="61">
        <f t="shared" ref="K97:K113" si="66">K91</f>
        <v>188.75</v>
      </c>
      <c r="L97" s="61">
        <f t="shared" ref="L97:L113" si="67">L91</f>
        <v>1.66666666666667</v>
      </c>
      <c r="M97" s="61">
        <f t="shared" ref="M97:M113" si="68">M91</f>
        <v>188.75</v>
      </c>
      <c r="N97" s="61">
        <f t="shared" ref="N97:N113" si="69">N91</f>
        <v>1.66666666666667</v>
      </c>
      <c r="O97" s="61">
        <f t="shared" ref="O97:O113" si="70">O91</f>
        <v>188.75</v>
      </c>
      <c r="P97" s="61">
        <f t="shared" ref="P97:Q113" si="71">P91</f>
        <v>1.66666666666667</v>
      </c>
      <c r="Q97" s="123">
        <f t="shared" si="71"/>
        <v>19</v>
      </c>
      <c r="R97" s="57">
        <v>31.54</v>
      </c>
      <c r="S97" s="57">
        <v>1</v>
      </c>
      <c r="V97" s="52"/>
      <c r="W97" s="106" t="s">
        <v>206</v>
      </c>
      <c r="X97" s="52"/>
      <c r="Y97" s="52" t="s">
        <v>106</v>
      </c>
      <c r="Z97" s="52" t="s">
        <v>107</v>
      </c>
      <c r="AA97" s="52"/>
      <c r="AB97" s="52"/>
      <c r="AC97" s="52"/>
      <c r="AG97" s="130">
        <v>0.124</v>
      </c>
    </row>
    <row r="98" spans="3:33">
      <c r="C98" s="106" t="s">
        <v>207</v>
      </c>
      <c r="D98" s="106" t="s">
        <v>104</v>
      </c>
      <c r="E98" s="106"/>
      <c r="F98" s="106" t="s">
        <v>205</v>
      </c>
      <c r="G98" s="94">
        <v>2021</v>
      </c>
      <c r="H98" s="91">
        <f>'[4]TechWatHea-SingleAttached'!$N$25</f>
        <v>0.9633267069663</v>
      </c>
      <c r="I98" s="91"/>
      <c r="J98" s="91">
        <v>0.132783850326185</v>
      </c>
      <c r="K98" s="61">
        <f t="shared" si="66"/>
        <v>300</v>
      </c>
      <c r="L98" s="61">
        <f t="shared" si="67"/>
        <v>21</v>
      </c>
      <c r="M98" s="61">
        <f t="shared" si="68"/>
        <v>300</v>
      </c>
      <c r="N98" s="61">
        <f t="shared" si="69"/>
        <v>21</v>
      </c>
      <c r="O98" s="61">
        <f t="shared" si="70"/>
        <v>300</v>
      </c>
      <c r="P98" s="61">
        <f t="shared" si="71"/>
        <v>21</v>
      </c>
      <c r="Q98" s="123">
        <f t="shared" si="71"/>
        <v>13</v>
      </c>
      <c r="R98" s="57">
        <v>31.54</v>
      </c>
      <c r="S98" s="57">
        <v>1</v>
      </c>
      <c r="V98" s="52"/>
      <c r="W98" s="106" t="s">
        <v>207</v>
      </c>
      <c r="X98" s="52"/>
      <c r="Y98" s="52" t="s">
        <v>106</v>
      </c>
      <c r="Z98" s="52" t="s">
        <v>107</v>
      </c>
      <c r="AA98" s="52"/>
      <c r="AB98" s="52"/>
      <c r="AC98" s="52"/>
      <c r="AG98" s="130"/>
    </row>
    <row r="99" spans="3:33">
      <c r="C99" s="106" t="s">
        <v>208</v>
      </c>
      <c r="D99" s="106" t="s">
        <v>201</v>
      </c>
      <c r="E99" s="106"/>
      <c r="F99" s="106" t="s">
        <v>205</v>
      </c>
      <c r="G99" s="94">
        <v>2021</v>
      </c>
      <c r="H99" s="91">
        <f>'[4]TechWatHea-SingleAttached'!$N$26</f>
        <v>0.9633267069663</v>
      </c>
      <c r="I99" s="91"/>
      <c r="J99" s="91">
        <v>0.209532473451036</v>
      </c>
      <c r="K99" s="61">
        <f t="shared" si="66"/>
        <v>202.6728</v>
      </c>
      <c r="L99" s="61">
        <f t="shared" si="67"/>
        <v>5.4592</v>
      </c>
      <c r="M99" s="61">
        <f t="shared" si="68"/>
        <v>202.6728</v>
      </c>
      <c r="N99" s="61">
        <f t="shared" si="69"/>
        <v>5.4592</v>
      </c>
      <c r="O99" s="61">
        <f t="shared" si="70"/>
        <v>202.6728</v>
      </c>
      <c r="P99" s="61">
        <f t="shared" si="71"/>
        <v>5.4592</v>
      </c>
      <c r="Q99" s="123">
        <f t="shared" si="71"/>
        <v>25</v>
      </c>
      <c r="R99" s="57">
        <v>31.54</v>
      </c>
      <c r="S99" s="57">
        <v>1</v>
      </c>
      <c r="V99" s="52"/>
      <c r="W99" s="106" t="s">
        <v>208</v>
      </c>
      <c r="X99" s="52"/>
      <c r="Y99" s="52" t="s">
        <v>106</v>
      </c>
      <c r="Z99" s="52" t="s">
        <v>107</v>
      </c>
      <c r="AA99" s="52"/>
      <c r="AB99" s="52"/>
      <c r="AC99" s="52"/>
      <c r="AG99">
        <v>0.65</v>
      </c>
    </row>
    <row r="100" spans="3:33">
      <c r="C100" s="106" t="s">
        <v>209</v>
      </c>
      <c r="D100" s="106" t="s">
        <v>120</v>
      </c>
      <c r="E100" s="106"/>
      <c r="F100" s="106" t="s">
        <v>205</v>
      </c>
      <c r="G100" s="94">
        <v>2021</v>
      </c>
      <c r="H100" s="91">
        <f>'[4]TechWatHea-SingleAttached'!$N$27</f>
        <v>0.9633267069663</v>
      </c>
      <c r="I100" s="91"/>
      <c r="J100" s="91">
        <v>0.404827071490822</v>
      </c>
      <c r="K100" s="61">
        <f t="shared" si="66"/>
        <v>308.4448</v>
      </c>
      <c r="L100" s="61">
        <f t="shared" si="67"/>
        <v>21.1544</v>
      </c>
      <c r="M100" s="61">
        <f t="shared" si="68"/>
        <v>308.4448</v>
      </c>
      <c r="N100" s="61">
        <f t="shared" si="69"/>
        <v>21.1544</v>
      </c>
      <c r="O100" s="61">
        <f t="shared" si="70"/>
        <v>308.4448</v>
      </c>
      <c r="P100" s="61">
        <f t="shared" si="71"/>
        <v>21.1544</v>
      </c>
      <c r="Q100" s="123">
        <f t="shared" si="71"/>
        <v>19</v>
      </c>
      <c r="R100" s="57">
        <v>31.54</v>
      </c>
      <c r="S100" s="57">
        <v>1</v>
      </c>
      <c r="V100" s="52"/>
      <c r="W100" s="106" t="s">
        <v>209</v>
      </c>
      <c r="X100" s="52"/>
      <c r="Y100" s="52" t="s">
        <v>106</v>
      </c>
      <c r="Z100" s="52" t="s">
        <v>107</v>
      </c>
      <c r="AA100" s="52"/>
      <c r="AB100" s="52"/>
      <c r="AC100" s="52"/>
      <c r="AG100">
        <v>0.65</v>
      </c>
    </row>
    <row r="101" spans="3:33">
      <c r="C101" s="106" t="s">
        <v>210</v>
      </c>
      <c r="D101" s="106" t="s">
        <v>131</v>
      </c>
      <c r="E101" s="106"/>
      <c r="F101" s="106" t="s">
        <v>205</v>
      </c>
      <c r="G101" s="94">
        <v>2021</v>
      </c>
      <c r="H101" s="91">
        <f>'[4]TechWatHea-SingleAttached'!$N$28</f>
        <v>0.9633267069663</v>
      </c>
      <c r="I101" s="91"/>
      <c r="J101" s="91">
        <f>'[4]TechWatHea-SingleAttached'!$N$59</f>
        <v>0.247987847453136</v>
      </c>
      <c r="K101" s="61">
        <f t="shared" si="66"/>
        <v>308.4448</v>
      </c>
      <c r="L101" s="61">
        <f t="shared" si="67"/>
        <v>21.1544</v>
      </c>
      <c r="M101" s="61">
        <f t="shared" si="68"/>
        <v>308.4448</v>
      </c>
      <c r="N101" s="61">
        <f t="shared" si="69"/>
        <v>21.1544</v>
      </c>
      <c r="O101" s="61">
        <f t="shared" si="70"/>
        <v>308.4448</v>
      </c>
      <c r="P101" s="61">
        <f t="shared" si="71"/>
        <v>21.1544</v>
      </c>
      <c r="Q101" s="123">
        <f t="shared" si="71"/>
        <v>19</v>
      </c>
      <c r="R101" s="57">
        <v>31.54</v>
      </c>
      <c r="S101" s="57">
        <v>1</v>
      </c>
      <c r="V101" s="52"/>
      <c r="W101" s="106" t="s">
        <v>210</v>
      </c>
      <c r="X101" s="52"/>
      <c r="Y101" s="52" t="s">
        <v>106</v>
      </c>
      <c r="Z101" s="52" t="s">
        <v>107</v>
      </c>
      <c r="AA101" s="52"/>
      <c r="AB101" s="52"/>
      <c r="AC101" s="52"/>
      <c r="AG101">
        <v>0.65</v>
      </c>
    </row>
    <row r="102" spans="3:33">
      <c r="C102" s="106" t="s">
        <v>211</v>
      </c>
      <c r="D102" s="106" t="s">
        <v>115</v>
      </c>
      <c r="E102" s="106"/>
      <c r="F102" s="106" t="s">
        <v>212</v>
      </c>
      <c r="G102" s="94">
        <v>2021</v>
      </c>
      <c r="H102" s="138">
        <f>'[4]TechWatHea-Appartment'!$N$23</f>
        <v>0.9633267069663</v>
      </c>
      <c r="I102" s="138"/>
      <c r="J102" s="91">
        <v>0.101179774061464</v>
      </c>
      <c r="K102" s="61">
        <f t="shared" si="66"/>
        <v>90.9090909090909</v>
      </c>
      <c r="L102" s="61">
        <f t="shared" si="67"/>
        <v>1.81818181818182</v>
      </c>
      <c r="M102" s="61">
        <f t="shared" si="68"/>
        <v>90.9090909090909</v>
      </c>
      <c r="N102" s="61">
        <f t="shared" si="69"/>
        <v>1.81818181818182</v>
      </c>
      <c r="O102" s="61">
        <f t="shared" si="70"/>
        <v>90.9090909090909</v>
      </c>
      <c r="P102" s="61">
        <f t="shared" si="71"/>
        <v>1.81818181818182</v>
      </c>
      <c r="Q102" s="123">
        <f t="shared" si="71"/>
        <v>13</v>
      </c>
      <c r="R102" s="57">
        <v>31.54</v>
      </c>
      <c r="S102" s="57">
        <v>1</v>
      </c>
      <c r="V102" s="52"/>
      <c r="W102" s="106" t="s">
        <v>211</v>
      </c>
      <c r="X102" s="52"/>
      <c r="Y102" s="52" t="s">
        <v>106</v>
      </c>
      <c r="Z102" s="52" t="s">
        <v>107</v>
      </c>
      <c r="AA102" s="52"/>
      <c r="AB102" s="52"/>
      <c r="AC102" s="52"/>
      <c r="AG102">
        <v>0.65</v>
      </c>
    </row>
    <row r="103" spans="3:33">
      <c r="C103" s="106" t="s">
        <v>213</v>
      </c>
      <c r="D103" s="106" t="s">
        <v>111</v>
      </c>
      <c r="E103" s="106"/>
      <c r="F103" s="106" t="s">
        <v>212</v>
      </c>
      <c r="G103" s="94">
        <v>2021</v>
      </c>
      <c r="H103" s="138">
        <f>'[4]TechWatHea-Appartment'!$N$24</f>
        <v>0.9633267069663</v>
      </c>
      <c r="I103" s="138"/>
      <c r="J103" s="91">
        <v>0.24860663198917</v>
      </c>
      <c r="K103" s="61">
        <f t="shared" si="66"/>
        <v>188.75</v>
      </c>
      <c r="L103" s="61">
        <f t="shared" si="67"/>
        <v>1.66666666666667</v>
      </c>
      <c r="M103" s="61">
        <f t="shared" si="68"/>
        <v>188.75</v>
      </c>
      <c r="N103" s="61">
        <f t="shared" si="69"/>
        <v>1.66666666666667</v>
      </c>
      <c r="O103" s="61">
        <f t="shared" si="70"/>
        <v>188.75</v>
      </c>
      <c r="P103" s="61">
        <f t="shared" si="71"/>
        <v>1.66666666666667</v>
      </c>
      <c r="Q103" s="123">
        <f t="shared" ref="Q103" si="72">Q97</f>
        <v>19</v>
      </c>
      <c r="R103" s="57">
        <v>31.54</v>
      </c>
      <c r="S103" s="57">
        <v>1</v>
      </c>
      <c r="V103" s="52"/>
      <c r="W103" s="106" t="s">
        <v>213</v>
      </c>
      <c r="X103" s="52"/>
      <c r="Y103" s="52" t="s">
        <v>106</v>
      </c>
      <c r="Z103" s="52" t="s">
        <v>107</v>
      </c>
      <c r="AA103" s="52"/>
      <c r="AB103" s="52"/>
      <c r="AC103" s="52"/>
      <c r="AG103">
        <v>0.65</v>
      </c>
    </row>
    <row r="104" spans="3:33">
      <c r="C104" s="106" t="s">
        <v>214</v>
      </c>
      <c r="D104" s="106" t="s">
        <v>104</v>
      </c>
      <c r="E104" s="106"/>
      <c r="F104" s="106" t="s">
        <v>212</v>
      </c>
      <c r="G104" s="94">
        <v>2021</v>
      </c>
      <c r="H104" s="138">
        <f>'[4]TechWatHea-Appartment'!$N$25</f>
        <v>0.9633267069663</v>
      </c>
      <c r="I104" s="138"/>
      <c r="J104" s="91">
        <v>0.0885606517857261</v>
      </c>
      <c r="K104" s="61">
        <f t="shared" si="66"/>
        <v>300</v>
      </c>
      <c r="L104" s="61">
        <f t="shared" si="67"/>
        <v>21</v>
      </c>
      <c r="M104" s="61">
        <f t="shared" si="68"/>
        <v>300</v>
      </c>
      <c r="N104" s="61">
        <f t="shared" si="69"/>
        <v>21</v>
      </c>
      <c r="O104" s="61">
        <f t="shared" si="70"/>
        <v>300</v>
      </c>
      <c r="P104" s="61">
        <f t="shared" si="71"/>
        <v>21</v>
      </c>
      <c r="Q104" s="123">
        <f t="shared" ref="Q104" si="73">Q98</f>
        <v>13</v>
      </c>
      <c r="R104" s="57">
        <v>31.54</v>
      </c>
      <c r="S104" s="57">
        <v>1</v>
      </c>
      <c r="V104" s="52"/>
      <c r="W104" s="106" t="s">
        <v>214</v>
      </c>
      <c r="X104" s="52"/>
      <c r="Y104" s="52" t="s">
        <v>106</v>
      </c>
      <c r="Z104" s="52" t="s">
        <v>107</v>
      </c>
      <c r="AA104" s="52"/>
      <c r="AB104" s="52"/>
      <c r="AC104" s="52"/>
      <c r="AG104">
        <v>0.65</v>
      </c>
    </row>
    <row r="105" spans="3:33">
      <c r="C105" s="106" t="s">
        <v>215</v>
      </c>
      <c r="D105" s="106" t="s">
        <v>201</v>
      </c>
      <c r="E105" s="106"/>
      <c r="F105" s="106" t="s">
        <v>212</v>
      </c>
      <c r="G105" s="94">
        <v>2021</v>
      </c>
      <c r="H105" s="138">
        <f>'[4]TechWatHea-Appartment'!$N$26</f>
        <v>0.9633267069663</v>
      </c>
      <c r="I105" s="138"/>
      <c r="J105" s="91">
        <v>0.143923107198767</v>
      </c>
      <c r="K105" s="61">
        <f t="shared" si="66"/>
        <v>202.6728</v>
      </c>
      <c r="L105" s="61">
        <f t="shared" si="67"/>
        <v>5.4592</v>
      </c>
      <c r="M105" s="61">
        <f t="shared" si="68"/>
        <v>202.6728</v>
      </c>
      <c r="N105" s="61">
        <f t="shared" si="69"/>
        <v>5.4592</v>
      </c>
      <c r="O105" s="61">
        <f t="shared" si="70"/>
        <v>202.6728</v>
      </c>
      <c r="P105" s="61">
        <f t="shared" si="71"/>
        <v>5.4592</v>
      </c>
      <c r="Q105" s="123">
        <f t="shared" ref="Q105" si="74">Q99</f>
        <v>25</v>
      </c>
      <c r="R105" s="57">
        <v>31.54</v>
      </c>
      <c r="S105" s="57">
        <v>1</v>
      </c>
      <c r="V105" s="145"/>
      <c r="W105" s="106" t="s">
        <v>215</v>
      </c>
      <c r="X105" s="146"/>
      <c r="Y105" s="145" t="s">
        <v>106</v>
      </c>
      <c r="Z105" s="145" t="s">
        <v>107</v>
      </c>
      <c r="AA105" s="52"/>
      <c r="AB105" s="145"/>
      <c r="AC105" s="145"/>
      <c r="AG105">
        <v>0.65</v>
      </c>
    </row>
    <row r="106" spans="3:33">
      <c r="C106" s="106" t="s">
        <v>216</v>
      </c>
      <c r="D106" s="106" t="s">
        <v>120</v>
      </c>
      <c r="E106" s="106"/>
      <c r="F106" s="106" t="s">
        <v>212</v>
      </c>
      <c r="G106" s="94">
        <v>2021</v>
      </c>
      <c r="H106" s="138">
        <f>'[4]TechWatHea-Appartment'!$N$27</f>
        <v>0.9633267069663</v>
      </c>
      <c r="I106" s="138"/>
      <c r="J106" s="91">
        <v>0.281268478157475</v>
      </c>
      <c r="K106" s="61">
        <f t="shared" si="66"/>
        <v>308.4448</v>
      </c>
      <c r="L106" s="61">
        <f t="shared" si="67"/>
        <v>21.1544</v>
      </c>
      <c r="M106" s="61">
        <f t="shared" si="68"/>
        <v>308.4448</v>
      </c>
      <c r="N106" s="61">
        <f t="shared" si="69"/>
        <v>21.1544</v>
      </c>
      <c r="O106" s="61">
        <f t="shared" si="70"/>
        <v>308.4448</v>
      </c>
      <c r="P106" s="61">
        <f t="shared" si="71"/>
        <v>21.1544</v>
      </c>
      <c r="Q106" s="123">
        <f t="shared" ref="Q106" si="75">Q100</f>
        <v>19</v>
      </c>
      <c r="R106" s="57">
        <v>31.54</v>
      </c>
      <c r="S106" s="57">
        <v>1</v>
      </c>
      <c r="W106" s="106" t="s">
        <v>216</v>
      </c>
      <c r="Y106" s="145" t="s">
        <v>106</v>
      </c>
      <c r="Z106" s="145" t="s">
        <v>107</v>
      </c>
      <c r="AA106" s="52"/>
      <c r="AB106" s="145"/>
      <c r="AC106" s="145"/>
      <c r="AG106">
        <v>0.65</v>
      </c>
    </row>
    <row r="107" spans="3:33">
      <c r="C107" s="106" t="s">
        <v>217</v>
      </c>
      <c r="D107" s="106" t="s">
        <v>131</v>
      </c>
      <c r="E107" s="106"/>
      <c r="F107" s="106" t="s">
        <v>212</v>
      </c>
      <c r="G107" s="94">
        <v>2021</v>
      </c>
      <c r="H107" s="138">
        <f>'[4]TechWatHea-Appartment'!$N$28</f>
        <v>0.9633267069663</v>
      </c>
      <c r="I107" s="138"/>
      <c r="J107" s="91">
        <f>'[4]TechWatHea-Appartment'!$N$59</f>
        <v>0.17270772863852</v>
      </c>
      <c r="K107" s="61">
        <f t="shared" si="66"/>
        <v>308.4448</v>
      </c>
      <c r="L107" s="61">
        <f t="shared" si="67"/>
        <v>21.1544</v>
      </c>
      <c r="M107" s="61">
        <f t="shared" si="68"/>
        <v>308.4448</v>
      </c>
      <c r="N107" s="61">
        <f t="shared" si="69"/>
        <v>21.1544</v>
      </c>
      <c r="O107" s="61">
        <f t="shared" si="70"/>
        <v>308.4448</v>
      </c>
      <c r="P107" s="61">
        <f t="shared" si="71"/>
        <v>21.1544</v>
      </c>
      <c r="Q107" s="123">
        <f t="shared" ref="Q107:Q108" si="76">Q101</f>
        <v>19</v>
      </c>
      <c r="R107" s="57">
        <v>31.54</v>
      </c>
      <c r="S107" s="57">
        <v>1</v>
      </c>
      <c r="W107" s="106" t="s">
        <v>217</v>
      </c>
      <c r="Y107" s="145" t="s">
        <v>106</v>
      </c>
      <c r="Z107" s="145" t="s">
        <v>107</v>
      </c>
      <c r="AA107" s="52"/>
      <c r="AB107" s="145"/>
      <c r="AC107" s="145"/>
      <c r="AG107">
        <v>0.65</v>
      </c>
    </row>
    <row r="108" spans="3:33">
      <c r="C108" s="106" t="s">
        <v>218</v>
      </c>
      <c r="D108" s="106" t="s">
        <v>115</v>
      </c>
      <c r="E108" s="106"/>
      <c r="F108" s="106" t="s">
        <v>219</v>
      </c>
      <c r="G108" s="40">
        <v>2021</v>
      </c>
      <c r="H108" s="139">
        <f>'[4]TechWatHea-MobileHome'!$N$23</f>
        <v>0.9633267069663</v>
      </c>
      <c r="I108" s="139"/>
      <c r="J108" s="41">
        <v>0.0964593420357701</v>
      </c>
      <c r="K108" s="61">
        <f t="shared" si="66"/>
        <v>90.9090909090909</v>
      </c>
      <c r="L108" s="61">
        <f t="shared" si="67"/>
        <v>1.81818181818182</v>
      </c>
      <c r="M108" s="61">
        <f t="shared" si="68"/>
        <v>90.9090909090909</v>
      </c>
      <c r="N108" s="61">
        <f t="shared" si="69"/>
        <v>1.81818181818182</v>
      </c>
      <c r="O108" s="61">
        <f t="shared" si="70"/>
        <v>90.9090909090909</v>
      </c>
      <c r="P108" s="61">
        <f t="shared" si="71"/>
        <v>1.81818181818182</v>
      </c>
      <c r="Q108" s="123">
        <f t="shared" si="76"/>
        <v>13</v>
      </c>
      <c r="R108">
        <v>31.54</v>
      </c>
      <c r="S108">
        <v>1</v>
      </c>
      <c r="W108" s="106" t="s">
        <v>218</v>
      </c>
      <c r="Y108" s="145" t="s">
        <v>106</v>
      </c>
      <c r="Z108" s="145" t="s">
        <v>107</v>
      </c>
      <c r="AA108" s="52"/>
      <c r="AB108" s="145"/>
      <c r="AC108" s="145"/>
      <c r="AG108">
        <v>0.65</v>
      </c>
    </row>
    <row r="109" spans="3:33">
      <c r="C109" s="106" t="s">
        <v>220</v>
      </c>
      <c r="D109" s="106" t="s">
        <v>111</v>
      </c>
      <c r="E109" s="106"/>
      <c r="F109" s="106" t="s">
        <v>219</v>
      </c>
      <c r="G109" s="40">
        <v>2021</v>
      </c>
      <c r="H109" s="139">
        <f>'[4]TechWatHea-MobileHome'!$N$24</f>
        <v>0.9633267069663</v>
      </c>
      <c r="I109" s="139"/>
      <c r="J109" s="41">
        <v>0.238284635968276</v>
      </c>
      <c r="K109" s="61">
        <f t="shared" si="66"/>
        <v>188.75</v>
      </c>
      <c r="L109" s="61">
        <f t="shared" si="67"/>
        <v>1.66666666666667</v>
      </c>
      <c r="M109" s="61">
        <f t="shared" si="68"/>
        <v>188.75</v>
      </c>
      <c r="N109" s="61">
        <f t="shared" si="69"/>
        <v>1.66666666666667</v>
      </c>
      <c r="O109" s="61">
        <f t="shared" si="70"/>
        <v>188.75</v>
      </c>
      <c r="P109" s="61">
        <f t="shared" si="71"/>
        <v>1.66666666666667</v>
      </c>
      <c r="Q109" s="123">
        <f t="shared" ref="Q109" si="77">Q103</f>
        <v>19</v>
      </c>
      <c r="R109">
        <v>31.54</v>
      </c>
      <c r="S109">
        <v>1</v>
      </c>
      <c r="W109" s="106" t="s">
        <v>220</v>
      </c>
      <c r="Y109" s="145" t="s">
        <v>106</v>
      </c>
      <c r="Z109" s="145" t="s">
        <v>107</v>
      </c>
      <c r="AA109" s="52"/>
      <c r="AB109" s="145"/>
      <c r="AC109" s="145"/>
      <c r="AG109">
        <v>0.65</v>
      </c>
    </row>
    <row r="110" spans="3:33">
      <c r="C110" s="106" t="s">
        <v>221</v>
      </c>
      <c r="D110" s="106" t="s">
        <v>104</v>
      </c>
      <c r="E110" s="106"/>
      <c r="F110" s="106" t="s">
        <v>219</v>
      </c>
      <c r="G110" s="40">
        <v>2021</v>
      </c>
      <c r="H110" s="139">
        <f>'[4]TechWatHea-MobileHome'!$N$25</f>
        <v>0.9633267069663</v>
      </c>
      <c r="I110" s="139"/>
      <c r="J110" s="41">
        <v>0.0970861518499944</v>
      </c>
      <c r="K110" s="61">
        <f t="shared" si="66"/>
        <v>300</v>
      </c>
      <c r="L110" s="61">
        <f t="shared" si="67"/>
        <v>21</v>
      </c>
      <c r="M110" s="61">
        <f t="shared" si="68"/>
        <v>300</v>
      </c>
      <c r="N110" s="61">
        <f t="shared" si="69"/>
        <v>21</v>
      </c>
      <c r="O110" s="61">
        <f t="shared" si="70"/>
        <v>300</v>
      </c>
      <c r="P110" s="61">
        <f t="shared" si="71"/>
        <v>21</v>
      </c>
      <c r="Q110" s="123">
        <f t="shared" ref="Q110" si="78">Q104</f>
        <v>13</v>
      </c>
      <c r="R110">
        <v>31.54</v>
      </c>
      <c r="S110">
        <v>1</v>
      </c>
      <c r="W110" s="106" t="s">
        <v>221</v>
      </c>
      <c r="Y110" s="145" t="s">
        <v>106</v>
      </c>
      <c r="Z110" s="145" t="s">
        <v>107</v>
      </c>
      <c r="AA110" s="52"/>
      <c r="AB110" s="145"/>
      <c r="AC110" s="145"/>
      <c r="AG110">
        <v>0.65</v>
      </c>
    </row>
    <row r="111" spans="3:33">
      <c r="C111" s="106" t="s">
        <v>222</v>
      </c>
      <c r="D111" s="106" t="s">
        <v>201</v>
      </c>
      <c r="E111" s="106"/>
      <c r="F111" s="106" t="s">
        <v>219</v>
      </c>
      <c r="G111" s="40">
        <v>2021</v>
      </c>
      <c r="H111" s="139">
        <f>'[4]TechWatHea-MobileHome'!$N$26</f>
        <v>0.9633267069663</v>
      </c>
      <c r="I111" s="139"/>
      <c r="J111" s="41">
        <v>0.156352937048249</v>
      </c>
      <c r="K111" s="61">
        <f t="shared" si="66"/>
        <v>202.6728</v>
      </c>
      <c r="L111" s="61">
        <f t="shared" si="67"/>
        <v>5.4592</v>
      </c>
      <c r="M111" s="61">
        <f t="shared" si="68"/>
        <v>202.6728</v>
      </c>
      <c r="N111" s="61">
        <f t="shared" si="69"/>
        <v>5.4592</v>
      </c>
      <c r="O111" s="61">
        <f t="shared" si="70"/>
        <v>202.6728</v>
      </c>
      <c r="P111" s="61">
        <f t="shared" si="71"/>
        <v>5.4592</v>
      </c>
      <c r="Q111" s="123">
        <f t="shared" ref="Q111" si="79">Q105</f>
        <v>25</v>
      </c>
      <c r="R111">
        <v>31.54</v>
      </c>
      <c r="S111">
        <v>1</v>
      </c>
      <c r="W111" s="106" t="s">
        <v>222</v>
      </c>
      <c r="Y111" s="145" t="s">
        <v>106</v>
      </c>
      <c r="Z111" s="145" t="s">
        <v>107</v>
      </c>
      <c r="AA111" s="52"/>
      <c r="AB111" s="145"/>
      <c r="AC111" s="145"/>
      <c r="AG111">
        <v>0.65</v>
      </c>
    </row>
    <row r="112" spans="3:33">
      <c r="C112" s="106" t="s">
        <v>223</v>
      </c>
      <c r="D112" s="106" t="s">
        <v>120</v>
      </c>
      <c r="E112" s="106"/>
      <c r="F112" s="106" t="s">
        <v>219</v>
      </c>
      <c r="G112" s="40">
        <v>2021</v>
      </c>
      <c r="H112" s="139">
        <f>'[4]TechWatHea-MobileHome'!$N$27</f>
        <v>0.9633267069663</v>
      </c>
      <c r="I112" s="139"/>
      <c r="J112" s="41">
        <v>0.308140357277919</v>
      </c>
      <c r="K112" s="61">
        <f t="shared" si="66"/>
        <v>308.4448</v>
      </c>
      <c r="L112" s="61">
        <f t="shared" si="67"/>
        <v>21.1544</v>
      </c>
      <c r="M112" s="61">
        <f t="shared" si="68"/>
        <v>308.4448</v>
      </c>
      <c r="N112" s="61">
        <f t="shared" si="69"/>
        <v>21.1544</v>
      </c>
      <c r="O112" s="61">
        <f t="shared" si="70"/>
        <v>308.4448</v>
      </c>
      <c r="P112" s="61">
        <f t="shared" si="71"/>
        <v>21.1544</v>
      </c>
      <c r="Q112" s="123">
        <f t="shared" ref="Q112" si="80">Q106</f>
        <v>19</v>
      </c>
      <c r="R112">
        <v>31.54</v>
      </c>
      <c r="S112">
        <v>1</v>
      </c>
      <c r="W112" s="106" t="s">
        <v>223</v>
      </c>
      <c r="Y112" s="145" t="s">
        <v>106</v>
      </c>
      <c r="Z112" s="145" t="s">
        <v>107</v>
      </c>
      <c r="AA112" s="52"/>
      <c r="AB112" s="145"/>
      <c r="AC112" s="145"/>
      <c r="AG112">
        <v>0.65</v>
      </c>
    </row>
    <row r="113" spans="3:33">
      <c r="C113" s="106" t="s">
        <v>224</v>
      </c>
      <c r="D113" s="106" t="s">
        <v>131</v>
      </c>
      <c r="E113" s="106"/>
      <c r="F113" s="106" t="s">
        <v>219</v>
      </c>
      <c r="G113" s="40">
        <v>2021</v>
      </c>
      <c r="H113" s="139">
        <f>'[4]TechWatHea-MobileHome'!$N$28</f>
        <v>0.9633267069663</v>
      </c>
      <c r="I113" s="139"/>
      <c r="J113" s="41">
        <f>'[4]TechWatHea-MobileHome'!$N$59</f>
        <v>0.179264684836042</v>
      </c>
      <c r="K113" s="61">
        <f t="shared" si="66"/>
        <v>308.4448</v>
      </c>
      <c r="L113" s="61">
        <f t="shared" si="67"/>
        <v>21.1544</v>
      </c>
      <c r="M113" s="61">
        <f t="shared" si="68"/>
        <v>308.4448</v>
      </c>
      <c r="N113" s="61">
        <f t="shared" si="69"/>
        <v>21.1544</v>
      </c>
      <c r="O113" s="61">
        <f t="shared" si="70"/>
        <v>308.4448</v>
      </c>
      <c r="P113" s="61">
        <f t="shared" si="71"/>
        <v>21.1544</v>
      </c>
      <c r="Q113" s="123">
        <f t="shared" ref="Q113" si="81">Q107</f>
        <v>19</v>
      </c>
      <c r="R113">
        <v>31.54</v>
      </c>
      <c r="S113">
        <v>1</v>
      </c>
      <c r="W113" s="106" t="s">
        <v>224</v>
      </c>
      <c r="Y113" s="145" t="s">
        <v>106</v>
      </c>
      <c r="Z113" s="145" t="s">
        <v>107</v>
      </c>
      <c r="AA113" s="52"/>
      <c r="AB113" s="145"/>
      <c r="AC113" s="145"/>
      <c r="AG113">
        <v>0.65</v>
      </c>
    </row>
    <row r="114" spans="3:33">
      <c r="C114" s="106" t="s">
        <v>225</v>
      </c>
      <c r="D114" s="106" t="s">
        <v>115</v>
      </c>
      <c r="E114" s="106"/>
      <c r="F114" s="106" t="s">
        <v>226</v>
      </c>
      <c r="G114" s="40">
        <v>2021</v>
      </c>
      <c r="H114" s="115">
        <f>'[4]Tech-Appliance'!$N$24</f>
        <v>0.557300803809499</v>
      </c>
      <c r="I114" s="115"/>
      <c r="J114" s="41">
        <v>0.0454585176842925</v>
      </c>
      <c r="K114" s="142">
        <f>1130/0.079*J114*1</f>
        <v>650.229430167728</v>
      </c>
      <c r="L114" s="142">
        <f>20/0.079*J114</f>
        <v>11.5084854896943</v>
      </c>
      <c r="M114" s="142">
        <f>K114</f>
        <v>650.229430167728</v>
      </c>
      <c r="N114" s="142">
        <f>L114</f>
        <v>11.5084854896943</v>
      </c>
      <c r="O114" s="142">
        <f t="shared" ref="O114:O121" si="82">K114</f>
        <v>650.229430167728</v>
      </c>
      <c r="P114" s="142">
        <f t="shared" ref="P114:P121" si="83">L114</f>
        <v>11.5084854896943</v>
      </c>
      <c r="Q114" s="142">
        <v>15</v>
      </c>
      <c r="R114">
        <v>31.54</v>
      </c>
      <c r="S114">
        <v>1</v>
      </c>
      <c r="W114" s="106" t="s">
        <v>225</v>
      </c>
      <c r="Y114" s="145" t="s">
        <v>106</v>
      </c>
      <c r="Z114" s="145" t="s">
        <v>107</v>
      </c>
      <c r="AA114" s="52"/>
      <c r="AB114" s="145"/>
      <c r="AC114" s="145"/>
      <c r="AG114">
        <v>0.65</v>
      </c>
    </row>
    <row r="115" spans="3:33">
      <c r="C115" s="106" t="s">
        <v>227</v>
      </c>
      <c r="D115" s="106" t="s">
        <v>115</v>
      </c>
      <c r="E115" s="106"/>
      <c r="F115" s="106" t="s">
        <v>228</v>
      </c>
      <c r="G115" s="40">
        <v>2021</v>
      </c>
      <c r="H115" s="115">
        <f>'[4]Tech-Appliance'!$N$25</f>
        <v>0.56468068968069</v>
      </c>
      <c r="I115" s="115"/>
      <c r="J115" s="41">
        <v>0.0454585176842925</v>
      </c>
      <c r="K115" s="142">
        <f>880/0.05*J115</f>
        <v>800.069911243548</v>
      </c>
      <c r="L115" s="142">
        <f>10/0.05*J115</f>
        <v>9.0917035368585</v>
      </c>
      <c r="M115" s="142">
        <f>K115</f>
        <v>800.069911243548</v>
      </c>
      <c r="N115" s="142">
        <f t="shared" ref="N115:P115" si="84">L115</f>
        <v>9.0917035368585</v>
      </c>
      <c r="O115" s="142">
        <f t="shared" si="84"/>
        <v>800.069911243548</v>
      </c>
      <c r="P115" s="142">
        <f t="shared" si="84"/>
        <v>9.0917035368585</v>
      </c>
      <c r="Q115" s="142">
        <v>21</v>
      </c>
      <c r="R115">
        <v>31.54</v>
      </c>
      <c r="S115">
        <v>1</v>
      </c>
      <c r="W115" s="106" t="s">
        <v>227</v>
      </c>
      <c r="Y115" s="145" t="s">
        <v>106</v>
      </c>
      <c r="Z115" s="145" t="s">
        <v>107</v>
      </c>
      <c r="AA115" s="52"/>
      <c r="AB115" s="145"/>
      <c r="AC115" s="145"/>
      <c r="AG115">
        <v>0.65</v>
      </c>
    </row>
    <row r="116" spans="3:33">
      <c r="C116" s="106" t="s">
        <v>229</v>
      </c>
      <c r="D116" s="106" t="s">
        <v>115</v>
      </c>
      <c r="E116" s="106"/>
      <c r="F116" s="106" t="s">
        <v>230</v>
      </c>
      <c r="G116" s="40">
        <v>2021</v>
      </c>
      <c r="H116" s="115">
        <f>'[4]Tech-Appliance'!$N$26</f>
        <v>0.959183673469388</v>
      </c>
      <c r="I116" s="115"/>
      <c r="J116" s="41">
        <v>0.0454585176842925</v>
      </c>
      <c r="K116" s="142">
        <f>570/0.03*J116</f>
        <v>863.711836001558</v>
      </c>
      <c r="L116" s="142">
        <f t="shared" ref="L116:N116" si="85">L115</f>
        <v>9.0917035368585</v>
      </c>
      <c r="M116" s="142">
        <f t="shared" si="85"/>
        <v>800.069911243548</v>
      </c>
      <c r="N116" s="142">
        <f t="shared" si="85"/>
        <v>9.0917035368585</v>
      </c>
      <c r="O116" s="142">
        <f t="shared" si="82"/>
        <v>863.711836001558</v>
      </c>
      <c r="P116" s="142">
        <f t="shared" si="83"/>
        <v>9.0917035368585</v>
      </c>
      <c r="Q116" s="142">
        <v>15</v>
      </c>
      <c r="R116">
        <v>31.54</v>
      </c>
      <c r="S116">
        <v>1</v>
      </c>
      <c r="W116" s="106" t="s">
        <v>229</v>
      </c>
      <c r="Y116" s="145" t="s">
        <v>106</v>
      </c>
      <c r="Z116" s="145" t="s">
        <v>107</v>
      </c>
      <c r="AA116" s="52"/>
      <c r="AB116" s="145"/>
      <c r="AC116" s="145"/>
      <c r="AG116">
        <v>0.65</v>
      </c>
    </row>
    <row r="117" spans="3:33">
      <c r="C117" s="106" t="s">
        <v>231</v>
      </c>
      <c r="D117" s="106" t="s">
        <v>115</v>
      </c>
      <c r="E117" s="106"/>
      <c r="F117" s="106" t="s">
        <v>232</v>
      </c>
      <c r="G117" s="40">
        <v>2021</v>
      </c>
      <c r="H117" s="115">
        <f>'[4]Tech-Appliance'!$N$27</f>
        <v>0.935714285714286</v>
      </c>
      <c r="I117" s="115"/>
      <c r="J117" s="41">
        <v>0.0454585176842925</v>
      </c>
      <c r="K117" s="115">
        <f>1175/0.4</f>
        <v>2937.5</v>
      </c>
      <c r="L117" s="115">
        <f>15/0.4</f>
        <v>37.5</v>
      </c>
      <c r="M117" s="115">
        <f>K117</f>
        <v>2937.5</v>
      </c>
      <c r="N117" s="115">
        <f>L117</f>
        <v>37.5</v>
      </c>
      <c r="O117" s="115">
        <f t="shared" si="82"/>
        <v>2937.5</v>
      </c>
      <c r="P117" s="115">
        <f t="shared" si="83"/>
        <v>37.5</v>
      </c>
      <c r="Q117" s="142">
        <v>12</v>
      </c>
      <c r="R117">
        <v>31.54</v>
      </c>
      <c r="S117">
        <v>1</v>
      </c>
      <c r="W117" s="106" t="s">
        <v>231</v>
      </c>
      <c r="Y117" s="145" t="s">
        <v>106</v>
      </c>
      <c r="Z117" s="145" t="s">
        <v>107</v>
      </c>
      <c r="AA117" s="52"/>
      <c r="AB117" s="145"/>
      <c r="AC117" s="145"/>
      <c r="AG117">
        <v>0.65</v>
      </c>
    </row>
    <row r="118" spans="3:33">
      <c r="C118" s="106" t="s">
        <v>233</v>
      </c>
      <c r="D118" s="106" t="s">
        <v>115</v>
      </c>
      <c r="E118" s="106"/>
      <c r="F118" s="106" t="s">
        <v>234</v>
      </c>
      <c r="G118" s="40">
        <v>2021</v>
      </c>
      <c r="H118" s="115">
        <f>'[4]Tech-Appliance'!$N$28</f>
        <v>0.86804850236468</v>
      </c>
      <c r="I118" s="115"/>
      <c r="J118" s="41">
        <v>0.0454585176842925</v>
      </c>
      <c r="K118" s="115">
        <f>710/3.2</f>
        <v>221.875</v>
      </c>
      <c r="L118" s="115">
        <f>L117</f>
        <v>37.5</v>
      </c>
      <c r="M118" s="115">
        <f>K118</f>
        <v>221.875</v>
      </c>
      <c r="N118" s="115">
        <f>L118</f>
        <v>37.5</v>
      </c>
      <c r="O118" s="115">
        <f>M118</f>
        <v>221.875</v>
      </c>
      <c r="P118" s="115">
        <f t="shared" si="83"/>
        <v>37.5</v>
      </c>
      <c r="Q118" s="142">
        <v>13</v>
      </c>
      <c r="R118">
        <v>31.54</v>
      </c>
      <c r="S118">
        <v>1</v>
      </c>
      <c r="W118" s="106" t="s">
        <v>233</v>
      </c>
      <c r="Y118" s="145" t="s">
        <v>106</v>
      </c>
      <c r="Z118" s="145" t="s">
        <v>107</v>
      </c>
      <c r="AA118" s="52"/>
      <c r="AB118" s="145"/>
      <c r="AC118" s="145"/>
      <c r="AG118">
        <v>0.65</v>
      </c>
    </row>
    <row r="119" spans="3:33">
      <c r="C119" s="106" t="s">
        <v>235</v>
      </c>
      <c r="D119" s="106" t="s">
        <v>115</v>
      </c>
      <c r="E119" s="106"/>
      <c r="F119" s="106" t="s">
        <v>236</v>
      </c>
      <c r="G119" s="40">
        <v>2021</v>
      </c>
      <c r="H119" s="115">
        <f>'[4]Tech-Appliance'!$N$29</f>
        <v>0.639150474744065</v>
      </c>
      <c r="I119" s="115"/>
      <c r="J119" s="41">
        <v>0.0454585176842925</v>
      </c>
      <c r="K119" s="41">
        <f>770/(2.5+2.7)</f>
        <v>148.076923076923</v>
      </c>
      <c r="L119" s="41">
        <f>L118</f>
        <v>37.5</v>
      </c>
      <c r="M119" s="41">
        <f>K119</f>
        <v>148.076923076923</v>
      </c>
      <c r="N119" s="41">
        <f t="shared" ref="N119" si="86">N118</f>
        <v>37.5</v>
      </c>
      <c r="O119" s="41">
        <f t="shared" si="82"/>
        <v>148.076923076923</v>
      </c>
      <c r="P119" s="41">
        <f t="shared" si="83"/>
        <v>37.5</v>
      </c>
      <c r="Q119" s="142">
        <v>17</v>
      </c>
      <c r="R119">
        <v>31.54</v>
      </c>
      <c r="S119">
        <v>1</v>
      </c>
      <c r="W119" s="106" t="s">
        <v>235</v>
      </c>
      <c r="Y119" s="145" t="s">
        <v>106</v>
      </c>
      <c r="Z119" s="145" t="s">
        <v>107</v>
      </c>
      <c r="AA119" s="52"/>
      <c r="AB119" s="145"/>
      <c r="AC119" s="145"/>
      <c r="AG119">
        <v>0.65</v>
      </c>
    </row>
    <row r="120" spans="3:33">
      <c r="C120" s="106" t="s">
        <v>237</v>
      </c>
      <c r="D120" s="106" t="s">
        <v>115</v>
      </c>
      <c r="E120" s="106"/>
      <c r="F120" s="106" t="s">
        <v>238</v>
      </c>
      <c r="G120" s="40">
        <v>2021</v>
      </c>
      <c r="H120" s="115">
        <f>'[4]Tech-Appliance'!$N$30</f>
        <v>0.556687681917953</v>
      </c>
      <c r="I120" s="115"/>
      <c r="J120" s="41">
        <v>0.0454585176842925</v>
      </c>
      <c r="K120" s="41">
        <f t="shared" ref="K120:Q120" si="87">AVERAGE(K114:K119)</f>
        <v>936.910516748293</v>
      </c>
      <c r="L120" s="41">
        <f t="shared" si="87"/>
        <v>23.6986487605685</v>
      </c>
      <c r="M120" s="41">
        <f t="shared" si="87"/>
        <v>926.303529288624</v>
      </c>
      <c r="N120" s="41">
        <f t="shared" si="87"/>
        <v>23.6986487605685</v>
      </c>
      <c r="O120" s="41">
        <f t="shared" si="87"/>
        <v>936.910516748293</v>
      </c>
      <c r="P120" s="41">
        <f t="shared" si="87"/>
        <v>23.6986487605685</v>
      </c>
      <c r="Q120" s="142">
        <f t="shared" si="87"/>
        <v>15.5</v>
      </c>
      <c r="R120">
        <v>31.54</v>
      </c>
      <c r="S120">
        <v>1</v>
      </c>
      <c r="W120" s="106" t="s">
        <v>237</v>
      </c>
      <c r="Y120" s="145" t="s">
        <v>106</v>
      </c>
      <c r="Z120" s="145" t="s">
        <v>107</v>
      </c>
      <c r="AA120" s="52"/>
      <c r="AB120" s="145"/>
      <c r="AC120" s="145"/>
      <c r="AG120">
        <v>0.65</v>
      </c>
    </row>
    <row r="121" spans="3:33">
      <c r="C121" s="106" t="s">
        <v>239</v>
      </c>
      <c r="D121" s="106" t="s">
        <v>115</v>
      </c>
      <c r="E121" s="106"/>
      <c r="F121" s="106" t="s">
        <v>240</v>
      </c>
      <c r="G121" s="40">
        <v>2021</v>
      </c>
      <c r="H121" s="140">
        <f>[4]TechLighting!$N$23</f>
        <v>0.695684634187153</v>
      </c>
      <c r="I121" s="115"/>
      <c r="J121" s="140">
        <f>[4]TechLighting!$N$54</f>
        <v>0.0585651063878025</v>
      </c>
      <c r="K121" s="41">
        <f>K120</f>
        <v>936.910516748293</v>
      </c>
      <c r="L121" s="41">
        <f t="shared" ref="L121:N121" si="88">L120</f>
        <v>23.6986487605685</v>
      </c>
      <c r="M121" s="41">
        <f t="shared" si="88"/>
        <v>926.303529288624</v>
      </c>
      <c r="N121" s="41">
        <f t="shared" si="88"/>
        <v>23.6986487605685</v>
      </c>
      <c r="O121" s="41">
        <f t="shared" si="82"/>
        <v>936.910516748293</v>
      </c>
      <c r="P121" s="41">
        <f t="shared" si="83"/>
        <v>23.6986487605685</v>
      </c>
      <c r="Q121" s="142">
        <f>Q120</f>
        <v>15.5</v>
      </c>
      <c r="R121">
        <v>31.54</v>
      </c>
      <c r="S121">
        <v>1</v>
      </c>
      <c r="W121" s="106" t="s">
        <v>239</v>
      </c>
      <c r="Y121" s="145" t="s">
        <v>106</v>
      </c>
      <c r="Z121" s="145" t="s">
        <v>107</v>
      </c>
      <c r="AA121" s="52"/>
      <c r="AB121" s="145"/>
      <c r="AC121" s="145"/>
      <c r="AG121">
        <v>0.65</v>
      </c>
    </row>
    <row r="122" s="40" customFormat="1" spans="3:33">
      <c r="C122" s="41" t="str">
        <f t="shared" ref="C122:C126" si="89">W122</f>
        <v>R_ES-HET-SC-SD_HET1</v>
      </c>
      <c r="D122" s="141" t="s">
        <v>115</v>
      </c>
      <c r="E122" s="141"/>
      <c r="F122" s="141" t="s">
        <v>188</v>
      </c>
      <c r="G122" s="40">
        <v>2021</v>
      </c>
      <c r="H122" s="103">
        <v>1</v>
      </c>
      <c r="I122" s="103"/>
      <c r="J122" s="80"/>
      <c r="K122" s="41">
        <f>AY19</f>
        <v>1727.75295</v>
      </c>
      <c r="L122" s="41">
        <f t="shared" ref="L122:P122" si="90">150/10*1</f>
        <v>15</v>
      </c>
      <c r="M122" s="41">
        <f t="shared" ref="M122:M126" si="91">K122</f>
        <v>1727.75295</v>
      </c>
      <c r="N122" s="41">
        <f t="shared" si="90"/>
        <v>15</v>
      </c>
      <c r="O122" s="41">
        <f t="shared" ref="O122:O126" si="92">M122</f>
        <v>1727.75295</v>
      </c>
      <c r="P122" s="41">
        <f t="shared" si="90"/>
        <v>15</v>
      </c>
      <c r="Q122" s="118">
        <f>15</f>
        <v>15</v>
      </c>
      <c r="R122" s="147">
        <v>31.54</v>
      </c>
      <c r="S122" s="148">
        <v>0.33</v>
      </c>
      <c r="W122" s="41" t="s">
        <v>241</v>
      </c>
      <c r="Y122" s="149" t="s">
        <v>106</v>
      </c>
      <c r="Z122" s="149" t="s">
        <v>107</v>
      </c>
      <c r="AA122" s="52"/>
      <c r="AB122" s="149"/>
      <c r="AC122" s="149"/>
      <c r="AG122" s="40">
        <v>0.65</v>
      </c>
    </row>
    <row r="123" s="40" customFormat="1" spans="4:33">
      <c r="D123" s="89" t="str">
        <f>[3]COMM!$E$19</f>
        <v>RSDAHT</v>
      </c>
      <c r="H123" s="103"/>
      <c r="I123" s="103"/>
      <c r="J123" s="41"/>
      <c r="K123" s="41"/>
      <c r="L123" s="80"/>
      <c r="M123" s="41"/>
      <c r="N123" s="80"/>
      <c r="O123" s="41"/>
      <c r="P123" s="80"/>
      <c r="Q123" s="118"/>
      <c r="R123" s="147">
        <v>31.54</v>
      </c>
      <c r="S123" s="40">
        <f>1-S122</f>
        <v>0.67</v>
      </c>
      <c r="W123" s="40" t="s">
        <v>49</v>
      </c>
      <c r="AA123" s="52"/>
      <c r="AG123" s="40">
        <v>0.8</v>
      </c>
    </row>
    <row r="124" s="40" customFormat="1" spans="3:33">
      <c r="C124" s="41" t="str">
        <f t="shared" si="89"/>
        <v>R_ES-HET-SC-SA_HET1</v>
      </c>
      <c r="D124" s="141" t="str">
        <f>D122</f>
        <v>RSDELC</v>
      </c>
      <c r="E124" s="141"/>
      <c r="F124" s="141" t="s">
        <v>190</v>
      </c>
      <c r="G124" s="40">
        <v>2021</v>
      </c>
      <c r="H124" s="103">
        <v>1</v>
      </c>
      <c r="I124" s="103"/>
      <c r="J124" s="80"/>
      <c r="K124" s="41">
        <f>K122</f>
        <v>1727.75295</v>
      </c>
      <c r="L124" s="41">
        <f t="shared" ref="L124:P124" si="93">150/10*1</f>
        <v>15</v>
      </c>
      <c r="M124" s="41">
        <f t="shared" si="91"/>
        <v>1727.75295</v>
      </c>
      <c r="N124" s="41">
        <f t="shared" si="93"/>
        <v>15</v>
      </c>
      <c r="O124" s="41">
        <f t="shared" si="92"/>
        <v>1727.75295</v>
      </c>
      <c r="P124" s="41">
        <f t="shared" si="93"/>
        <v>15</v>
      </c>
      <c r="Q124" s="118">
        <v>15</v>
      </c>
      <c r="R124" s="147">
        <v>31.54</v>
      </c>
      <c r="S124" s="148">
        <f>S122</f>
        <v>0.33</v>
      </c>
      <c r="W124" s="41" t="s">
        <v>242</v>
      </c>
      <c r="Y124" s="149" t="s">
        <v>106</v>
      </c>
      <c r="Z124" s="149" t="s">
        <v>107</v>
      </c>
      <c r="AA124" s="52"/>
      <c r="AB124" s="149"/>
      <c r="AC124" s="149"/>
      <c r="AG124" s="40">
        <v>0.8</v>
      </c>
    </row>
    <row r="125" s="40" customFormat="1" spans="4:33">
      <c r="D125" s="141" t="str">
        <f t="shared" ref="D125:D137" si="94">D123</f>
        <v>RSDAHT</v>
      </c>
      <c r="E125" s="89"/>
      <c r="H125" s="103"/>
      <c r="I125" s="103"/>
      <c r="J125" s="41"/>
      <c r="K125" s="41"/>
      <c r="L125" s="80"/>
      <c r="M125" s="41"/>
      <c r="N125" s="80"/>
      <c r="O125" s="41"/>
      <c r="P125" s="80"/>
      <c r="Q125" s="118"/>
      <c r="R125" s="147">
        <v>31.54</v>
      </c>
      <c r="S125" s="148">
        <f t="shared" ref="S125:S137" si="95">S123</f>
        <v>0.67</v>
      </c>
      <c r="W125" s="40" t="s">
        <v>49</v>
      </c>
      <c r="AA125" s="52"/>
      <c r="AG125" s="40">
        <v>0.8</v>
      </c>
    </row>
    <row r="126" s="40" customFormat="1" spans="3:33">
      <c r="C126" s="41" t="str">
        <f t="shared" si="89"/>
        <v>R_ES-HET-SC-AP_HET1</v>
      </c>
      <c r="D126" s="141" t="str">
        <f t="shared" si="94"/>
        <v>RSDELC</v>
      </c>
      <c r="E126" s="141"/>
      <c r="F126" s="141" t="s">
        <v>192</v>
      </c>
      <c r="G126" s="40">
        <v>2021</v>
      </c>
      <c r="H126" s="103">
        <v>1</v>
      </c>
      <c r="I126" s="103"/>
      <c r="J126" s="80"/>
      <c r="K126" s="41">
        <f t="shared" ref="K126:K128" si="96">K124</f>
        <v>1727.75295</v>
      </c>
      <c r="L126" s="41">
        <f t="shared" ref="L126:P126" si="97">150/10*1</f>
        <v>15</v>
      </c>
      <c r="M126" s="41">
        <f t="shared" si="91"/>
        <v>1727.75295</v>
      </c>
      <c r="N126" s="41">
        <f t="shared" si="97"/>
        <v>15</v>
      </c>
      <c r="O126" s="41">
        <f t="shared" si="92"/>
        <v>1727.75295</v>
      </c>
      <c r="P126" s="41">
        <f t="shared" si="97"/>
        <v>15</v>
      </c>
      <c r="Q126" s="118">
        <v>15</v>
      </c>
      <c r="R126" s="147">
        <v>31.54</v>
      </c>
      <c r="S126" s="148">
        <f t="shared" si="95"/>
        <v>0.33</v>
      </c>
      <c r="W126" s="41" t="s">
        <v>243</v>
      </c>
      <c r="Y126" s="149" t="s">
        <v>106</v>
      </c>
      <c r="Z126" s="149" t="s">
        <v>107</v>
      </c>
      <c r="AA126" s="52"/>
      <c r="AB126" s="149"/>
      <c r="AC126" s="149"/>
      <c r="AG126" s="40">
        <v>0.8</v>
      </c>
    </row>
    <row r="127" s="40" customFormat="1" spans="4:33">
      <c r="D127" s="141" t="str">
        <f t="shared" si="94"/>
        <v>RSDAHT</v>
      </c>
      <c r="E127" s="89"/>
      <c r="H127" s="103"/>
      <c r="I127" s="103"/>
      <c r="J127" s="41"/>
      <c r="K127" s="41"/>
      <c r="L127" s="80"/>
      <c r="M127" s="41"/>
      <c r="N127" s="80"/>
      <c r="O127" s="41"/>
      <c r="P127" s="80"/>
      <c r="Q127" s="118"/>
      <c r="R127" s="147">
        <v>31.54</v>
      </c>
      <c r="S127" s="148">
        <f t="shared" si="95"/>
        <v>0.67</v>
      </c>
      <c r="W127" s="40" t="s">
        <v>49</v>
      </c>
      <c r="AA127" s="52"/>
      <c r="AG127" s="40">
        <v>0.8</v>
      </c>
    </row>
    <row r="128" s="40" customFormat="1" spans="3:33">
      <c r="C128" s="41" t="str">
        <f>W128</f>
        <v>R_ES-HET-SC-MOB_HET1</v>
      </c>
      <c r="D128" s="141" t="str">
        <f t="shared" si="94"/>
        <v>RSDELC</v>
      </c>
      <c r="E128" s="141"/>
      <c r="F128" s="141" t="s">
        <v>194</v>
      </c>
      <c r="G128" s="40">
        <v>2021</v>
      </c>
      <c r="H128" s="103">
        <v>1</v>
      </c>
      <c r="I128" s="103"/>
      <c r="J128" s="80"/>
      <c r="K128" s="41">
        <f t="shared" si="96"/>
        <v>1727.75295</v>
      </c>
      <c r="L128" s="41">
        <f t="shared" ref="L128:P128" si="98">150/10*1</f>
        <v>15</v>
      </c>
      <c r="M128" s="41">
        <f t="shared" ref="M128:M132" si="99">K128</f>
        <v>1727.75295</v>
      </c>
      <c r="N128" s="41">
        <f t="shared" si="98"/>
        <v>15</v>
      </c>
      <c r="O128" s="41">
        <f t="shared" ref="O128:O132" si="100">M128</f>
        <v>1727.75295</v>
      </c>
      <c r="P128" s="41">
        <f t="shared" si="98"/>
        <v>15</v>
      </c>
      <c r="Q128" s="118">
        <v>15</v>
      </c>
      <c r="R128" s="147">
        <v>31.54</v>
      </c>
      <c r="S128" s="148">
        <f t="shared" si="95"/>
        <v>0.33</v>
      </c>
      <c r="W128" s="41" t="s">
        <v>244</v>
      </c>
      <c r="Y128" s="149" t="s">
        <v>106</v>
      </c>
      <c r="Z128" s="149" t="s">
        <v>107</v>
      </c>
      <c r="AA128" s="52"/>
      <c r="AB128" s="149"/>
      <c r="AC128" s="149"/>
      <c r="AG128" s="40">
        <v>0.8</v>
      </c>
    </row>
    <row r="129" s="40" customFormat="1" spans="4:33">
      <c r="D129" s="141" t="str">
        <f t="shared" si="94"/>
        <v>RSDAHT</v>
      </c>
      <c r="E129" s="89"/>
      <c r="H129" s="103"/>
      <c r="I129" s="103"/>
      <c r="J129" s="41"/>
      <c r="K129" s="41"/>
      <c r="L129" s="80"/>
      <c r="M129" s="80"/>
      <c r="N129" s="80"/>
      <c r="O129" s="80"/>
      <c r="P129" s="80"/>
      <c r="Q129" s="120"/>
      <c r="R129" s="147">
        <v>31.54</v>
      </c>
      <c r="S129" s="148">
        <f t="shared" si="95"/>
        <v>0.67</v>
      </c>
      <c r="W129" s="40" t="s">
        <v>49</v>
      </c>
      <c r="AA129" s="52"/>
      <c r="AG129" s="40">
        <v>0.8</v>
      </c>
    </row>
    <row r="130" s="40" customFormat="1" spans="3:33">
      <c r="C130" s="41" t="s">
        <v>245</v>
      </c>
      <c r="D130" s="141" t="str">
        <f t="shared" si="94"/>
        <v>RSDELC</v>
      </c>
      <c r="E130" s="141"/>
      <c r="F130" s="141" t="s">
        <v>197</v>
      </c>
      <c r="G130" s="40">
        <v>2021</v>
      </c>
      <c r="H130" s="103">
        <v>1</v>
      </c>
      <c r="I130" s="103"/>
      <c r="J130" s="80">
        <f>AVERAGE(J90:J95)</f>
        <v>0.378345508174408</v>
      </c>
      <c r="K130" s="150">
        <f>(1880+3000)/2*1/11</f>
        <v>221.818181818182</v>
      </c>
      <c r="L130" s="150">
        <f>20/11</f>
        <v>1.81818181818182</v>
      </c>
      <c r="M130" s="150">
        <f t="shared" si="99"/>
        <v>221.818181818182</v>
      </c>
      <c r="N130" s="150">
        <f>L130</f>
        <v>1.81818181818182</v>
      </c>
      <c r="O130" s="150">
        <f t="shared" si="100"/>
        <v>221.818181818182</v>
      </c>
      <c r="P130" s="150">
        <f>N130</f>
        <v>1.81818181818182</v>
      </c>
      <c r="Q130" s="118">
        <v>13</v>
      </c>
      <c r="R130" s="147">
        <v>31.54</v>
      </c>
      <c r="S130" s="148">
        <f t="shared" si="95"/>
        <v>0.33</v>
      </c>
      <c r="W130" s="41" t="s">
        <v>245</v>
      </c>
      <c r="Y130" s="149" t="s">
        <v>106</v>
      </c>
      <c r="Z130" s="149" t="s">
        <v>107</v>
      </c>
      <c r="AA130" s="52"/>
      <c r="AB130" s="149"/>
      <c r="AC130" s="149"/>
      <c r="AG130" s="40">
        <v>0.8</v>
      </c>
    </row>
    <row r="131" s="40" customFormat="1" spans="4:27">
      <c r="D131" s="141" t="str">
        <f t="shared" si="94"/>
        <v>RSDAHT</v>
      </c>
      <c r="E131" s="89"/>
      <c r="H131" s="103"/>
      <c r="I131" s="103"/>
      <c r="J131" s="41"/>
      <c r="K131" s="150"/>
      <c r="L131" s="150"/>
      <c r="M131" s="150"/>
      <c r="N131" s="150"/>
      <c r="O131" s="150"/>
      <c r="P131" s="150"/>
      <c r="Q131" s="120"/>
      <c r="R131" s="147">
        <v>31.54</v>
      </c>
      <c r="S131" s="148">
        <f t="shared" si="95"/>
        <v>0.67</v>
      </c>
      <c r="W131" s="40" t="s">
        <v>49</v>
      </c>
      <c r="AA131" s="52"/>
    </row>
    <row r="132" s="40" customFormat="1" spans="3:29">
      <c r="C132" s="41" t="s">
        <v>246</v>
      </c>
      <c r="D132" s="141" t="str">
        <f t="shared" si="94"/>
        <v>RSDELC</v>
      </c>
      <c r="E132" s="141"/>
      <c r="F132" s="141" t="s">
        <v>205</v>
      </c>
      <c r="G132" s="40">
        <v>2021</v>
      </c>
      <c r="H132" s="103">
        <v>1</v>
      </c>
      <c r="I132" s="103"/>
      <c r="J132" s="80">
        <f>AVERAGE(J96:J101)</f>
        <v>0.247987847453136</v>
      </c>
      <c r="K132" s="150">
        <f t="shared" ref="K132:K136" si="101">K130</f>
        <v>221.818181818182</v>
      </c>
      <c r="L132" s="150">
        <f>L130</f>
        <v>1.81818181818182</v>
      </c>
      <c r="M132" s="150">
        <f t="shared" si="99"/>
        <v>221.818181818182</v>
      </c>
      <c r="N132" s="150">
        <f>L132</f>
        <v>1.81818181818182</v>
      </c>
      <c r="O132" s="150">
        <f t="shared" si="100"/>
        <v>221.818181818182</v>
      </c>
      <c r="P132" s="150">
        <f>N132</f>
        <v>1.81818181818182</v>
      </c>
      <c r="Q132" s="118">
        <v>13</v>
      </c>
      <c r="R132" s="147">
        <v>31.54</v>
      </c>
      <c r="S132" s="148">
        <f t="shared" si="95"/>
        <v>0.33</v>
      </c>
      <c r="W132" s="41" t="s">
        <v>246</v>
      </c>
      <c r="Y132" s="149" t="s">
        <v>106</v>
      </c>
      <c r="Z132" s="149" t="s">
        <v>107</v>
      </c>
      <c r="AA132" s="52"/>
      <c r="AB132" s="149"/>
      <c r="AC132" s="149"/>
    </row>
    <row r="133" s="40" customFormat="1" spans="4:27">
      <c r="D133" s="141" t="str">
        <f t="shared" si="94"/>
        <v>RSDAHT</v>
      </c>
      <c r="E133" s="89"/>
      <c r="H133" s="103"/>
      <c r="I133" s="103"/>
      <c r="J133" s="41"/>
      <c r="K133" s="150"/>
      <c r="L133" s="150"/>
      <c r="M133" s="150"/>
      <c r="N133" s="150"/>
      <c r="O133" s="150"/>
      <c r="P133" s="150"/>
      <c r="Q133" s="120"/>
      <c r="R133" s="147">
        <v>31.54</v>
      </c>
      <c r="S133" s="148">
        <f t="shared" si="95"/>
        <v>0.67</v>
      </c>
      <c r="W133" s="40" t="s">
        <v>49</v>
      </c>
      <c r="AA133" s="52"/>
    </row>
    <row r="134" s="40" customFormat="1" spans="3:29">
      <c r="C134" s="41" t="s">
        <v>247</v>
      </c>
      <c r="D134" s="141" t="str">
        <f t="shared" si="94"/>
        <v>RSDELC</v>
      </c>
      <c r="E134" s="141"/>
      <c r="F134" s="141" t="s">
        <v>212</v>
      </c>
      <c r="G134" s="40">
        <v>2021</v>
      </c>
      <c r="H134" s="103">
        <v>1</v>
      </c>
      <c r="I134" s="103"/>
      <c r="J134" s="80">
        <f>AVERAGE(J102:J107)</f>
        <v>0.17270772863852</v>
      </c>
      <c r="K134" s="150">
        <f t="shared" si="101"/>
        <v>221.818181818182</v>
      </c>
      <c r="L134" s="150">
        <f t="shared" ref="L134:P134" si="102">L132</f>
        <v>1.81818181818182</v>
      </c>
      <c r="M134" s="150">
        <f>K134</f>
        <v>221.818181818182</v>
      </c>
      <c r="N134" s="150">
        <f t="shared" si="102"/>
        <v>1.81818181818182</v>
      </c>
      <c r="O134" s="150">
        <f>M134</f>
        <v>221.818181818182</v>
      </c>
      <c r="P134" s="150">
        <f t="shared" si="102"/>
        <v>1.81818181818182</v>
      </c>
      <c r="Q134" s="118">
        <v>13</v>
      </c>
      <c r="R134" s="147">
        <v>31.54</v>
      </c>
      <c r="S134" s="148">
        <f t="shared" si="95"/>
        <v>0.33</v>
      </c>
      <c r="W134" s="41" t="s">
        <v>247</v>
      </c>
      <c r="Y134" s="149" t="s">
        <v>106</v>
      </c>
      <c r="Z134" s="149" t="s">
        <v>107</v>
      </c>
      <c r="AA134" s="52"/>
      <c r="AB134" s="149"/>
      <c r="AC134" s="149"/>
    </row>
    <row r="135" s="40" customFormat="1" spans="4:27">
      <c r="D135" s="141" t="str">
        <f t="shared" si="94"/>
        <v>RSDAHT</v>
      </c>
      <c r="E135" s="89"/>
      <c r="H135" s="103"/>
      <c r="I135" s="103"/>
      <c r="J135" s="41"/>
      <c r="K135" s="150"/>
      <c r="L135" s="150"/>
      <c r="M135" s="150"/>
      <c r="N135" s="150"/>
      <c r="O135" s="150"/>
      <c r="P135" s="150"/>
      <c r="Q135" s="120"/>
      <c r="R135" s="147">
        <v>31.54</v>
      </c>
      <c r="S135" s="148">
        <f t="shared" si="95"/>
        <v>0.67</v>
      </c>
      <c r="W135" s="40" t="s">
        <v>49</v>
      </c>
      <c r="AA135" s="52"/>
    </row>
    <row r="136" s="40" customFormat="1" spans="3:29">
      <c r="C136" s="41" t="s">
        <v>248</v>
      </c>
      <c r="D136" s="141" t="str">
        <f t="shared" si="94"/>
        <v>RSDELC</v>
      </c>
      <c r="E136" s="141"/>
      <c r="F136" s="141" t="s">
        <v>219</v>
      </c>
      <c r="G136" s="40">
        <v>2021</v>
      </c>
      <c r="H136" s="103">
        <v>1</v>
      </c>
      <c r="I136" s="103"/>
      <c r="J136" s="80">
        <f>AVERAGE(J108:J113)</f>
        <v>0.179264684836042</v>
      </c>
      <c r="K136" s="150">
        <f t="shared" si="101"/>
        <v>221.818181818182</v>
      </c>
      <c r="L136" s="150">
        <f t="shared" ref="L136:P136" si="103">L134</f>
        <v>1.81818181818182</v>
      </c>
      <c r="M136" s="150">
        <f>K136</f>
        <v>221.818181818182</v>
      </c>
      <c r="N136" s="150">
        <f t="shared" si="103"/>
        <v>1.81818181818182</v>
      </c>
      <c r="O136" s="150">
        <f>M136</f>
        <v>221.818181818182</v>
      </c>
      <c r="P136" s="150">
        <f t="shared" si="103"/>
        <v>1.81818181818182</v>
      </c>
      <c r="Q136" s="118">
        <v>13</v>
      </c>
      <c r="R136" s="147">
        <v>31.54</v>
      </c>
      <c r="S136" s="148">
        <f t="shared" si="95"/>
        <v>0.33</v>
      </c>
      <c r="W136" s="41" t="s">
        <v>248</v>
      </c>
      <c r="Y136" s="149" t="s">
        <v>106</v>
      </c>
      <c r="Z136" s="149" t="s">
        <v>107</v>
      </c>
      <c r="AA136" s="52"/>
      <c r="AB136" s="149"/>
      <c r="AC136" s="149"/>
    </row>
    <row r="137" s="40" customFormat="1" spans="4:19">
      <c r="D137" s="141" t="str">
        <f t="shared" si="94"/>
        <v>RSDAHT</v>
      </c>
      <c r="E137" s="89"/>
      <c r="H137" s="103"/>
      <c r="I137" s="103"/>
      <c r="J137" s="41"/>
      <c r="K137" s="80"/>
      <c r="L137" s="80"/>
      <c r="M137" s="80"/>
      <c r="N137" s="80"/>
      <c r="O137" s="80"/>
      <c r="P137" s="80"/>
      <c r="Q137" s="120"/>
      <c r="R137" s="147">
        <v>31.54</v>
      </c>
      <c r="S137" s="148">
        <f t="shared" si="95"/>
        <v>0.67</v>
      </c>
    </row>
    <row r="138" spans="19:19">
      <c r="S138" s="148"/>
    </row>
    <row r="150" spans="6:6">
      <c r="F150" s="62" t="s">
        <v>6</v>
      </c>
    </row>
    <row r="151" ht="15.25" spans="3:11">
      <c r="C151" s="12" t="s">
        <v>8</v>
      </c>
      <c r="D151" s="12" t="s">
        <v>9</v>
      </c>
      <c r="E151" s="42" t="s">
        <v>101</v>
      </c>
      <c r="F151" s="12" t="s">
        <v>10</v>
      </c>
      <c r="G151" s="43" t="s">
        <v>11</v>
      </c>
      <c r="H151" s="44" t="s">
        <v>49</v>
      </c>
      <c r="I151" s="44" t="s">
        <v>49</v>
      </c>
      <c r="J151" s="44" t="s">
        <v>13</v>
      </c>
      <c r="K151" s="81" t="s">
        <v>49</v>
      </c>
    </row>
    <row r="152" ht="112.5" spans="3:11">
      <c r="C152" t="s">
        <v>103</v>
      </c>
      <c r="D152" t="s">
        <v>104</v>
      </c>
      <c r="F152" t="s">
        <v>105</v>
      </c>
      <c r="G152" s="40">
        <v>2021</v>
      </c>
      <c r="H152" s="103">
        <v>0.6</v>
      </c>
      <c r="I152" s="103"/>
      <c r="J152" s="41">
        <v>0.191122946141536</v>
      </c>
      <c r="K152" s="56" t="s">
        <v>249</v>
      </c>
    </row>
    <row r="153" ht="112.5" spans="3:11">
      <c r="C153" t="s">
        <v>108</v>
      </c>
      <c r="D153" t="s">
        <v>104</v>
      </c>
      <c r="F153" t="s">
        <v>105</v>
      </c>
      <c r="G153" s="40">
        <v>2021</v>
      </c>
      <c r="H153" s="103">
        <v>0.78</v>
      </c>
      <c r="I153" s="103"/>
      <c r="J153" s="41">
        <v>0.191122946141536</v>
      </c>
      <c r="K153" s="56" t="s">
        <v>249</v>
      </c>
    </row>
    <row r="154" ht="112.5" spans="3:11">
      <c r="C154" t="s">
        <v>109</v>
      </c>
      <c r="D154" t="s">
        <v>104</v>
      </c>
      <c r="F154" t="s">
        <v>105</v>
      </c>
      <c r="G154" s="40">
        <v>2021</v>
      </c>
      <c r="H154" s="103">
        <v>0.85</v>
      </c>
      <c r="I154" s="103"/>
      <c r="J154" s="41">
        <v>0.191122946141536</v>
      </c>
      <c r="K154" s="56" t="s">
        <v>249</v>
      </c>
    </row>
    <row r="155" ht="112.5" spans="3:11">
      <c r="C155" t="s">
        <v>110</v>
      </c>
      <c r="D155" t="s">
        <v>111</v>
      </c>
      <c r="F155" t="s">
        <v>105</v>
      </c>
      <c r="G155" s="40">
        <v>2021</v>
      </c>
      <c r="H155" s="103">
        <v>0.62</v>
      </c>
      <c r="I155" s="103"/>
      <c r="J155" s="41">
        <v>0.27644125731911</v>
      </c>
      <c r="K155" s="56" t="s">
        <v>249</v>
      </c>
    </row>
    <row r="156" ht="112.5" spans="3:11">
      <c r="C156" t="s">
        <v>112</v>
      </c>
      <c r="D156" t="s">
        <v>111</v>
      </c>
      <c r="F156" t="s">
        <v>105</v>
      </c>
      <c r="G156" s="40">
        <v>2021</v>
      </c>
      <c r="H156" s="103">
        <v>0.8</v>
      </c>
      <c r="I156" s="103"/>
      <c r="J156" s="41">
        <v>0.27644125731911</v>
      </c>
      <c r="K156" s="56" t="s">
        <v>249</v>
      </c>
    </row>
    <row r="157" ht="112.5" spans="3:11">
      <c r="C157" t="s">
        <v>113</v>
      </c>
      <c r="D157" t="s">
        <v>111</v>
      </c>
      <c r="F157" t="s">
        <v>105</v>
      </c>
      <c r="G157" s="40">
        <v>2021</v>
      </c>
      <c r="H157" s="103">
        <v>0.9</v>
      </c>
      <c r="I157" s="103"/>
      <c r="J157" s="41">
        <v>0.27644125731911</v>
      </c>
      <c r="K157" s="56" t="s">
        <v>249</v>
      </c>
    </row>
    <row r="158" ht="112.5" spans="3:11">
      <c r="C158" t="s">
        <v>114</v>
      </c>
      <c r="D158" t="s">
        <v>115</v>
      </c>
      <c r="F158" t="s">
        <v>105</v>
      </c>
      <c r="G158" s="40">
        <v>2021</v>
      </c>
      <c r="H158" s="103">
        <v>1</v>
      </c>
      <c r="I158" s="103"/>
      <c r="J158" s="41">
        <v>0.247313988564565</v>
      </c>
      <c r="K158" s="56" t="s">
        <v>249</v>
      </c>
    </row>
    <row r="159" ht="112.5" spans="3:11">
      <c r="C159" t="s">
        <v>116</v>
      </c>
      <c r="D159" s="104" t="s">
        <v>115</v>
      </c>
      <c r="E159" s="104"/>
      <c r="F159" t="s">
        <v>105</v>
      </c>
      <c r="G159" s="40">
        <v>2021</v>
      </c>
      <c r="H159" s="103">
        <v>1</v>
      </c>
      <c r="I159" s="103"/>
      <c r="J159" s="41">
        <v>0.655745640510185</v>
      </c>
      <c r="K159" s="56" t="s">
        <v>249</v>
      </c>
    </row>
    <row r="160" spans="4:9">
      <c r="D160" s="105" t="str">
        <f>[3]COMM!$E$19</f>
        <v>RSDAHT</v>
      </c>
      <c r="H160" s="103"/>
      <c r="I160" s="103"/>
    </row>
    <row r="161" ht="112.5" spans="3:11">
      <c r="C161" t="s">
        <v>119</v>
      </c>
      <c r="D161" t="s">
        <v>120</v>
      </c>
      <c r="F161" t="s">
        <v>105</v>
      </c>
      <c r="G161" s="40">
        <v>2021</v>
      </c>
      <c r="H161" s="103">
        <v>0.5</v>
      </c>
      <c r="I161" s="103"/>
      <c r="J161" s="41">
        <v>0.322091809257061</v>
      </c>
      <c r="K161" s="56" t="s">
        <v>249</v>
      </c>
    </row>
    <row r="162" ht="112.5" spans="3:11">
      <c r="C162" t="s">
        <v>130</v>
      </c>
      <c r="D162" t="s">
        <v>131</v>
      </c>
      <c r="F162" t="s">
        <v>105</v>
      </c>
      <c r="G162" s="40">
        <v>2021</v>
      </c>
      <c r="H162" s="103">
        <v>0.5</v>
      </c>
      <c r="I162" s="103"/>
      <c r="J162" s="41">
        <v>0.492984723712865</v>
      </c>
      <c r="K162" s="56" t="s">
        <v>249</v>
      </c>
    </row>
    <row r="163" ht="112.5" spans="3:11">
      <c r="C163" s="106" t="s">
        <v>133</v>
      </c>
      <c r="D163" s="106" t="s">
        <v>115</v>
      </c>
      <c r="E163" s="106"/>
      <c r="F163" t="s">
        <v>105</v>
      </c>
      <c r="G163" s="40">
        <v>2021</v>
      </c>
      <c r="H163" s="107">
        <v>0.75</v>
      </c>
      <c r="I163" s="116"/>
      <c r="J163" s="41">
        <v>0.655745640510185</v>
      </c>
      <c r="K163" s="56" t="s">
        <v>249</v>
      </c>
    </row>
    <row r="164" spans="4:9">
      <c r="D164" s="106" t="s">
        <v>131</v>
      </c>
      <c r="E164" s="106"/>
      <c r="H164" s="107"/>
      <c r="I164" s="116"/>
    </row>
    <row r="165" ht="112.5" spans="3:11">
      <c r="C165" s="106" t="s">
        <v>136</v>
      </c>
      <c r="D165" s="106" t="s">
        <v>104</v>
      </c>
      <c r="E165" s="106"/>
      <c r="F165" t="s">
        <v>105</v>
      </c>
      <c r="G165" s="40">
        <v>2021</v>
      </c>
      <c r="H165" s="107">
        <v>0.675</v>
      </c>
      <c r="I165" s="116"/>
      <c r="J165" s="41">
        <v>0.655745640510185</v>
      </c>
      <c r="K165" s="56" t="s">
        <v>249</v>
      </c>
    </row>
    <row r="166" spans="4:9">
      <c r="D166" s="106" t="s">
        <v>131</v>
      </c>
      <c r="E166" s="106"/>
      <c r="H166" s="107"/>
      <c r="I166" s="116"/>
    </row>
    <row r="167" ht="112.5" spans="3:11">
      <c r="C167" s="106" t="s">
        <v>139</v>
      </c>
      <c r="D167" s="106" t="s">
        <v>115</v>
      </c>
      <c r="E167" s="106"/>
      <c r="F167" t="s">
        <v>105</v>
      </c>
      <c r="G167" s="40">
        <v>2021</v>
      </c>
      <c r="H167" s="107">
        <v>0.9</v>
      </c>
      <c r="I167" s="116"/>
      <c r="J167" s="41">
        <v>0.655745640510185</v>
      </c>
      <c r="K167" s="56" t="s">
        <v>249</v>
      </c>
    </row>
    <row r="168" spans="4:9">
      <c r="D168" s="106" t="s">
        <v>111</v>
      </c>
      <c r="E168" s="106"/>
      <c r="H168" s="107"/>
      <c r="I168" s="116"/>
    </row>
    <row r="169" ht="112.5" spans="3:11">
      <c r="C169" s="106" t="s">
        <v>142</v>
      </c>
      <c r="D169" s="106" t="s">
        <v>115</v>
      </c>
      <c r="E169" s="106"/>
      <c r="F169" t="s">
        <v>105</v>
      </c>
      <c r="G169" s="40">
        <v>2021</v>
      </c>
      <c r="H169" s="107">
        <v>0.89</v>
      </c>
      <c r="I169" s="116"/>
      <c r="J169" s="41">
        <v>0.655745640510185</v>
      </c>
      <c r="K169" s="56" t="s">
        <v>249</v>
      </c>
    </row>
    <row r="170" spans="4:5">
      <c r="D170" s="106" t="s">
        <v>104</v>
      </c>
      <c r="E170" s="106"/>
    </row>
    <row r="171" ht="112.5" spans="3:11">
      <c r="C171" t="s">
        <v>143</v>
      </c>
      <c r="D171" t="s">
        <v>104</v>
      </c>
      <c r="F171" t="s">
        <v>144</v>
      </c>
      <c r="G171" s="40">
        <v>2021</v>
      </c>
      <c r="H171" s="103">
        <v>0.6</v>
      </c>
      <c r="I171" s="103"/>
      <c r="J171" s="41">
        <v>0.107589579145215</v>
      </c>
      <c r="K171" s="56" t="s">
        <v>249</v>
      </c>
    </row>
    <row r="172" ht="112.5" spans="3:11">
      <c r="C172" t="s">
        <v>145</v>
      </c>
      <c r="D172" t="s">
        <v>104</v>
      </c>
      <c r="F172" t="s">
        <v>144</v>
      </c>
      <c r="G172" s="40">
        <v>2021</v>
      </c>
      <c r="H172" s="103">
        <v>0.78</v>
      </c>
      <c r="I172" s="103"/>
      <c r="J172" s="41">
        <v>0.107589579145215</v>
      </c>
      <c r="K172" s="56" t="s">
        <v>249</v>
      </c>
    </row>
    <row r="173" ht="112.5" spans="3:11">
      <c r="C173" t="s">
        <v>146</v>
      </c>
      <c r="D173" t="s">
        <v>104</v>
      </c>
      <c r="F173" t="s">
        <v>144</v>
      </c>
      <c r="G173" s="40">
        <v>2021</v>
      </c>
      <c r="H173" s="103">
        <v>0.85</v>
      </c>
      <c r="I173" s="103"/>
      <c r="J173" s="41">
        <v>0.107589579145215</v>
      </c>
      <c r="K173" s="56" t="s">
        <v>249</v>
      </c>
    </row>
    <row r="174" ht="112.5" spans="3:11">
      <c r="C174" t="s">
        <v>147</v>
      </c>
      <c r="D174" t="s">
        <v>111</v>
      </c>
      <c r="F174" t="s">
        <v>144</v>
      </c>
      <c r="G174" s="40">
        <v>2021</v>
      </c>
      <c r="H174" s="103">
        <v>0.62</v>
      </c>
      <c r="I174" s="103"/>
      <c r="J174" s="41">
        <v>0.148009559556309</v>
      </c>
      <c r="K174" s="56" t="s">
        <v>249</v>
      </c>
    </row>
    <row r="175" ht="112.5" spans="3:11">
      <c r="C175" t="s">
        <v>148</v>
      </c>
      <c r="D175" t="s">
        <v>111</v>
      </c>
      <c r="F175" t="s">
        <v>144</v>
      </c>
      <c r="G175" s="40">
        <v>2021</v>
      </c>
      <c r="H175" s="103">
        <v>0.8</v>
      </c>
      <c r="I175" s="103"/>
      <c r="J175" s="41">
        <v>0.148009559556309</v>
      </c>
      <c r="K175" s="56" t="s">
        <v>249</v>
      </c>
    </row>
    <row r="176" ht="112.5" spans="3:11">
      <c r="C176" t="s">
        <v>149</v>
      </c>
      <c r="D176" t="s">
        <v>111</v>
      </c>
      <c r="F176" t="s">
        <v>144</v>
      </c>
      <c r="G176" s="40">
        <v>2021</v>
      </c>
      <c r="H176" s="103">
        <v>0.9</v>
      </c>
      <c r="I176" s="103"/>
      <c r="J176" s="41">
        <v>0.148009559556309</v>
      </c>
      <c r="K176" s="56" t="s">
        <v>249</v>
      </c>
    </row>
    <row r="177" ht="112.5" spans="3:11">
      <c r="C177" t="s">
        <v>150</v>
      </c>
      <c r="D177" t="s">
        <v>115</v>
      </c>
      <c r="F177" t="s">
        <v>144</v>
      </c>
      <c r="G177" s="40">
        <v>2021</v>
      </c>
      <c r="H177" s="103">
        <v>1</v>
      </c>
      <c r="I177" s="103"/>
      <c r="J177" s="41">
        <v>0.115846759587079</v>
      </c>
      <c r="K177" s="56" t="s">
        <v>249</v>
      </c>
    </row>
    <row r="178" ht="112.5" spans="3:11">
      <c r="C178" t="s">
        <v>151</v>
      </c>
      <c r="D178" s="104" t="s">
        <v>115</v>
      </c>
      <c r="E178" s="104"/>
      <c r="F178" s="101" t="s">
        <v>144</v>
      </c>
      <c r="G178" s="40">
        <v>2021</v>
      </c>
      <c r="H178" s="103">
        <v>1</v>
      </c>
      <c r="I178" s="103"/>
      <c r="J178" s="41">
        <v>0.211062502382414</v>
      </c>
      <c r="K178" s="56" t="s">
        <v>249</v>
      </c>
    </row>
    <row r="179" spans="4:9">
      <c r="D179" s="105" t="str">
        <f>[3]COMM!$E$19</f>
        <v>RSDAHT</v>
      </c>
      <c r="H179" s="103"/>
      <c r="I179" s="103"/>
    </row>
    <row r="180" ht="112.5" spans="3:11">
      <c r="C180" t="s">
        <v>152</v>
      </c>
      <c r="D180" t="s">
        <v>120</v>
      </c>
      <c r="F180" t="s">
        <v>144</v>
      </c>
      <c r="G180" s="40">
        <v>2021</v>
      </c>
      <c r="H180" s="103">
        <v>0.5</v>
      </c>
      <c r="I180" s="103"/>
      <c r="J180" s="41">
        <v>0.160815666952592</v>
      </c>
      <c r="K180" s="56" t="s">
        <v>249</v>
      </c>
    </row>
    <row r="181" ht="112.5" spans="3:11">
      <c r="C181" t="s">
        <v>153</v>
      </c>
      <c r="D181" t="s">
        <v>131</v>
      </c>
      <c r="F181" t="s">
        <v>144</v>
      </c>
      <c r="G181" s="40">
        <v>2021</v>
      </c>
      <c r="H181" s="103">
        <v>0.5</v>
      </c>
      <c r="I181" s="103"/>
      <c r="J181" s="41">
        <v>0.0628248288539579</v>
      </c>
      <c r="K181" s="56" t="s">
        <v>249</v>
      </c>
    </row>
    <row r="182" ht="112.5" spans="3:11">
      <c r="C182" s="106" t="s">
        <v>154</v>
      </c>
      <c r="D182" s="106" t="s">
        <v>115</v>
      </c>
      <c r="E182" s="106"/>
      <c r="F182" t="s">
        <v>144</v>
      </c>
      <c r="G182" s="40">
        <v>2021</v>
      </c>
      <c r="H182" s="103">
        <v>0.75</v>
      </c>
      <c r="I182" s="103"/>
      <c r="J182" s="41">
        <v>0.211062502382414</v>
      </c>
      <c r="K182" s="56" t="s">
        <v>249</v>
      </c>
    </row>
    <row r="183" spans="4:9">
      <c r="D183" s="106" t="s">
        <v>131</v>
      </c>
      <c r="E183" s="106"/>
      <c r="H183" s="103"/>
      <c r="I183" s="103"/>
    </row>
    <row r="184" ht="112.5" spans="3:11">
      <c r="C184" s="106" t="s">
        <v>155</v>
      </c>
      <c r="D184" s="106" t="s">
        <v>104</v>
      </c>
      <c r="E184" s="106"/>
      <c r="F184" t="s">
        <v>144</v>
      </c>
      <c r="G184" s="40">
        <v>2021</v>
      </c>
      <c r="H184" s="103">
        <v>0.675</v>
      </c>
      <c r="I184" s="103"/>
      <c r="J184" s="41">
        <v>0.211062502382414</v>
      </c>
      <c r="K184" s="56" t="s">
        <v>249</v>
      </c>
    </row>
    <row r="185" spans="4:9">
      <c r="D185" s="106" t="s">
        <v>131</v>
      </c>
      <c r="E185" s="106"/>
      <c r="H185" s="103"/>
      <c r="I185" s="103"/>
    </row>
    <row r="186" ht="112.5" spans="3:11">
      <c r="C186" s="106" t="s">
        <v>156</v>
      </c>
      <c r="D186" s="106" t="s">
        <v>115</v>
      </c>
      <c r="E186" s="106"/>
      <c r="F186" t="s">
        <v>144</v>
      </c>
      <c r="G186" s="40">
        <v>2021</v>
      </c>
      <c r="H186" s="103">
        <v>0.9</v>
      </c>
      <c r="I186" s="103"/>
      <c r="J186" s="41">
        <v>0.211062502382414</v>
      </c>
      <c r="K186" s="56" t="s">
        <v>249</v>
      </c>
    </row>
    <row r="187" spans="4:9">
      <c r="D187" s="106" t="s">
        <v>111</v>
      </c>
      <c r="E187" s="106"/>
      <c r="H187" s="103"/>
      <c r="I187" s="103"/>
    </row>
    <row r="188" ht="112.5" spans="3:11">
      <c r="C188" s="106" t="s">
        <v>157</v>
      </c>
      <c r="D188" s="106" t="s">
        <v>115</v>
      </c>
      <c r="E188" s="106"/>
      <c r="F188" t="s">
        <v>144</v>
      </c>
      <c r="G188" s="40">
        <v>2021</v>
      </c>
      <c r="H188" s="103">
        <v>0.89</v>
      </c>
      <c r="I188" s="103"/>
      <c r="J188" s="41">
        <v>0.211062502382414</v>
      </c>
      <c r="K188" s="56" t="s">
        <v>249</v>
      </c>
    </row>
    <row r="189" spans="4:5">
      <c r="D189" s="106" t="s">
        <v>104</v>
      </c>
      <c r="E189" s="106"/>
    </row>
    <row r="190" ht="112.5" spans="3:11">
      <c r="C190" t="s">
        <v>158</v>
      </c>
      <c r="D190" t="s">
        <v>104</v>
      </c>
      <c r="F190" t="s">
        <v>159</v>
      </c>
      <c r="G190" s="40">
        <v>2021</v>
      </c>
      <c r="H190" s="41">
        <v>0.6</v>
      </c>
      <c r="J190" s="41">
        <v>0.114692556417616</v>
      </c>
      <c r="K190" s="56" t="s">
        <v>249</v>
      </c>
    </row>
    <row r="191" ht="112.5" spans="3:11">
      <c r="C191" t="s">
        <v>160</v>
      </c>
      <c r="D191" t="s">
        <v>104</v>
      </c>
      <c r="F191" t="s">
        <v>159</v>
      </c>
      <c r="G191" s="40">
        <v>2021</v>
      </c>
      <c r="H191" s="41">
        <v>0.78</v>
      </c>
      <c r="J191" s="41">
        <v>0.114692556417616</v>
      </c>
      <c r="K191" s="56" t="s">
        <v>249</v>
      </c>
    </row>
    <row r="192" ht="112.5" spans="3:11">
      <c r="C192" t="s">
        <v>161</v>
      </c>
      <c r="D192" t="s">
        <v>104</v>
      </c>
      <c r="F192" t="s">
        <v>159</v>
      </c>
      <c r="G192" s="40">
        <v>2021</v>
      </c>
      <c r="H192" s="41">
        <v>0.85</v>
      </c>
      <c r="J192" s="41">
        <v>0.114692556417616</v>
      </c>
      <c r="K192" s="56" t="s">
        <v>249</v>
      </c>
    </row>
    <row r="193" ht="112.5" spans="3:11">
      <c r="C193" t="s">
        <v>162</v>
      </c>
      <c r="D193" t="s">
        <v>111</v>
      </c>
      <c r="F193" t="s">
        <v>159</v>
      </c>
      <c r="G193" s="40">
        <v>2021</v>
      </c>
      <c r="H193" s="41">
        <v>0.62</v>
      </c>
      <c r="J193" s="41">
        <v>0.18900772326985</v>
      </c>
      <c r="K193" s="56" t="s">
        <v>249</v>
      </c>
    </row>
    <row r="194" ht="112.5" spans="3:11">
      <c r="C194" t="s">
        <v>163</v>
      </c>
      <c r="D194" t="s">
        <v>111</v>
      </c>
      <c r="F194" t="s">
        <v>159</v>
      </c>
      <c r="G194" s="40">
        <v>2021</v>
      </c>
      <c r="H194" s="41">
        <v>0.8</v>
      </c>
      <c r="J194" s="41">
        <v>0.18900772326985</v>
      </c>
      <c r="K194" s="56" t="s">
        <v>249</v>
      </c>
    </row>
    <row r="195" ht="112.5" spans="3:11">
      <c r="C195" t="s">
        <v>164</v>
      </c>
      <c r="D195" t="s">
        <v>111</v>
      </c>
      <c r="F195" t="s">
        <v>159</v>
      </c>
      <c r="G195" s="40">
        <v>2021</v>
      </c>
      <c r="H195" s="41">
        <v>0.9</v>
      </c>
      <c r="J195" s="41">
        <v>0.18900772326985</v>
      </c>
      <c r="K195" s="56" t="s">
        <v>249</v>
      </c>
    </row>
    <row r="196" ht="112.5" spans="3:11">
      <c r="C196" t="s">
        <v>165</v>
      </c>
      <c r="D196" t="s">
        <v>115</v>
      </c>
      <c r="F196" t="s">
        <v>159</v>
      </c>
      <c r="G196" s="40">
        <v>2021</v>
      </c>
      <c r="H196" s="41">
        <v>1</v>
      </c>
      <c r="J196" s="41">
        <v>0.143034601670477</v>
      </c>
      <c r="K196" s="56" t="s">
        <v>249</v>
      </c>
    </row>
    <row r="197" ht="112.5" spans="3:11">
      <c r="C197" t="s">
        <v>166</v>
      </c>
      <c r="D197" s="108" t="s">
        <v>115</v>
      </c>
      <c r="E197" s="108"/>
      <c r="F197" s="101" t="s">
        <v>159</v>
      </c>
      <c r="G197" s="40">
        <v>2021</v>
      </c>
      <c r="H197" s="41">
        <v>1</v>
      </c>
      <c r="J197" s="41">
        <v>0.317251291639583</v>
      </c>
      <c r="K197" s="56" t="s">
        <v>249</v>
      </c>
    </row>
    <row r="198" spans="4:4">
      <c r="D198" s="105" t="str">
        <f>[3]COMM!$E$19</f>
        <v>RSDAHT</v>
      </c>
    </row>
    <row r="199" ht="112.5" spans="3:11">
      <c r="C199" t="s">
        <v>167</v>
      </c>
      <c r="D199" t="s">
        <v>120</v>
      </c>
      <c r="F199" t="s">
        <v>159</v>
      </c>
      <c r="G199" s="40">
        <v>2021</v>
      </c>
      <c r="H199" s="41">
        <v>0.5</v>
      </c>
      <c r="J199" s="41">
        <v>0.219836672502485</v>
      </c>
      <c r="K199" s="56" t="s">
        <v>249</v>
      </c>
    </row>
    <row r="200" ht="112.5" spans="3:11">
      <c r="C200" t="s">
        <v>168</v>
      </c>
      <c r="D200" t="s">
        <v>131</v>
      </c>
      <c r="F200" t="s">
        <v>159</v>
      </c>
      <c r="G200" s="40">
        <v>2021</v>
      </c>
      <c r="H200" s="41">
        <v>0.5</v>
      </c>
      <c r="J200" s="41">
        <v>0.141564047836952</v>
      </c>
      <c r="K200" s="56" t="s">
        <v>249</v>
      </c>
    </row>
    <row r="201" ht="112.5" spans="3:11">
      <c r="C201" s="106" t="s">
        <v>169</v>
      </c>
      <c r="D201" s="106" t="s">
        <v>115</v>
      </c>
      <c r="E201" s="106"/>
      <c r="F201" t="s">
        <v>159</v>
      </c>
      <c r="G201" s="40">
        <v>2021</v>
      </c>
      <c r="H201" s="41">
        <v>0.75</v>
      </c>
      <c r="J201" s="41">
        <v>0.317251291639583</v>
      </c>
      <c r="K201" s="56" t="s">
        <v>249</v>
      </c>
    </row>
    <row r="202" spans="4:5">
      <c r="D202" s="106" t="s">
        <v>131</v>
      </c>
      <c r="E202" s="106"/>
    </row>
    <row r="203" ht="112.5" spans="3:11">
      <c r="C203" s="106" t="s">
        <v>170</v>
      </c>
      <c r="D203" s="106" t="s">
        <v>104</v>
      </c>
      <c r="E203" s="106"/>
      <c r="F203" t="s">
        <v>159</v>
      </c>
      <c r="G203" s="40">
        <v>2021</v>
      </c>
      <c r="H203" s="41">
        <v>0.675</v>
      </c>
      <c r="J203" s="41">
        <v>0.317251291639583</v>
      </c>
      <c r="K203" s="56" t="s">
        <v>249</v>
      </c>
    </row>
    <row r="204" spans="4:5">
      <c r="D204" s="106" t="s">
        <v>131</v>
      </c>
      <c r="E204" s="106"/>
    </row>
    <row r="205" ht="112.5" spans="3:11">
      <c r="C205" s="106" t="s">
        <v>171</v>
      </c>
      <c r="D205" s="106" t="s">
        <v>115</v>
      </c>
      <c r="E205" s="106"/>
      <c r="F205" t="s">
        <v>159</v>
      </c>
      <c r="G205" s="40">
        <v>2021</v>
      </c>
      <c r="H205" s="41">
        <v>0.9</v>
      </c>
      <c r="J205" s="41">
        <v>0.317251291639583</v>
      </c>
      <c r="K205" s="56" t="s">
        <v>249</v>
      </c>
    </row>
    <row r="206" spans="4:5">
      <c r="D206" s="106" t="s">
        <v>111</v>
      </c>
      <c r="E206" s="106"/>
    </row>
    <row r="207" ht="112.5" spans="3:11">
      <c r="C207" s="106" t="s">
        <v>172</v>
      </c>
      <c r="D207" s="106" t="s">
        <v>115</v>
      </c>
      <c r="E207" s="106"/>
      <c r="F207" t="s">
        <v>159</v>
      </c>
      <c r="G207" s="40">
        <v>2021</v>
      </c>
      <c r="H207" s="41">
        <v>0.89</v>
      </c>
      <c r="J207" s="41">
        <v>0.317251291639583</v>
      </c>
      <c r="K207" s="56" t="s">
        <v>249</v>
      </c>
    </row>
    <row r="208" spans="4:5">
      <c r="D208" s="106" t="s">
        <v>104</v>
      </c>
      <c r="E208" s="106"/>
    </row>
    <row r="209" ht="112.5" spans="3:11">
      <c r="C209" t="s">
        <v>173</v>
      </c>
      <c r="D209" t="s">
        <v>104</v>
      </c>
      <c r="F209" t="s">
        <v>174</v>
      </c>
      <c r="G209" s="40">
        <v>2021</v>
      </c>
      <c r="H209" s="41">
        <v>0.6</v>
      </c>
      <c r="J209" s="41">
        <v>0.286893901186416</v>
      </c>
      <c r="K209" s="56" t="s">
        <v>249</v>
      </c>
    </row>
    <row r="210" ht="112.5" spans="3:11">
      <c r="C210" t="s">
        <v>175</v>
      </c>
      <c r="D210" t="s">
        <v>104</v>
      </c>
      <c r="F210" t="s">
        <v>174</v>
      </c>
      <c r="G210" s="40">
        <v>2021</v>
      </c>
      <c r="H210" s="41">
        <v>0.78</v>
      </c>
      <c r="J210" s="41">
        <v>0.286893901186416</v>
      </c>
      <c r="K210" s="56" t="s">
        <v>249</v>
      </c>
    </row>
    <row r="211" ht="112.5" spans="3:11">
      <c r="C211" t="s">
        <v>176</v>
      </c>
      <c r="D211" t="s">
        <v>104</v>
      </c>
      <c r="F211" t="s">
        <v>174</v>
      </c>
      <c r="G211" s="40">
        <v>2021</v>
      </c>
      <c r="H211" s="41">
        <v>0.85</v>
      </c>
      <c r="J211" s="41">
        <v>0.286893901186416</v>
      </c>
      <c r="K211" s="56" t="s">
        <v>249</v>
      </c>
    </row>
    <row r="212" ht="112.5" spans="3:11">
      <c r="C212" t="s">
        <v>177</v>
      </c>
      <c r="D212" t="s">
        <v>111</v>
      </c>
      <c r="F212" t="s">
        <v>174</v>
      </c>
      <c r="G212" s="40">
        <v>2021</v>
      </c>
      <c r="H212" s="41">
        <v>0.62</v>
      </c>
      <c r="J212" s="41">
        <v>0.542665635221575</v>
      </c>
      <c r="K212" s="56" t="s">
        <v>249</v>
      </c>
    </row>
    <row r="213" ht="112.5" spans="3:11">
      <c r="C213" t="s">
        <v>178</v>
      </c>
      <c r="D213" t="s">
        <v>111</v>
      </c>
      <c r="F213" t="s">
        <v>174</v>
      </c>
      <c r="G213" s="40">
        <v>2021</v>
      </c>
      <c r="H213" s="41">
        <v>0.8</v>
      </c>
      <c r="J213" s="41">
        <v>0.542665635221575</v>
      </c>
      <c r="K213" s="56" t="s">
        <v>249</v>
      </c>
    </row>
    <row r="214" ht="112.5" spans="3:11">
      <c r="C214" t="s">
        <v>179</v>
      </c>
      <c r="D214" t="s">
        <v>111</v>
      </c>
      <c r="F214" t="s">
        <v>174</v>
      </c>
      <c r="G214" s="40">
        <v>2021</v>
      </c>
      <c r="H214" s="41">
        <v>0.9</v>
      </c>
      <c r="J214" s="41">
        <v>0.542665635221575</v>
      </c>
      <c r="K214" s="56" t="s">
        <v>249</v>
      </c>
    </row>
    <row r="215" ht="112.5" spans="3:11">
      <c r="C215" t="s">
        <v>180</v>
      </c>
      <c r="D215" t="s">
        <v>115</v>
      </c>
      <c r="F215" t="s">
        <v>174</v>
      </c>
      <c r="G215" s="40">
        <v>2021</v>
      </c>
      <c r="H215" s="41">
        <v>1</v>
      </c>
      <c r="J215" s="41">
        <v>0.437599097173953</v>
      </c>
      <c r="K215" s="56" t="s">
        <v>249</v>
      </c>
    </row>
    <row r="216" ht="112.5" spans="3:11">
      <c r="C216" s="101" t="s">
        <v>181</v>
      </c>
      <c r="D216" s="108" t="s">
        <v>115</v>
      </c>
      <c r="E216" s="108"/>
      <c r="F216" s="101" t="s">
        <v>174</v>
      </c>
      <c r="G216" s="40">
        <v>2021</v>
      </c>
      <c r="H216" s="41">
        <f>H215</f>
        <v>1</v>
      </c>
      <c r="J216" s="41">
        <v>0.659119941244054</v>
      </c>
      <c r="K216" s="56" t="s">
        <v>249</v>
      </c>
    </row>
    <row r="217" spans="4:4">
      <c r="D217" s="105" t="str">
        <f>[3]COMM!$E$19</f>
        <v>RSDAHT</v>
      </c>
    </row>
    <row r="218" ht="112.5" spans="3:11">
      <c r="C218" t="s">
        <v>182</v>
      </c>
      <c r="D218" t="s">
        <v>120</v>
      </c>
      <c r="F218" t="s">
        <v>174</v>
      </c>
      <c r="G218" s="40">
        <v>2021</v>
      </c>
      <c r="H218" s="41">
        <v>0.5</v>
      </c>
      <c r="J218" s="41">
        <v>0.465396592185367</v>
      </c>
      <c r="K218" s="56" t="s">
        <v>249</v>
      </c>
    </row>
    <row r="219" ht="112.5" spans="3:11">
      <c r="C219" t="s">
        <v>183</v>
      </c>
      <c r="D219" t="s">
        <v>131</v>
      </c>
      <c r="F219" t="s">
        <v>174</v>
      </c>
      <c r="G219" s="40">
        <v>2021</v>
      </c>
      <c r="H219" s="41">
        <v>0.5</v>
      </c>
      <c r="J219" s="41">
        <v>0.0146099085878196</v>
      </c>
      <c r="K219" s="56" t="s">
        <v>249</v>
      </c>
    </row>
    <row r="220" ht="112.5" spans="3:11">
      <c r="C220" s="106" t="s">
        <v>184</v>
      </c>
      <c r="D220" s="106" t="s">
        <v>115</v>
      </c>
      <c r="E220" s="106"/>
      <c r="F220" t="s">
        <v>174</v>
      </c>
      <c r="G220" s="40">
        <v>2021</v>
      </c>
      <c r="H220" s="41">
        <v>0.75</v>
      </c>
      <c r="J220" s="41">
        <v>0.659119941244054</v>
      </c>
      <c r="K220" s="56" t="s">
        <v>249</v>
      </c>
    </row>
    <row r="221" spans="4:5">
      <c r="D221" s="106" t="s">
        <v>131</v>
      </c>
      <c r="E221" s="106"/>
    </row>
    <row r="222" ht="112.5" spans="3:11">
      <c r="C222" s="106" t="s">
        <v>185</v>
      </c>
      <c r="D222" s="106" t="s">
        <v>104</v>
      </c>
      <c r="E222" s="106"/>
      <c r="F222" t="s">
        <v>174</v>
      </c>
      <c r="G222" s="40">
        <v>2021</v>
      </c>
      <c r="H222" s="41">
        <v>0.675</v>
      </c>
      <c r="J222" s="41">
        <v>0.659119941244054</v>
      </c>
      <c r="K222" s="56" t="s">
        <v>249</v>
      </c>
    </row>
    <row r="223" spans="4:5">
      <c r="D223" s="106" t="s">
        <v>131</v>
      </c>
      <c r="E223" s="106"/>
    </row>
    <row r="224" ht="112.5" spans="3:11">
      <c r="C224" s="106" t="s">
        <v>186</v>
      </c>
      <c r="D224" s="106" t="s">
        <v>115</v>
      </c>
      <c r="E224" s="106"/>
      <c r="F224" t="s">
        <v>174</v>
      </c>
      <c r="G224" s="40">
        <v>2021</v>
      </c>
      <c r="H224" s="41">
        <v>0.9</v>
      </c>
      <c r="J224" s="41">
        <v>0.659119941244054</v>
      </c>
      <c r="K224" s="56" t="s">
        <v>249</v>
      </c>
    </row>
    <row r="225" spans="4:5">
      <c r="D225" s="106" t="s">
        <v>111</v>
      </c>
      <c r="E225" s="106"/>
    </row>
    <row r="226" ht="112.5" spans="3:11">
      <c r="C226" s="106" t="s">
        <v>187</v>
      </c>
      <c r="D226" s="106" t="s">
        <v>115</v>
      </c>
      <c r="E226" s="106"/>
      <c r="F226" t="s">
        <v>174</v>
      </c>
      <c r="G226" s="40">
        <v>2021</v>
      </c>
      <c r="H226" s="41">
        <v>0.89</v>
      </c>
      <c r="J226" s="41">
        <v>0.659119941244054</v>
      </c>
      <c r="K226" s="56" t="s">
        <v>249</v>
      </c>
    </row>
    <row r="227" spans="4:5">
      <c r="D227" s="106" t="s">
        <v>104</v>
      </c>
      <c r="E227" s="106"/>
    </row>
    <row r="228" ht="112.5" spans="3:11">
      <c r="C228" s="106" t="s">
        <v>189</v>
      </c>
      <c r="D228" s="106" t="s">
        <v>115</v>
      </c>
      <c r="E228" s="106"/>
      <c r="F228" s="106" t="s">
        <v>188</v>
      </c>
      <c r="G228" s="40">
        <v>2021</v>
      </c>
      <c r="H228" s="137">
        <f>11.5/3.412</f>
        <v>3.3704572098476</v>
      </c>
      <c r="I228" s="103"/>
      <c r="K228" s="56" t="s">
        <v>250</v>
      </c>
    </row>
    <row r="229" spans="3:9">
      <c r="C229" s="106" t="s">
        <v>49</v>
      </c>
      <c r="D229" s="106"/>
      <c r="E229" s="106"/>
      <c r="F229" s="106"/>
      <c r="H229" s="137"/>
      <c r="I229" s="103"/>
    </row>
    <row r="230" ht="112.5" spans="3:11">
      <c r="C230" s="106" t="s">
        <v>191</v>
      </c>
      <c r="D230" s="106" t="s">
        <v>115</v>
      </c>
      <c r="E230" s="106"/>
      <c r="F230" s="106" t="s">
        <v>190</v>
      </c>
      <c r="G230" s="40">
        <v>2021</v>
      </c>
      <c r="H230" s="137">
        <f>H228</f>
        <v>3.3704572098476</v>
      </c>
      <c r="I230" s="103"/>
      <c r="K230" s="56" t="s">
        <v>250</v>
      </c>
    </row>
    <row r="231" spans="3:9">
      <c r="C231" s="106" t="s">
        <v>49</v>
      </c>
      <c r="D231" s="106"/>
      <c r="E231" s="106"/>
      <c r="F231" s="106"/>
      <c r="H231" s="137"/>
      <c r="I231" s="103"/>
    </row>
    <row r="232" ht="112.5" spans="3:11">
      <c r="C232" s="106" t="s">
        <v>193</v>
      </c>
      <c r="D232" s="106" t="s">
        <v>115</v>
      </c>
      <c r="E232" s="106"/>
      <c r="F232" s="106" t="s">
        <v>192</v>
      </c>
      <c r="G232" s="40">
        <v>2021</v>
      </c>
      <c r="H232" s="137">
        <f>13.7/3.412</f>
        <v>4.01524032825322</v>
      </c>
      <c r="I232" s="103"/>
      <c r="K232" s="56" t="s">
        <v>250</v>
      </c>
    </row>
    <row r="233" spans="3:9">
      <c r="C233" s="106" t="s">
        <v>49</v>
      </c>
      <c r="D233" s="106"/>
      <c r="E233" s="106"/>
      <c r="F233" s="106"/>
      <c r="H233" s="137"/>
      <c r="I233" s="103"/>
    </row>
    <row r="234" ht="112.5" spans="3:11">
      <c r="C234" s="106" t="s">
        <v>195</v>
      </c>
      <c r="D234" s="106" t="s">
        <v>115</v>
      </c>
      <c r="E234" s="106"/>
      <c r="F234" s="106" t="s">
        <v>194</v>
      </c>
      <c r="G234" s="40">
        <v>2021</v>
      </c>
      <c r="H234" s="137">
        <f>H232</f>
        <v>4.01524032825322</v>
      </c>
      <c r="I234" s="103"/>
      <c r="K234" s="56" t="s">
        <v>250</v>
      </c>
    </row>
    <row r="235" spans="3:9">
      <c r="C235" s="106" t="s">
        <v>49</v>
      </c>
      <c r="D235" s="106"/>
      <c r="E235" s="106"/>
      <c r="F235" s="106"/>
      <c r="H235" s="103"/>
      <c r="I235" s="103"/>
    </row>
    <row r="236" ht="112.5" spans="3:11">
      <c r="C236" s="41" t="s">
        <v>241</v>
      </c>
      <c r="D236" s="141" t="s">
        <v>115</v>
      </c>
      <c r="E236" s="141"/>
      <c r="F236" s="141" t="s">
        <v>188</v>
      </c>
      <c r="G236" s="40">
        <v>2021</v>
      </c>
      <c r="H236" s="103">
        <v>1</v>
      </c>
      <c r="I236" s="103"/>
      <c r="J236" s="80"/>
      <c r="K236" s="56" t="s">
        <v>250</v>
      </c>
    </row>
    <row r="237" spans="3:9">
      <c r="C237" s="40"/>
      <c r="D237" s="89" t="s">
        <v>251</v>
      </c>
      <c r="F237" s="40"/>
      <c r="H237" s="103"/>
      <c r="I237" s="103"/>
    </row>
    <row r="238" ht="112.5" spans="3:11">
      <c r="C238" s="41" t="s">
        <v>242</v>
      </c>
      <c r="D238" s="141" t="s">
        <v>115</v>
      </c>
      <c r="E238" s="141"/>
      <c r="F238" s="141" t="s">
        <v>190</v>
      </c>
      <c r="G238" s="40">
        <v>2021</v>
      </c>
      <c r="H238" s="103">
        <v>1</v>
      </c>
      <c r="I238" s="103"/>
      <c r="J238" s="80"/>
      <c r="K238" s="56" t="s">
        <v>250</v>
      </c>
    </row>
    <row r="239" spans="3:9">
      <c r="C239" s="40"/>
      <c r="D239" s="89" t="s">
        <v>251</v>
      </c>
      <c r="F239" s="40"/>
      <c r="H239" s="103"/>
      <c r="I239" s="103"/>
    </row>
    <row r="240" ht="112.5" spans="3:11">
      <c r="C240" s="41" t="s">
        <v>243</v>
      </c>
      <c r="D240" s="141" t="s">
        <v>115</v>
      </c>
      <c r="E240" s="141"/>
      <c r="F240" s="141" t="s">
        <v>192</v>
      </c>
      <c r="G240" s="40">
        <v>2021</v>
      </c>
      <c r="H240" s="103">
        <v>1</v>
      </c>
      <c r="I240" s="103"/>
      <c r="J240" s="80"/>
      <c r="K240" s="56" t="s">
        <v>250</v>
      </c>
    </row>
    <row r="241" spans="3:9">
      <c r="C241" s="40"/>
      <c r="D241" s="89" t="s">
        <v>251</v>
      </c>
      <c r="F241" s="40"/>
      <c r="H241" s="103"/>
      <c r="I241" s="103"/>
    </row>
    <row r="242" ht="112.5" spans="3:11">
      <c r="C242" s="41" t="s">
        <v>244</v>
      </c>
      <c r="D242" s="141" t="s">
        <v>115</v>
      </c>
      <c r="E242" s="141"/>
      <c r="F242" s="141" t="s">
        <v>194</v>
      </c>
      <c r="G242" s="40">
        <v>2021</v>
      </c>
      <c r="H242" s="103">
        <v>1</v>
      </c>
      <c r="I242" s="103"/>
      <c r="J242" s="80"/>
      <c r="K242" s="56" t="s">
        <v>250</v>
      </c>
    </row>
    <row r="243" spans="3:9">
      <c r="C243" s="40"/>
      <c r="D243" s="89" t="s">
        <v>251</v>
      </c>
      <c r="F243" s="40"/>
      <c r="H243" s="103"/>
      <c r="I243" s="103"/>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4" zoomScaleNormal="74" topLeftCell="AF21" workbookViewId="0">
      <selection activeCell="W8" sqref="W8"/>
    </sheetView>
  </sheetViews>
  <sheetFormatPr defaultColWidth="9" defaultRowHeight="14.5"/>
  <cols>
    <col min="2" max="2" width="23.8181818181818" style="57" customWidth="1"/>
    <col min="3" max="4" width="9" style="57"/>
    <col min="5" max="5" width="17.3636363636364" style="57" customWidth="1"/>
    <col min="6" max="6" width="9" style="57"/>
    <col min="7" max="9" width="12.8181818181818" style="58"/>
    <col min="10" max="11" width="12.8181818181818" style="59"/>
    <col min="12" max="12" width="14" style="59" customWidth="1"/>
    <col min="13" max="13" width="11.6363636363636" style="59" customWidth="1"/>
    <col min="14" max="15" width="9" style="57"/>
    <col min="16" max="16" width="10.4545454545455" style="57" customWidth="1"/>
    <col min="18" max="18" width="9" style="60"/>
    <col min="19" max="19" width="9" style="2"/>
    <col min="21" max="21" width="24.8181818181818" customWidth="1"/>
    <col min="22" max="22" width="9.27272727272727" customWidth="1"/>
    <col min="31" max="31" width="18.5454545454545" customWidth="1"/>
    <col min="36" max="36" width="12.8181818181818"/>
  </cols>
  <sheetData>
    <row r="1" spans="2:9">
      <c r="B1" s="61" t="s">
        <v>252</v>
      </c>
      <c r="G1" s="59"/>
      <c r="H1" s="59"/>
      <c r="I1" s="59"/>
    </row>
    <row r="2" spans="2:9">
      <c r="B2" s="61" t="s">
        <v>253</v>
      </c>
      <c r="G2" s="59"/>
      <c r="H2" s="59"/>
      <c r="I2" s="59"/>
    </row>
    <row r="3" spans="2:9">
      <c r="B3" s="61" t="s">
        <v>254</v>
      </c>
      <c r="G3" s="59"/>
      <c r="H3" s="59"/>
      <c r="I3" s="59"/>
    </row>
    <row r="4" spans="5:38">
      <c r="E4" s="62" t="s">
        <v>6</v>
      </c>
      <c r="G4" s="59"/>
      <c r="H4" s="59"/>
      <c r="I4" s="59"/>
      <c r="T4" s="19" t="s">
        <v>7</v>
      </c>
      <c r="U4" s="19"/>
      <c r="V4" s="75"/>
      <c r="W4" s="75"/>
      <c r="X4" s="75"/>
      <c r="Y4" s="75"/>
      <c r="Z4" s="75"/>
      <c r="AA4" s="75"/>
      <c r="AH4" s="11" t="s">
        <v>6</v>
      </c>
      <c r="AJ4" s="80"/>
      <c r="AK4" s="80"/>
      <c r="AL4" s="80"/>
    </row>
    <row r="5" ht="15.25" spans="2:37">
      <c r="B5" s="63" t="s">
        <v>8</v>
      </c>
      <c r="C5" s="63" t="s">
        <v>9</v>
      </c>
      <c r="D5" s="64" t="s">
        <v>49</v>
      </c>
      <c r="E5" s="63" t="s">
        <v>10</v>
      </c>
      <c r="F5" s="65" t="s">
        <v>11</v>
      </c>
      <c r="G5" s="66" t="s">
        <v>12</v>
      </c>
      <c r="H5" s="66" t="s">
        <v>49</v>
      </c>
      <c r="I5" s="66" t="s">
        <v>13</v>
      </c>
      <c r="J5" s="66" t="s">
        <v>15</v>
      </c>
      <c r="K5" s="66" t="s">
        <v>17</v>
      </c>
      <c r="L5" s="66" t="s">
        <v>21</v>
      </c>
      <c r="M5" s="66" t="s">
        <v>23</v>
      </c>
      <c r="N5" s="71" t="s">
        <v>25</v>
      </c>
      <c r="O5" s="72" t="s">
        <v>24</v>
      </c>
      <c r="P5" s="49" t="s">
        <v>102</v>
      </c>
      <c r="R5" s="76" t="s">
        <v>25</v>
      </c>
      <c r="S5" s="77"/>
      <c r="T5" s="78" t="s">
        <v>27</v>
      </c>
      <c r="U5" s="78" t="s">
        <v>8</v>
      </c>
      <c r="V5" s="78" t="s">
        <v>29</v>
      </c>
      <c r="W5" s="78" t="s">
        <v>30</v>
      </c>
      <c r="X5" s="78" t="s">
        <v>31</v>
      </c>
      <c r="Y5" s="78" t="s">
        <v>32</v>
      </c>
      <c r="Z5" s="78" t="s">
        <v>33</v>
      </c>
      <c r="AA5" s="78" t="s">
        <v>34</v>
      </c>
      <c r="AE5" s="12" t="s">
        <v>8</v>
      </c>
      <c r="AF5" s="12" t="s">
        <v>49</v>
      </c>
      <c r="AG5" s="42" t="s">
        <v>49</v>
      </c>
      <c r="AH5" s="12" t="s">
        <v>49</v>
      </c>
      <c r="AI5" s="13" t="s">
        <v>11</v>
      </c>
      <c r="AJ5" s="44" t="s">
        <v>13</v>
      </c>
      <c r="AK5" s="81" t="s">
        <v>49</v>
      </c>
    </row>
    <row r="6" ht="175" spans="2:37">
      <c r="B6" s="67" t="s">
        <v>255</v>
      </c>
      <c r="C6" s="67" t="s">
        <v>256</v>
      </c>
      <c r="D6" s="67"/>
      <c r="E6" s="67" t="s">
        <v>257</v>
      </c>
      <c r="F6" s="57">
        <v>2021</v>
      </c>
      <c r="G6" s="68">
        <f>RSD!H121</f>
        <v>0.695684634187153</v>
      </c>
      <c r="H6" s="68"/>
      <c r="I6" s="68">
        <f>RSD!J121</f>
        <v>0.0585651063878025</v>
      </c>
      <c r="J6" s="68">
        <f>RSD!K121</f>
        <v>936.910516748293</v>
      </c>
      <c r="K6" s="68">
        <f>RSD!L121</f>
        <v>23.6986487605685</v>
      </c>
      <c r="L6" s="68">
        <f>RSD!M121</f>
        <v>926.303529288624</v>
      </c>
      <c r="M6" s="68">
        <f>RSD!N121</f>
        <v>23.6986487605685</v>
      </c>
      <c r="N6" s="68">
        <f>RSD!Q121</f>
        <v>15.5</v>
      </c>
      <c r="O6" s="57">
        <v>31.54</v>
      </c>
      <c r="R6" s="60">
        <v>22</v>
      </c>
      <c r="T6" t="s">
        <v>51</v>
      </c>
      <c r="U6" s="79" t="s">
        <v>255</v>
      </c>
      <c r="W6" s="79" t="s">
        <v>106</v>
      </c>
      <c r="X6" s="79" t="s">
        <v>107</v>
      </c>
      <c r="AE6" t="str">
        <f>B146</f>
        <v>WST-SpHeat_ELE1</v>
      </c>
      <c r="AJ6">
        <f>'[6]TechSpaceHeat-COM'!$O$199</f>
        <v>0.57213840668191</v>
      </c>
      <c r="AK6" s="56" t="s">
        <v>249</v>
      </c>
    </row>
    <row r="7" ht="175" spans="2:37">
      <c r="B7" s="67" t="s">
        <v>258</v>
      </c>
      <c r="C7" s="67" t="s">
        <v>256</v>
      </c>
      <c r="D7" s="67"/>
      <c r="E7" s="67" t="s">
        <v>259</v>
      </c>
      <c r="F7" s="57">
        <v>2021</v>
      </c>
      <c r="G7" s="69">
        <f>G6</f>
        <v>0.695684634187153</v>
      </c>
      <c r="H7" s="69"/>
      <c r="I7" s="69">
        <f t="shared" ref="I7:N7" si="0">I6</f>
        <v>0.0585651063878025</v>
      </c>
      <c r="J7" s="69">
        <f t="shared" si="0"/>
        <v>936.910516748293</v>
      </c>
      <c r="K7" s="69">
        <f t="shared" si="0"/>
        <v>23.6986487605685</v>
      </c>
      <c r="L7" s="69">
        <f t="shared" si="0"/>
        <v>926.303529288624</v>
      </c>
      <c r="M7" s="69">
        <f t="shared" si="0"/>
        <v>23.6986487605685</v>
      </c>
      <c r="N7" s="73">
        <f t="shared" si="0"/>
        <v>15.5</v>
      </c>
      <c r="O7" s="57">
        <v>31.54</v>
      </c>
      <c r="R7" s="60">
        <f>R6</f>
        <v>22</v>
      </c>
      <c r="U7" s="79" t="s">
        <v>258</v>
      </c>
      <c r="W7" s="79" t="s">
        <v>106</v>
      </c>
      <c r="X7" s="79" t="s">
        <v>107</v>
      </c>
      <c r="AE7" t="str">
        <f t="shared" ref="AE7:AE36" si="1">B147</f>
        <v>WST-SpHeat_GAS1</v>
      </c>
      <c r="AJ7">
        <f>'[6]TechSpaceHeat-COM'!$O$200</f>
        <v>0.7560308930794</v>
      </c>
      <c r="AK7" s="56" t="s">
        <v>249</v>
      </c>
    </row>
    <row r="8" ht="175" spans="2:37">
      <c r="B8" s="67" t="s">
        <v>260</v>
      </c>
      <c r="C8" s="67" t="s">
        <v>256</v>
      </c>
      <c r="D8" s="67"/>
      <c r="E8" s="67" t="s">
        <v>261</v>
      </c>
      <c r="F8" s="57">
        <v>2021</v>
      </c>
      <c r="G8" s="69">
        <f t="shared" ref="G8:G15" si="2">G7</f>
        <v>0.695684634187153</v>
      </c>
      <c r="H8" s="69"/>
      <c r="I8" s="69">
        <f t="shared" ref="I8:I15" si="3">I7</f>
        <v>0.0585651063878025</v>
      </c>
      <c r="J8" s="69">
        <f t="shared" ref="J8:J15" si="4">J7</f>
        <v>936.910516748293</v>
      </c>
      <c r="K8" s="69">
        <f t="shared" ref="K8:K15" si="5">K7</f>
        <v>23.6986487605685</v>
      </c>
      <c r="L8" s="69">
        <f t="shared" ref="L8:L15" si="6">L7</f>
        <v>926.303529288624</v>
      </c>
      <c r="M8" s="69">
        <f t="shared" ref="M8:N15" si="7">M7</f>
        <v>23.6986487605685</v>
      </c>
      <c r="N8" s="73">
        <f t="shared" si="7"/>
        <v>15.5</v>
      </c>
      <c r="O8" s="57">
        <v>31.54</v>
      </c>
      <c r="R8" s="60">
        <f t="shared" ref="R8:R15" si="8">R7</f>
        <v>22</v>
      </c>
      <c r="U8" s="79" t="s">
        <v>260</v>
      </c>
      <c r="W8" s="79" t="s">
        <v>106</v>
      </c>
      <c r="X8" s="79" t="s">
        <v>107</v>
      </c>
      <c r="AE8" t="str">
        <f t="shared" si="1"/>
        <v>WST-SpHeat_LFO1</v>
      </c>
      <c r="AJ8">
        <f>'[6]TechSpaceHeat-COM'!$O$201</f>
        <v>0.458770225670464</v>
      </c>
      <c r="AK8" s="56" t="s">
        <v>249</v>
      </c>
    </row>
    <row r="9" ht="175" spans="2:37">
      <c r="B9" s="67" t="s">
        <v>262</v>
      </c>
      <c r="C9" s="67" t="s">
        <v>256</v>
      </c>
      <c r="D9" s="67"/>
      <c r="E9" s="67" t="s">
        <v>263</v>
      </c>
      <c r="F9" s="57">
        <v>2021</v>
      </c>
      <c r="G9" s="69">
        <f t="shared" si="2"/>
        <v>0.695684634187153</v>
      </c>
      <c r="H9" s="69"/>
      <c r="I9" s="69">
        <f t="shared" si="3"/>
        <v>0.0585651063878025</v>
      </c>
      <c r="J9" s="69">
        <f t="shared" si="4"/>
        <v>936.910516748293</v>
      </c>
      <c r="K9" s="69">
        <f t="shared" si="5"/>
        <v>23.6986487605685</v>
      </c>
      <c r="L9" s="69">
        <f t="shared" si="6"/>
        <v>926.303529288624</v>
      </c>
      <c r="M9" s="69">
        <f t="shared" si="7"/>
        <v>23.6986487605685</v>
      </c>
      <c r="N9" s="73">
        <f t="shared" si="7"/>
        <v>15.5</v>
      </c>
      <c r="O9" s="57">
        <v>31.54</v>
      </c>
      <c r="R9" s="60">
        <f t="shared" si="8"/>
        <v>22</v>
      </c>
      <c r="U9" s="79" t="s">
        <v>262</v>
      </c>
      <c r="W9" s="79" t="s">
        <v>106</v>
      </c>
      <c r="X9" s="79" t="s">
        <v>107</v>
      </c>
      <c r="AE9" t="str">
        <f t="shared" si="1"/>
        <v>WST-SpHeat_HFO1</v>
      </c>
      <c r="AJ9">
        <f>'[6]TechSpaceHeat-COM'!$O$202</f>
        <v>0.458770225670464</v>
      </c>
      <c r="AK9" s="56" t="s">
        <v>249</v>
      </c>
    </row>
    <row r="10" ht="175" spans="2:37">
      <c r="B10" s="67" t="s">
        <v>264</v>
      </c>
      <c r="C10" s="67" t="s">
        <v>256</v>
      </c>
      <c r="D10" s="67"/>
      <c r="E10" s="67" t="s">
        <v>265</v>
      </c>
      <c r="F10" s="57">
        <v>2021</v>
      </c>
      <c r="G10" s="69">
        <f t="shared" si="2"/>
        <v>0.695684634187153</v>
      </c>
      <c r="H10" s="69"/>
      <c r="I10" s="69">
        <f t="shared" si="3"/>
        <v>0.0585651063878025</v>
      </c>
      <c r="J10" s="69">
        <f t="shared" si="4"/>
        <v>936.910516748293</v>
      </c>
      <c r="K10" s="69">
        <f t="shared" si="5"/>
        <v>23.6986487605685</v>
      </c>
      <c r="L10" s="69">
        <f t="shared" si="6"/>
        <v>926.303529288624</v>
      </c>
      <c r="M10" s="69">
        <f t="shared" si="7"/>
        <v>23.6986487605685</v>
      </c>
      <c r="N10" s="73">
        <f t="shared" si="7"/>
        <v>15.5</v>
      </c>
      <c r="O10" s="57">
        <v>31.54</v>
      </c>
      <c r="R10" s="60">
        <f t="shared" si="8"/>
        <v>22</v>
      </c>
      <c r="U10" s="79" t="s">
        <v>264</v>
      </c>
      <c r="W10" s="79" t="s">
        <v>106</v>
      </c>
      <c r="X10" s="79" t="s">
        <v>107</v>
      </c>
      <c r="AE10" t="str">
        <f t="shared" si="1"/>
        <v>WST-SpHeat_STE1</v>
      </c>
      <c r="AJ10">
        <f>'[6]TechSpaceHeat-COM'!$O$203</f>
        <v>0.7560308930794</v>
      </c>
      <c r="AK10" s="56" t="s">
        <v>249</v>
      </c>
    </row>
    <row r="11" ht="175" spans="2:37">
      <c r="B11" s="67" t="s">
        <v>266</v>
      </c>
      <c r="C11" s="67" t="s">
        <v>256</v>
      </c>
      <c r="D11" s="67"/>
      <c r="E11" s="67" t="s">
        <v>267</v>
      </c>
      <c r="F11" s="57">
        <v>2021</v>
      </c>
      <c r="G11" s="69">
        <f t="shared" si="2"/>
        <v>0.695684634187153</v>
      </c>
      <c r="H11" s="69"/>
      <c r="I11" s="69">
        <f t="shared" si="3"/>
        <v>0.0585651063878025</v>
      </c>
      <c r="J11" s="69">
        <f t="shared" si="4"/>
        <v>936.910516748293</v>
      </c>
      <c r="K11" s="69">
        <f t="shared" si="5"/>
        <v>23.6986487605685</v>
      </c>
      <c r="L11" s="69">
        <f t="shared" si="6"/>
        <v>926.303529288624</v>
      </c>
      <c r="M11" s="69">
        <f t="shared" si="7"/>
        <v>23.6986487605685</v>
      </c>
      <c r="N11" s="73">
        <f t="shared" si="7"/>
        <v>15.5</v>
      </c>
      <c r="O11" s="57">
        <v>31.54</v>
      </c>
      <c r="R11" s="60">
        <f t="shared" si="8"/>
        <v>22</v>
      </c>
      <c r="U11" s="79" t="s">
        <v>266</v>
      </c>
      <c r="W11" s="79" t="s">
        <v>106</v>
      </c>
      <c r="X11" s="79" t="s">
        <v>107</v>
      </c>
      <c r="AE11" t="str">
        <f t="shared" si="1"/>
        <v>WST-SpHeat_COA1</v>
      </c>
      <c r="AJ11">
        <f>'[6]TechSpaceHeat-COM'!$O$204</f>
        <v>0.879346690009941</v>
      </c>
      <c r="AK11" s="56" t="s">
        <v>249</v>
      </c>
    </row>
    <row r="12" ht="175" spans="2:37">
      <c r="B12" s="67" t="s">
        <v>268</v>
      </c>
      <c r="C12" s="67" t="s">
        <v>256</v>
      </c>
      <c r="D12" s="67"/>
      <c r="E12" s="67" t="s">
        <v>269</v>
      </c>
      <c r="F12" s="57">
        <v>2021</v>
      </c>
      <c r="G12" s="69">
        <f t="shared" si="2"/>
        <v>0.695684634187153</v>
      </c>
      <c r="H12" s="69"/>
      <c r="I12" s="69">
        <f t="shared" si="3"/>
        <v>0.0585651063878025</v>
      </c>
      <c r="J12" s="69">
        <f t="shared" si="4"/>
        <v>936.910516748293</v>
      </c>
      <c r="K12" s="69">
        <f t="shared" si="5"/>
        <v>23.6986487605685</v>
      </c>
      <c r="L12" s="69">
        <f t="shared" si="6"/>
        <v>926.303529288624</v>
      </c>
      <c r="M12" s="69">
        <f t="shared" si="7"/>
        <v>23.6986487605685</v>
      </c>
      <c r="N12" s="73">
        <f t="shared" si="7"/>
        <v>15.5</v>
      </c>
      <c r="O12" s="57">
        <v>31.54</v>
      </c>
      <c r="R12" s="60">
        <f t="shared" si="8"/>
        <v>22</v>
      </c>
      <c r="U12" s="79" t="s">
        <v>268</v>
      </c>
      <c r="W12" s="79" t="s">
        <v>106</v>
      </c>
      <c r="X12" s="79" t="s">
        <v>107</v>
      </c>
      <c r="AE12" t="str">
        <f t="shared" si="1"/>
        <v>RTS-SpHeat_ELE1</v>
      </c>
      <c r="AJ12">
        <f t="shared" ref="AJ12:AJ17" si="9">AJ6</f>
        <v>0.57213840668191</v>
      </c>
      <c r="AK12" s="56" t="s">
        <v>249</v>
      </c>
    </row>
    <row r="13" ht="175" spans="2:37">
      <c r="B13" s="67" t="s">
        <v>270</v>
      </c>
      <c r="C13" s="67" t="s">
        <v>256</v>
      </c>
      <c r="D13" s="67"/>
      <c r="E13" s="67" t="s">
        <v>271</v>
      </c>
      <c r="F13" s="57">
        <v>2021</v>
      </c>
      <c r="G13" s="69">
        <f t="shared" si="2"/>
        <v>0.695684634187153</v>
      </c>
      <c r="H13" s="69"/>
      <c r="I13" s="69">
        <f t="shared" si="3"/>
        <v>0.0585651063878025</v>
      </c>
      <c r="J13" s="69">
        <f t="shared" si="4"/>
        <v>936.910516748293</v>
      </c>
      <c r="K13" s="69">
        <f t="shared" si="5"/>
        <v>23.6986487605685</v>
      </c>
      <c r="L13" s="69">
        <f t="shared" si="6"/>
        <v>926.303529288624</v>
      </c>
      <c r="M13" s="69">
        <f t="shared" si="7"/>
        <v>23.6986487605685</v>
      </c>
      <c r="N13" s="73">
        <f t="shared" si="7"/>
        <v>15.5</v>
      </c>
      <c r="O13" s="57">
        <v>31.54</v>
      </c>
      <c r="R13" s="60">
        <f t="shared" si="8"/>
        <v>22</v>
      </c>
      <c r="U13" s="79" t="s">
        <v>270</v>
      </c>
      <c r="W13" s="79" t="s">
        <v>106</v>
      </c>
      <c r="X13" s="79" t="s">
        <v>107</v>
      </c>
      <c r="AE13" t="str">
        <f t="shared" si="1"/>
        <v>RTS-SpHeat_GAS1</v>
      </c>
      <c r="AJ13">
        <f t="shared" si="9"/>
        <v>0.7560308930794</v>
      </c>
      <c r="AK13" s="56" t="s">
        <v>249</v>
      </c>
    </row>
    <row r="14" ht="175" spans="2:37">
      <c r="B14" s="67" t="s">
        <v>272</v>
      </c>
      <c r="C14" s="67" t="s">
        <v>256</v>
      </c>
      <c r="D14" s="67"/>
      <c r="E14" s="67" t="s">
        <v>273</v>
      </c>
      <c r="F14" s="57">
        <v>2021</v>
      </c>
      <c r="G14" s="69">
        <f t="shared" si="2"/>
        <v>0.695684634187153</v>
      </c>
      <c r="H14" s="69"/>
      <c r="I14" s="69">
        <f t="shared" si="3"/>
        <v>0.0585651063878025</v>
      </c>
      <c r="J14" s="69">
        <f t="shared" si="4"/>
        <v>936.910516748293</v>
      </c>
      <c r="K14" s="69">
        <f t="shared" si="5"/>
        <v>23.6986487605685</v>
      </c>
      <c r="L14" s="69">
        <f t="shared" si="6"/>
        <v>926.303529288624</v>
      </c>
      <c r="M14" s="69">
        <f t="shared" si="7"/>
        <v>23.6986487605685</v>
      </c>
      <c r="N14" s="73">
        <f t="shared" si="7"/>
        <v>15.5</v>
      </c>
      <c r="O14" s="57">
        <v>31.54</v>
      </c>
      <c r="R14" s="60">
        <f t="shared" si="8"/>
        <v>22</v>
      </c>
      <c r="U14" s="79" t="s">
        <v>272</v>
      </c>
      <c r="W14" s="79" t="s">
        <v>106</v>
      </c>
      <c r="X14" s="79" t="s">
        <v>107</v>
      </c>
      <c r="AE14" t="str">
        <f t="shared" si="1"/>
        <v>RTS-SpHeat_LFO1</v>
      </c>
      <c r="AJ14">
        <f t="shared" si="9"/>
        <v>0.458770225670464</v>
      </c>
      <c r="AK14" s="56" t="s">
        <v>249</v>
      </c>
    </row>
    <row r="15" ht="175" spans="2:37">
      <c r="B15" s="67" t="s">
        <v>274</v>
      </c>
      <c r="C15" s="67" t="s">
        <v>256</v>
      </c>
      <c r="D15" s="67"/>
      <c r="E15" s="67" t="s">
        <v>275</v>
      </c>
      <c r="F15" s="57">
        <v>2021</v>
      </c>
      <c r="G15" s="69">
        <f t="shared" si="2"/>
        <v>0.695684634187153</v>
      </c>
      <c r="H15" s="69"/>
      <c r="I15" s="69">
        <f t="shared" si="3"/>
        <v>0.0585651063878025</v>
      </c>
      <c r="J15" s="69">
        <f t="shared" si="4"/>
        <v>936.910516748293</v>
      </c>
      <c r="K15" s="69">
        <f t="shared" si="5"/>
        <v>23.6986487605685</v>
      </c>
      <c r="L15" s="69">
        <f t="shared" si="6"/>
        <v>926.303529288624</v>
      </c>
      <c r="M15" s="69">
        <f t="shared" si="7"/>
        <v>23.6986487605685</v>
      </c>
      <c r="N15" s="73">
        <f t="shared" si="7"/>
        <v>15.5</v>
      </c>
      <c r="O15" s="57">
        <v>31.54</v>
      </c>
      <c r="R15" s="60">
        <f t="shared" si="8"/>
        <v>22</v>
      </c>
      <c r="U15" s="79" t="s">
        <v>274</v>
      </c>
      <c r="W15" s="79" t="s">
        <v>106</v>
      </c>
      <c r="X15" s="79" t="s">
        <v>107</v>
      </c>
      <c r="AE15" t="str">
        <f t="shared" si="1"/>
        <v>RTS-SpHeat_HFO1</v>
      </c>
      <c r="AJ15">
        <f t="shared" si="9"/>
        <v>0.458770225670464</v>
      </c>
      <c r="AK15" s="56" t="s">
        <v>249</v>
      </c>
    </row>
    <row r="16" ht="175" spans="2:37">
      <c r="B16" s="67" t="s">
        <v>276</v>
      </c>
      <c r="C16" s="67" t="s">
        <v>256</v>
      </c>
      <c r="D16" s="67"/>
      <c r="E16" s="67" t="s">
        <v>277</v>
      </c>
      <c r="F16" s="57">
        <v>2021</v>
      </c>
      <c r="G16" s="70">
        <v>1</v>
      </c>
      <c r="H16" s="70"/>
      <c r="I16" s="70">
        <f>[5]TechAuxiliaryMot!$N$43</f>
        <v>0.0454585176842925</v>
      </c>
      <c r="J16" s="70">
        <f t="shared" ref="J16:O16" si="10">J206</f>
        <v>450.004888888889</v>
      </c>
      <c r="K16" s="70">
        <f t="shared" si="10"/>
        <v>14.0271111111111</v>
      </c>
      <c r="L16" s="70">
        <f t="shared" si="10"/>
        <v>450.004888888889</v>
      </c>
      <c r="M16" s="70">
        <f t="shared" si="10"/>
        <v>14.0271111111111</v>
      </c>
      <c r="N16" s="70">
        <f t="shared" si="10"/>
        <v>21</v>
      </c>
      <c r="O16" s="70">
        <f t="shared" si="10"/>
        <v>31.54</v>
      </c>
      <c r="R16" s="60">
        <v>10</v>
      </c>
      <c r="U16" s="79" t="s">
        <v>276</v>
      </c>
      <c r="W16" s="79" t="s">
        <v>106</v>
      </c>
      <c r="X16" s="79" t="s">
        <v>107</v>
      </c>
      <c r="AE16" t="str">
        <f t="shared" si="1"/>
        <v>RTS-SpHeat_STE1</v>
      </c>
      <c r="AJ16">
        <f t="shared" si="9"/>
        <v>0.7560308930794</v>
      </c>
      <c r="AK16" s="56" t="s">
        <v>249</v>
      </c>
    </row>
    <row r="17" ht="175" spans="2:37">
      <c r="B17" s="67" t="s">
        <v>278</v>
      </c>
      <c r="C17" s="67" t="s">
        <v>256</v>
      </c>
      <c r="D17" s="67"/>
      <c r="E17" s="67" t="s">
        <v>279</v>
      </c>
      <c r="F17" s="57">
        <v>2021</v>
      </c>
      <c r="G17" s="70">
        <f>G16</f>
        <v>1</v>
      </c>
      <c r="H17" s="70"/>
      <c r="I17" s="70">
        <f t="shared" ref="I17:O17" si="11">I16</f>
        <v>0.0454585176842925</v>
      </c>
      <c r="J17" s="70">
        <f t="shared" si="11"/>
        <v>450.004888888889</v>
      </c>
      <c r="K17" s="70">
        <f t="shared" si="11"/>
        <v>14.0271111111111</v>
      </c>
      <c r="L17" s="70">
        <f t="shared" si="11"/>
        <v>450.004888888889</v>
      </c>
      <c r="M17" s="70">
        <f t="shared" si="11"/>
        <v>14.0271111111111</v>
      </c>
      <c r="N17" s="70">
        <f t="shared" si="11"/>
        <v>21</v>
      </c>
      <c r="O17" s="70">
        <f t="shared" si="11"/>
        <v>31.54</v>
      </c>
      <c r="R17" s="60">
        <v>10</v>
      </c>
      <c r="U17" s="79" t="s">
        <v>278</v>
      </c>
      <c r="W17" s="79" t="s">
        <v>106</v>
      </c>
      <c r="X17" s="79" t="s">
        <v>107</v>
      </c>
      <c r="AE17" t="str">
        <f t="shared" si="1"/>
        <v>RTS-SpHeat_COA1</v>
      </c>
      <c r="AJ17">
        <f t="shared" si="9"/>
        <v>0.879346690009941</v>
      </c>
      <c r="AK17" s="56" t="s">
        <v>249</v>
      </c>
    </row>
    <row r="18" ht="175" spans="2:37">
      <c r="B18" s="67" t="s">
        <v>280</v>
      </c>
      <c r="C18" s="67" t="s">
        <v>256</v>
      </c>
      <c r="D18" s="67"/>
      <c r="E18" s="67" t="s">
        <v>281</v>
      </c>
      <c r="F18" s="57">
        <v>2021</v>
      </c>
      <c r="G18" s="70">
        <f t="shared" ref="G18:G25" si="12">G17</f>
        <v>1</v>
      </c>
      <c r="H18" s="70"/>
      <c r="I18" s="70">
        <f t="shared" ref="I18:I25" si="13">I17</f>
        <v>0.0454585176842925</v>
      </c>
      <c r="J18" s="70">
        <f t="shared" ref="J18:J25" si="14">J17</f>
        <v>450.004888888889</v>
      </c>
      <c r="K18" s="70">
        <f t="shared" ref="K18:K25" si="15">K17</f>
        <v>14.0271111111111</v>
      </c>
      <c r="L18" s="70">
        <f t="shared" ref="L18:L25" si="16">L17</f>
        <v>450.004888888889</v>
      </c>
      <c r="M18" s="70">
        <f t="shared" ref="M18:M25" si="17">M17</f>
        <v>14.0271111111111</v>
      </c>
      <c r="N18" s="70">
        <f t="shared" ref="N18:N25" si="18">N17</f>
        <v>21</v>
      </c>
      <c r="O18" s="70">
        <f t="shared" ref="O18:O25" si="19">O17</f>
        <v>31.54</v>
      </c>
      <c r="R18" s="60">
        <v>10</v>
      </c>
      <c r="U18" s="79" t="s">
        <v>280</v>
      </c>
      <c r="W18" s="79" t="s">
        <v>106</v>
      </c>
      <c r="X18" s="79" t="s">
        <v>107</v>
      </c>
      <c r="AE18" t="str">
        <f t="shared" si="1"/>
        <v>TWS-SpHeat_ELE1</v>
      </c>
      <c r="AJ18">
        <f t="shared" ref="AJ18:AJ65" si="20">AJ12</f>
        <v>0.57213840668191</v>
      </c>
      <c r="AK18" s="56" t="s">
        <v>249</v>
      </c>
    </row>
    <row r="19" ht="175" spans="2:37">
      <c r="B19" s="67" t="s">
        <v>282</v>
      </c>
      <c r="C19" s="67" t="s">
        <v>256</v>
      </c>
      <c r="D19" s="67"/>
      <c r="E19" s="67" t="s">
        <v>283</v>
      </c>
      <c r="F19" s="57">
        <v>2021</v>
      </c>
      <c r="G19" s="70">
        <f t="shared" si="12"/>
        <v>1</v>
      </c>
      <c r="H19" s="70"/>
      <c r="I19" s="70">
        <f t="shared" si="13"/>
        <v>0.0454585176842925</v>
      </c>
      <c r="J19" s="70">
        <f t="shared" si="14"/>
        <v>450.004888888889</v>
      </c>
      <c r="K19" s="70">
        <f t="shared" si="15"/>
        <v>14.0271111111111</v>
      </c>
      <c r="L19" s="70">
        <f t="shared" si="16"/>
        <v>450.004888888889</v>
      </c>
      <c r="M19" s="70">
        <f t="shared" si="17"/>
        <v>14.0271111111111</v>
      </c>
      <c r="N19" s="70">
        <f t="shared" si="18"/>
        <v>21</v>
      </c>
      <c r="O19" s="70">
        <f t="shared" si="19"/>
        <v>31.54</v>
      </c>
      <c r="R19" s="60">
        <v>10</v>
      </c>
      <c r="U19" s="79" t="s">
        <v>282</v>
      </c>
      <c r="W19" s="79" t="s">
        <v>106</v>
      </c>
      <c r="X19" s="79" t="s">
        <v>107</v>
      </c>
      <c r="AE19" t="str">
        <f t="shared" si="1"/>
        <v>TWS-SpHeat_GAS1</v>
      </c>
      <c r="AJ19">
        <f t="shared" si="20"/>
        <v>0.7560308930794</v>
      </c>
      <c r="AK19" s="56" t="s">
        <v>249</v>
      </c>
    </row>
    <row r="20" ht="175" spans="2:37">
      <c r="B20" s="67" t="s">
        <v>284</v>
      </c>
      <c r="C20" s="67" t="s">
        <v>256</v>
      </c>
      <c r="D20" s="67"/>
      <c r="E20" s="67" t="s">
        <v>285</v>
      </c>
      <c r="F20" s="57">
        <v>2021</v>
      </c>
      <c r="G20" s="70">
        <f t="shared" si="12"/>
        <v>1</v>
      </c>
      <c r="H20" s="70"/>
      <c r="I20" s="70">
        <f t="shared" si="13"/>
        <v>0.0454585176842925</v>
      </c>
      <c r="J20" s="70">
        <f t="shared" si="14"/>
        <v>450.004888888889</v>
      </c>
      <c r="K20" s="70">
        <f t="shared" si="15"/>
        <v>14.0271111111111</v>
      </c>
      <c r="L20" s="70">
        <f t="shared" si="16"/>
        <v>450.004888888889</v>
      </c>
      <c r="M20" s="70">
        <f t="shared" si="17"/>
        <v>14.0271111111111</v>
      </c>
      <c r="N20" s="70">
        <f t="shared" si="18"/>
        <v>21</v>
      </c>
      <c r="O20" s="70">
        <f t="shared" si="19"/>
        <v>31.54</v>
      </c>
      <c r="R20" s="60">
        <v>10</v>
      </c>
      <c r="U20" s="79" t="s">
        <v>284</v>
      </c>
      <c r="W20" s="79" t="s">
        <v>106</v>
      </c>
      <c r="X20" s="79" t="s">
        <v>107</v>
      </c>
      <c r="AE20" t="str">
        <f t="shared" si="1"/>
        <v>TWS-SpHeat_LFO1</v>
      </c>
      <c r="AJ20">
        <f t="shared" si="20"/>
        <v>0.458770225670464</v>
      </c>
      <c r="AK20" s="56" t="s">
        <v>249</v>
      </c>
    </row>
    <row r="21" ht="175" spans="2:37">
      <c r="B21" s="67" t="s">
        <v>286</v>
      </c>
      <c r="C21" s="67" t="s">
        <v>256</v>
      </c>
      <c r="D21" s="67"/>
      <c r="E21" s="67" t="s">
        <v>287</v>
      </c>
      <c r="F21" s="57">
        <v>2021</v>
      </c>
      <c r="G21" s="70">
        <f t="shared" si="12"/>
        <v>1</v>
      </c>
      <c r="H21" s="70"/>
      <c r="I21" s="70">
        <f t="shared" si="13"/>
        <v>0.0454585176842925</v>
      </c>
      <c r="J21" s="70">
        <f t="shared" si="14"/>
        <v>450.004888888889</v>
      </c>
      <c r="K21" s="70">
        <f t="shared" si="15"/>
        <v>14.0271111111111</v>
      </c>
      <c r="L21" s="70">
        <f t="shared" si="16"/>
        <v>450.004888888889</v>
      </c>
      <c r="M21" s="70">
        <f t="shared" si="17"/>
        <v>14.0271111111111</v>
      </c>
      <c r="N21" s="70">
        <f t="shared" si="18"/>
        <v>21</v>
      </c>
      <c r="O21" s="70">
        <f t="shared" si="19"/>
        <v>31.54</v>
      </c>
      <c r="R21" s="60">
        <v>10</v>
      </c>
      <c r="U21" s="79" t="s">
        <v>286</v>
      </c>
      <c r="W21" s="79" t="s">
        <v>106</v>
      </c>
      <c r="X21" s="79" t="s">
        <v>107</v>
      </c>
      <c r="AE21" t="str">
        <f t="shared" si="1"/>
        <v>TWS-SpHeat_HFO1</v>
      </c>
      <c r="AJ21">
        <f t="shared" si="20"/>
        <v>0.458770225670464</v>
      </c>
      <c r="AK21" s="56" t="s">
        <v>249</v>
      </c>
    </row>
    <row r="22" ht="175" spans="2:37">
      <c r="B22" s="67" t="s">
        <v>288</v>
      </c>
      <c r="C22" s="67" t="s">
        <v>256</v>
      </c>
      <c r="D22" s="67"/>
      <c r="E22" s="67" t="s">
        <v>289</v>
      </c>
      <c r="F22" s="57">
        <v>2021</v>
      </c>
      <c r="G22" s="70">
        <f t="shared" si="12"/>
        <v>1</v>
      </c>
      <c r="H22" s="70"/>
      <c r="I22" s="70">
        <f t="shared" si="13"/>
        <v>0.0454585176842925</v>
      </c>
      <c r="J22" s="70">
        <f t="shared" si="14"/>
        <v>450.004888888889</v>
      </c>
      <c r="K22" s="70">
        <f t="shared" si="15"/>
        <v>14.0271111111111</v>
      </c>
      <c r="L22" s="70">
        <f t="shared" si="16"/>
        <v>450.004888888889</v>
      </c>
      <c r="M22" s="70">
        <f t="shared" si="17"/>
        <v>14.0271111111111</v>
      </c>
      <c r="N22" s="70">
        <f t="shared" si="18"/>
        <v>21</v>
      </c>
      <c r="O22" s="70">
        <f t="shared" si="19"/>
        <v>31.54</v>
      </c>
      <c r="R22" s="60">
        <v>10</v>
      </c>
      <c r="U22" s="79" t="s">
        <v>288</v>
      </c>
      <c r="W22" s="79" t="s">
        <v>106</v>
      </c>
      <c r="X22" s="79" t="s">
        <v>107</v>
      </c>
      <c r="AE22" t="str">
        <f t="shared" si="1"/>
        <v>TWS-SpHeat_STE1</v>
      </c>
      <c r="AJ22">
        <f t="shared" si="20"/>
        <v>0.7560308930794</v>
      </c>
      <c r="AK22" s="56" t="s">
        <v>249</v>
      </c>
    </row>
    <row r="23" ht="175" spans="2:37">
      <c r="B23" s="67" t="s">
        <v>290</v>
      </c>
      <c r="C23" s="67" t="s">
        <v>256</v>
      </c>
      <c r="D23" s="67"/>
      <c r="E23" s="67" t="s">
        <v>291</v>
      </c>
      <c r="F23" s="57">
        <v>2021</v>
      </c>
      <c r="G23" s="70">
        <f t="shared" si="12"/>
        <v>1</v>
      </c>
      <c r="H23" s="70"/>
      <c r="I23" s="70">
        <f t="shared" si="13"/>
        <v>0.0454585176842925</v>
      </c>
      <c r="J23" s="70">
        <f t="shared" si="14"/>
        <v>450.004888888889</v>
      </c>
      <c r="K23" s="70">
        <f t="shared" si="15"/>
        <v>14.0271111111111</v>
      </c>
      <c r="L23" s="70">
        <f t="shared" si="16"/>
        <v>450.004888888889</v>
      </c>
      <c r="M23" s="70">
        <f t="shared" si="17"/>
        <v>14.0271111111111</v>
      </c>
      <c r="N23" s="70">
        <f t="shared" si="18"/>
        <v>21</v>
      </c>
      <c r="O23" s="70">
        <f t="shared" si="19"/>
        <v>31.54</v>
      </c>
      <c r="R23" s="60">
        <v>10</v>
      </c>
      <c r="U23" s="79" t="s">
        <v>290</v>
      </c>
      <c r="W23" s="79" t="s">
        <v>106</v>
      </c>
      <c r="X23" s="79" t="s">
        <v>107</v>
      </c>
      <c r="AE23" t="str">
        <f t="shared" si="1"/>
        <v>TWS-SpHeat_COA1</v>
      </c>
      <c r="AJ23">
        <f t="shared" si="20"/>
        <v>0.879346690009941</v>
      </c>
      <c r="AK23" s="56" t="s">
        <v>249</v>
      </c>
    </row>
    <row r="24" ht="175" spans="2:37">
      <c r="B24" s="67" t="s">
        <v>292</v>
      </c>
      <c r="C24" s="67" t="s">
        <v>256</v>
      </c>
      <c r="D24" s="67"/>
      <c r="E24" s="67" t="s">
        <v>293</v>
      </c>
      <c r="F24" s="57">
        <v>2021</v>
      </c>
      <c r="G24" s="70">
        <f t="shared" si="12"/>
        <v>1</v>
      </c>
      <c r="H24" s="70"/>
      <c r="I24" s="70">
        <f t="shared" si="13"/>
        <v>0.0454585176842925</v>
      </c>
      <c r="J24" s="70">
        <f t="shared" si="14"/>
        <v>450.004888888889</v>
      </c>
      <c r="K24" s="70">
        <f t="shared" si="15"/>
        <v>14.0271111111111</v>
      </c>
      <c r="L24" s="70">
        <f t="shared" si="16"/>
        <v>450.004888888889</v>
      </c>
      <c r="M24" s="70">
        <f t="shared" si="17"/>
        <v>14.0271111111111</v>
      </c>
      <c r="N24" s="70">
        <f t="shared" si="18"/>
        <v>21</v>
      </c>
      <c r="O24" s="70">
        <f t="shared" si="19"/>
        <v>31.54</v>
      </c>
      <c r="R24" s="60">
        <v>10</v>
      </c>
      <c r="U24" s="79" t="s">
        <v>292</v>
      </c>
      <c r="W24" s="79" t="s">
        <v>106</v>
      </c>
      <c r="X24" s="79" t="s">
        <v>107</v>
      </c>
      <c r="AE24" t="str">
        <f t="shared" si="1"/>
        <v>ICS-SpHeat_ELE1</v>
      </c>
      <c r="AJ24">
        <f t="shared" si="20"/>
        <v>0.57213840668191</v>
      </c>
      <c r="AK24" s="56" t="s">
        <v>249</v>
      </c>
    </row>
    <row r="25" ht="175" spans="2:37">
      <c r="B25" s="67" t="s">
        <v>294</v>
      </c>
      <c r="C25" s="67" t="s">
        <v>256</v>
      </c>
      <c r="D25" s="67"/>
      <c r="E25" s="67" t="s">
        <v>295</v>
      </c>
      <c r="F25" s="57">
        <v>2021</v>
      </c>
      <c r="G25" s="70">
        <f t="shared" si="12"/>
        <v>1</v>
      </c>
      <c r="H25" s="70"/>
      <c r="I25" s="70">
        <f t="shared" si="13"/>
        <v>0.0454585176842925</v>
      </c>
      <c r="J25" s="70">
        <f t="shared" si="14"/>
        <v>450.004888888889</v>
      </c>
      <c r="K25" s="70">
        <f t="shared" si="15"/>
        <v>14.0271111111111</v>
      </c>
      <c r="L25" s="70">
        <f t="shared" si="16"/>
        <v>450.004888888889</v>
      </c>
      <c r="M25" s="70">
        <f t="shared" si="17"/>
        <v>14.0271111111111</v>
      </c>
      <c r="N25" s="70">
        <f t="shared" si="18"/>
        <v>21</v>
      </c>
      <c r="O25" s="70">
        <f t="shared" si="19"/>
        <v>31.54</v>
      </c>
      <c r="R25" s="60">
        <v>10</v>
      </c>
      <c r="U25" s="79" t="s">
        <v>294</v>
      </c>
      <c r="W25" s="79" t="s">
        <v>106</v>
      </c>
      <c r="X25" s="79" t="s">
        <v>107</v>
      </c>
      <c r="AE25" t="str">
        <f t="shared" si="1"/>
        <v>ICS-SpHeat_GAS1</v>
      </c>
      <c r="AJ25">
        <f t="shared" si="20"/>
        <v>0.7560308930794</v>
      </c>
      <c r="AK25" s="56" t="s">
        <v>249</v>
      </c>
    </row>
    <row r="26" ht="175" spans="2:37">
      <c r="B26" s="67" t="s">
        <v>296</v>
      </c>
      <c r="C26" s="67" t="s">
        <v>256</v>
      </c>
      <c r="D26" s="67"/>
      <c r="E26" s="67" t="s">
        <v>297</v>
      </c>
      <c r="F26" s="57">
        <v>2021</v>
      </c>
      <c r="G26" s="70">
        <f>G86</f>
        <v>0.98</v>
      </c>
      <c r="H26" s="70"/>
      <c r="I26" s="70">
        <f>[5]TechAuxiliaryEquipment!$O$199</f>
        <v>0.0454585176842925</v>
      </c>
      <c r="J26" s="70">
        <f t="shared" ref="J26:N26" si="21">J86</f>
        <v>260.555555555556</v>
      </c>
      <c r="K26" s="70">
        <f t="shared" si="21"/>
        <v>2.77777777777778</v>
      </c>
      <c r="L26" s="70">
        <f t="shared" si="21"/>
        <v>260.555555555556</v>
      </c>
      <c r="M26" s="70">
        <f t="shared" si="21"/>
        <v>2.77777777777778</v>
      </c>
      <c r="N26" s="70">
        <f t="shared" si="21"/>
        <v>12</v>
      </c>
      <c r="O26" s="74">
        <v>31.54</v>
      </c>
      <c r="R26" s="60">
        <v>15</v>
      </c>
      <c r="U26" s="79" t="s">
        <v>296</v>
      </c>
      <c r="W26" s="79" t="s">
        <v>106</v>
      </c>
      <c r="X26" s="79" t="s">
        <v>107</v>
      </c>
      <c r="AE26" t="str">
        <f t="shared" si="1"/>
        <v>ICS-SpHeat_LFO1</v>
      </c>
      <c r="AJ26">
        <f t="shared" si="20"/>
        <v>0.458770225670464</v>
      </c>
      <c r="AK26" s="56" t="s">
        <v>249</v>
      </c>
    </row>
    <row r="27" ht="175" spans="2:37">
      <c r="B27" s="67" t="s">
        <v>298</v>
      </c>
      <c r="C27" s="67" t="s">
        <v>299</v>
      </c>
      <c r="D27" s="67"/>
      <c r="E27" s="67" t="s">
        <v>297</v>
      </c>
      <c r="F27" s="57">
        <v>2021</v>
      </c>
      <c r="G27" s="70">
        <f t="shared" ref="G27:G31" si="22">G87</f>
        <v>0.8</v>
      </c>
      <c r="H27" s="70"/>
      <c r="I27" s="70">
        <f>[5]TechAuxiliaryEquipment!$O$200</f>
        <v>0.0454585176842925</v>
      </c>
      <c r="J27" s="70">
        <f t="shared" ref="J27:N27" si="23">J87</f>
        <v>116.810344827586</v>
      </c>
      <c r="K27" s="70">
        <f t="shared" si="23"/>
        <v>5.51724137931035</v>
      </c>
      <c r="L27" s="70">
        <f t="shared" si="23"/>
        <v>116.810344827586</v>
      </c>
      <c r="M27" s="70">
        <f t="shared" si="23"/>
        <v>5.51724137931035</v>
      </c>
      <c r="N27" s="70">
        <f t="shared" si="23"/>
        <v>10</v>
      </c>
      <c r="O27" s="74">
        <v>31.54</v>
      </c>
      <c r="R27" s="60">
        <v>15</v>
      </c>
      <c r="U27" s="79" t="s">
        <v>298</v>
      </c>
      <c r="W27" s="79" t="s">
        <v>106</v>
      </c>
      <c r="X27" s="79" t="s">
        <v>107</v>
      </c>
      <c r="AE27" t="str">
        <f t="shared" si="1"/>
        <v>ICS-SpHeat_HFO1</v>
      </c>
      <c r="AJ27">
        <f t="shared" si="20"/>
        <v>0.458770225670464</v>
      </c>
      <c r="AK27" s="56" t="s">
        <v>249</v>
      </c>
    </row>
    <row r="28" ht="175" spans="2:37">
      <c r="B28" s="67" t="s">
        <v>300</v>
      </c>
      <c r="C28" s="67" t="s">
        <v>301</v>
      </c>
      <c r="D28" s="67"/>
      <c r="E28" s="67" t="s">
        <v>297</v>
      </c>
      <c r="F28" s="57">
        <v>2021</v>
      </c>
      <c r="G28" s="70">
        <f t="shared" si="22"/>
        <v>0.8</v>
      </c>
      <c r="H28" s="70"/>
      <c r="I28" s="70">
        <f>[5]TechAuxiliaryEquipment!$O$201</f>
        <v>0.0454585176842925</v>
      </c>
      <c r="J28" s="70">
        <f t="shared" ref="J28:N28" si="24">J88</f>
        <v>69.5454545454545</v>
      </c>
      <c r="K28" s="70">
        <f t="shared" si="24"/>
        <v>2.27272727272727</v>
      </c>
      <c r="L28" s="70">
        <f t="shared" si="24"/>
        <v>69.5454545454545</v>
      </c>
      <c r="M28" s="70">
        <f t="shared" si="24"/>
        <v>2.27272727272727</v>
      </c>
      <c r="N28" s="70">
        <f t="shared" si="24"/>
        <v>13</v>
      </c>
      <c r="O28" s="74">
        <v>31.54</v>
      </c>
      <c r="R28" s="60">
        <v>15</v>
      </c>
      <c r="U28" s="79" t="s">
        <v>300</v>
      </c>
      <c r="W28" s="79" t="s">
        <v>106</v>
      </c>
      <c r="X28" s="79" t="s">
        <v>107</v>
      </c>
      <c r="AE28" t="str">
        <f t="shared" si="1"/>
        <v>ICS-SpHeat_STE1</v>
      </c>
      <c r="AJ28">
        <f t="shared" si="20"/>
        <v>0.7560308930794</v>
      </c>
      <c r="AK28" s="56" t="s">
        <v>249</v>
      </c>
    </row>
    <row r="29" ht="175" spans="2:37">
      <c r="B29" s="67" t="s">
        <v>302</v>
      </c>
      <c r="C29" s="67" t="s">
        <v>303</v>
      </c>
      <c r="D29" s="67"/>
      <c r="E29" s="67" t="s">
        <v>297</v>
      </c>
      <c r="F29" s="57">
        <v>2021</v>
      </c>
      <c r="G29" s="70">
        <f t="shared" si="22"/>
        <v>0.8</v>
      </c>
      <c r="H29" s="70"/>
      <c r="I29" s="70">
        <f>[5]TechAuxiliaryEquipment!$O$202</f>
        <v>0.0454585176842925</v>
      </c>
      <c r="J29" s="70">
        <f t="shared" ref="J29:N29" si="25">J89</f>
        <v>69.5454545454545</v>
      </c>
      <c r="K29" s="70">
        <f t="shared" si="25"/>
        <v>2.27272727272727</v>
      </c>
      <c r="L29" s="70">
        <f t="shared" si="25"/>
        <v>69.5454545454545</v>
      </c>
      <c r="M29" s="70">
        <f t="shared" si="25"/>
        <v>2.27272727272727</v>
      </c>
      <c r="N29" s="70">
        <f t="shared" si="25"/>
        <v>13</v>
      </c>
      <c r="O29" s="74">
        <v>31.54</v>
      </c>
      <c r="R29" s="60">
        <v>15</v>
      </c>
      <c r="U29" s="79" t="s">
        <v>302</v>
      </c>
      <c r="W29" s="79" t="s">
        <v>106</v>
      </c>
      <c r="X29" s="79" t="s">
        <v>107</v>
      </c>
      <c r="AE29" t="str">
        <f t="shared" si="1"/>
        <v>ICS-SpHeat_COA1</v>
      </c>
      <c r="AJ29">
        <f t="shared" si="20"/>
        <v>0.879346690009941</v>
      </c>
      <c r="AK29" s="56" t="s">
        <v>249</v>
      </c>
    </row>
    <row r="30" ht="175" spans="2:37">
      <c r="B30" s="67" t="s">
        <v>304</v>
      </c>
      <c r="C30" s="67" t="s">
        <v>305</v>
      </c>
      <c r="D30" s="67"/>
      <c r="E30" s="67" t="s">
        <v>297</v>
      </c>
      <c r="F30" s="57">
        <v>2021</v>
      </c>
      <c r="G30" s="70">
        <f t="shared" si="22"/>
        <v>0.98</v>
      </c>
      <c r="H30" s="70"/>
      <c r="I30" s="70">
        <f>[5]TechAuxiliaryEquipment!$O$203</f>
        <v>0.0454585176842925</v>
      </c>
      <c r="J30" s="70">
        <f t="shared" ref="J30:N30" si="26">J90</f>
        <v>72.4242424242424</v>
      </c>
      <c r="K30" s="70">
        <f t="shared" si="26"/>
        <v>0.787878787878788</v>
      </c>
      <c r="L30" s="70">
        <f t="shared" si="26"/>
        <v>72.4242424242424</v>
      </c>
      <c r="M30" s="70">
        <f t="shared" si="26"/>
        <v>0.787878787878788</v>
      </c>
      <c r="N30" s="70">
        <f t="shared" si="26"/>
        <v>15</v>
      </c>
      <c r="O30" s="74">
        <v>31.54</v>
      </c>
      <c r="R30" s="60">
        <v>15</v>
      </c>
      <c r="U30" s="79" t="s">
        <v>304</v>
      </c>
      <c r="W30" s="79" t="s">
        <v>106</v>
      </c>
      <c r="X30" s="79" t="s">
        <v>107</v>
      </c>
      <c r="AE30" t="str">
        <f t="shared" si="1"/>
        <v>OS-SpHeat_ELE1</v>
      </c>
      <c r="AJ30">
        <f t="shared" si="20"/>
        <v>0.57213840668191</v>
      </c>
      <c r="AK30" s="56" t="s">
        <v>249</v>
      </c>
    </row>
    <row r="31" ht="175" spans="2:37">
      <c r="B31" s="67" t="s">
        <v>306</v>
      </c>
      <c r="C31" s="67" t="s">
        <v>307</v>
      </c>
      <c r="D31" s="67"/>
      <c r="E31" s="67" t="s">
        <v>297</v>
      </c>
      <c r="F31" s="57">
        <v>2021</v>
      </c>
      <c r="G31" s="70">
        <f t="shared" si="22"/>
        <v>0.872</v>
      </c>
      <c r="H31" s="70"/>
      <c r="I31" s="70">
        <f>[5]TechAuxiliaryEquipment!$O$204</f>
        <v>0.0454585176842925</v>
      </c>
      <c r="J31" s="70">
        <f t="shared" ref="J31:N31" si="27">J91</f>
        <v>117.776210379659</v>
      </c>
      <c r="K31" s="70">
        <f t="shared" si="27"/>
        <v>2.72567049808429</v>
      </c>
      <c r="L31" s="70">
        <f t="shared" si="27"/>
        <v>117.776210379659</v>
      </c>
      <c r="M31" s="70">
        <f t="shared" si="27"/>
        <v>2.72567049808429</v>
      </c>
      <c r="N31" s="70">
        <f t="shared" si="27"/>
        <v>12.6</v>
      </c>
      <c r="O31" s="74">
        <v>31.54</v>
      </c>
      <c r="R31" s="60">
        <v>15</v>
      </c>
      <c r="U31" s="79" t="s">
        <v>306</v>
      </c>
      <c r="W31" s="79" t="s">
        <v>106</v>
      </c>
      <c r="X31" s="79" t="s">
        <v>107</v>
      </c>
      <c r="AE31" t="str">
        <f t="shared" si="1"/>
        <v>OS-SpHeat_GAS1</v>
      </c>
      <c r="AJ31">
        <f t="shared" si="20"/>
        <v>0.7560308930794</v>
      </c>
      <c r="AK31" s="56" t="s">
        <v>249</v>
      </c>
    </row>
    <row r="32" ht="175" spans="2:37">
      <c r="B32" s="67" t="s">
        <v>308</v>
      </c>
      <c r="C32" s="67" t="s">
        <v>256</v>
      </c>
      <c r="D32" s="67"/>
      <c r="E32" s="67" t="s">
        <v>309</v>
      </c>
      <c r="F32" s="57">
        <v>2021</v>
      </c>
      <c r="G32" s="70">
        <f>G26</f>
        <v>0.98</v>
      </c>
      <c r="H32" s="70"/>
      <c r="I32" s="70">
        <f t="shared" ref="I32:N32" si="28">I26</f>
        <v>0.0454585176842925</v>
      </c>
      <c r="J32" s="70">
        <f t="shared" si="28"/>
        <v>260.555555555556</v>
      </c>
      <c r="K32" s="70">
        <f t="shared" si="28"/>
        <v>2.77777777777778</v>
      </c>
      <c r="L32" s="70">
        <f t="shared" si="28"/>
        <v>260.555555555556</v>
      </c>
      <c r="M32" s="70">
        <f t="shared" si="28"/>
        <v>2.77777777777778</v>
      </c>
      <c r="N32" s="70">
        <f t="shared" si="28"/>
        <v>12</v>
      </c>
      <c r="O32" s="74">
        <v>31.54</v>
      </c>
      <c r="R32" s="60">
        <v>15</v>
      </c>
      <c r="U32" s="79" t="s">
        <v>308</v>
      </c>
      <c r="W32" s="79" t="s">
        <v>106</v>
      </c>
      <c r="X32" s="79" t="s">
        <v>107</v>
      </c>
      <c r="AE32" t="str">
        <f t="shared" si="1"/>
        <v>OS-SpHeat_LFO1</v>
      </c>
      <c r="AJ32">
        <f t="shared" si="20"/>
        <v>0.458770225670464</v>
      </c>
      <c r="AK32" s="56" t="s">
        <v>249</v>
      </c>
    </row>
    <row r="33" ht="175" spans="2:37">
      <c r="B33" s="67" t="s">
        <v>310</v>
      </c>
      <c r="C33" s="67" t="s">
        <v>299</v>
      </c>
      <c r="D33" s="67"/>
      <c r="E33" s="67" t="s">
        <v>309</v>
      </c>
      <c r="F33" s="57">
        <v>2021</v>
      </c>
      <c r="G33" s="70">
        <f t="shared" ref="G33:N33" si="29">G27</f>
        <v>0.8</v>
      </c>
      <c r="H33" s="70"/>
      <c r="I33" s="70">
        <f t="shared" si="29"/>
        <v>0.0454585176842925</v>
      </c>
      <c r="J33" s="70">
        <f t="shared" si="29"/>
        <v>116.810344827586</v>
      </c>
      <c r="K33" s="70">
        <f t="shared" si="29"/>
        <v>5.51724137931035</v>
      </c>
      <c r="L33" s="70">
        <f t="shared" si="29"/>
        <v>116.810344827586</v>
      </c>
      <c r="M33" s="70">
        <f t="shared" si="29"/>
        <v>5.51724137931035</v>
      </c>
      <c r="N33" s="70">
        <f t="shared" si="29"/>
        <v>10</v>
      </c>
      <c r="O33" s="74">
        <v>31.54</v>
      </c>
      <c r="R33" s="60">
        <v>15</v>
      </c>
      <c r="U33" s="79" t="s">
        <v>310</v>
      </c>
      <c r="W33" s="79" t="s">
        <v>106</v>
      </c>
      <c r="X33" s="79" t="s">
        <v>107</v>
      </c>
      <c r="AE33" t="str">
        <f t="shared" si="1"/>
        <v>OS-SpHeat_HFO1</v>
      </c>
      <c r="AJ33">
        <f t="shared" si="20"/>
        <v>0.458770225670464</v>
      </c>
      <c r="AK33" s="56" t="s">
        <v>249</v>
      </c>
    </row>
    <row r="34" ht="175" spans="2:37">
      <c r="B34" s="67" t="s">
        <v>311</v>
      </c>
      <c r="C34" s="67" t="s">
        <v>301</v>
      </c>
      <c r="D34" s="67"/>
      <c r="E34" s="67" t="s">
        <v>309</v>
      </c>
      <c r="F34" s="57">
        <v>2021</v>
      </c>
      <c r="G34" s="70">
        <f t="shared" ref="G34:N34" si="30">G28</f>
        <v>0.8</v>
      </c>
      <c r="H34" s="70"/>
      <c r="I34" s="70">
        <f t="shared" si="30"/>
        <v>0.0454585176842925</v>
      </c>
      <c r="J34" s="70">
        <f t="shared" si="30"/>
        <v>69.5454545454545</v>
      </c>
      <c r="K34" s="70">
        <f t="shared" si="30"/>
        <v>2.27272727272727</v>
      </c>
      <c r="L34" s="70">
        <f t="shared" si="30"/>
        <v>69.5454545454545</v>
      </c>
      <c r="M34" s="70">
        <f t="shared" si="30"/>
        <v>2.27272727272727</v>
      </c>
      <c r="N34" s="70">
        <f t="shared" si="30"/>
        <v>13</v>
      </c>
      <c r="O34" s="74">
        <v>31.54</v>
      </c>
      <c r="R34" s="60">
        <v>15</v>
      </c>
      <c r="U34" s="79" t="s">
        <v>311</v>
      </c>
      <c r="W34" s="79" t="s">
        <v>106</v>
      </c>
      <c r="X34" s="79" t="s">
        <v>107</v>
      </c>
      <c r="AE34" t="str">
        <f t="shared" si="1"/>
        <v>OS-SpHeat_STE1</v>
      </c>
      <c r="AJ34">
        <f t="shared" si="20"/>
        <v>0.7560308930794</v>
      </c>
      <c r="AK34" s="56" t="s">
        <v>249</v>
      </c>
    </row>
    <row r="35" ht="175" spans="2:37">
      <c r="B35" s="67" t="s">
        <v>312</v>
      </c>
      <c r="C35" s="67" t="s">
        <v>303</v>
      </c>
      <c r="D35" s="67"/>
      <c r="E35" s="67" t="s">
        <v>309</v>
      </c>
      <c r="F35" s="57">
        <v>2021</v>
      </c>
      <c r="G35" s="70">
        <f t="shared" ref="G35:N35" si="31">G29</f>
        <v>0.8</v>
      </c>
      <c r="H35" s="70"/>
      <c r="I35" s="70">
        <f t="shared" si="31"/>
        <v>0.0454585176842925</v>
      </c>
      <c r="J35" s="70">
        <f t="shared" si="31"/>
        <v>69.5454545454545</v>
      </c>
      <c r="K35" s="70">
        <f t="shared" si="31"/>
        <v>2.27272727272727</v>
      </c>
      <c r="L35" s="70">
        <f t="shared" si="31"/>
        <v>69.5454545454545</v>
      </c>
      <c r="M35" s="70">
        <f t="shared" si="31"/>
        <v>2.27272727272727</v>
      </c>
      <c r="N35" s="70">
        <f t="shared" si="31"/>
        <v>13</v>
      </c>
      <c r="O35" s="74">
        <v>31.54</v>
      </c>
      <c r="R35" s="60">
        <v>15</v>
      </c>
      <c r="U35" s="79" t="s">
        <v>312</v>
      </c>
      <c r="W35" s="79" t="s">
        <v>106</v>
      </c>
      <c r="X35" s="79" t="s">
        <v>107</v>
      </c>
      <c r="AE35" t="str">
        <f t="shared" si="1"/>
        <v>OS-SpHeat_COA1</v>
      </c>
      <c r="AJ35">
        <f t="shared" si="20"/>
        <v>0.879346690009941</v>
      </c>
      <c r="AK35" s="56" t="s">
        <v>249</v>
      </c>
    </row>
    <row r="36" ht="175" spans="2:37">
      <c r="B36" s="67" t="s">
        <v>313</v>
      </c>
      <c r="C36" s="67" t="s">
        <v>305</v>
      </c>
      <c r="D36" s="67"/>
      <c r="E36" s="67" t="s">
        <v>309</v>
      </c>
      <c r="F36" s="57">
        <v>2021</v>
      </c>
      <c r="G36" s="70">
        <f t="shared" ref="G36:N36" si="32">G30</f>
        <v>0.98</v>
      </c>
      <c r="H36" s="70"/>
      <c r="I36" s="70">
        <f t="shared" si="32"/>
        <v>0.0454585176842925</v>
      </c>
      <c r="J36" s="70">
        <f t="shared" si="32"/>
        <v>72.4242424242424</v>
      </c>
      <c r="K36" s="70">
        <f t="shared" si="32"/>
        <v>0.787878787878788</v>
      </c>
      <c r="L36" s="70">
        <f t="shared" si="32"/>
        <v>72.4242424242424</v>
      </c>
      <c r="M36" s="70">
        <f t="shared" si="32"/>
        <v>0.787878787878788</v>
      </c>
      <c r="N36" s="70">
        <f t="shared" si="32"/>
        <v>15</v>
      </c>
      <c r="O36" s="74">
        <v>31.54</v>
      </c>
      <c r="R36" s="60">
        <v>15</v>
      </c>
      <c r="U36" s="79" t="s">
        <v>313</v>
      </c>
      <c r="W36" s="79" t="s">
        <v>106</v>
      </c>
      <c r="X36" s="79" t="s">
        <v>107</v>
      </c>
      <c r="AE36" t="str">
        <f t="shared" si="1"/>
        <v>EDU-SpHeat_ELE1</v>
      </c>
      <c r="AJ36">
        <f t="shared" si="20"/>
        <v>0.57213840668191</v>
      </c>
      <c r="AK36" s="56" t="s">
        <v>249</v>
      </c>
    </row>
    <row r="37" ht="175" spans="2:37">
      <c r="B37" s="67" t="s">
        <v>314</v>
      </c>
      <c r="C37" s="67" t="s">
        <v>307</v>
      </c>
      <c r="D37" s="67"/>
      <c r="E37" s="67" t="s">
        <v>309</v>
      </c>
      <c r="F37" s="57">
        <v>2021</v>
      </c>
      <c r="G37" s="70">
        <f t="shared" ref="G37:N37" si="33">G31</f>
        <v>0.872</v>
      </c>
      <c r="H37" s="70"/>
      <c r="I37" s="70">
        <f t="shared" si="33"/>
        <v>0.0454585176842925</v>
      </c>
      <c r="J37" s="70">
        <f t="shared" si="33"/>
        <v>117.776210379659</v>
      </c>
      <c r="K37" s="70">
        <f t="shared" si="33"/>
        <v>2.72567049808429</v>
      </c>
      <c r="L37" s="70">
        <f t="shared" si="33"/>
        <v>117.776210379659</v>
      </c>
      <c r="M37" s="70">
        <f t="shared" si="33"/>
        <v>2.72567049808429</v>
      </c>
      <c r="N37" s="70">
        <f t="shared" si="33"/>
        <v>12.6</v>
      </c>
      <c r="O37" s="74">
        <v>31.54</v>
      </c>
      <c r="R37" s="60">
        <v>15</v>
      </c>
      <c r="U37" s="79" t="s">
        <v>314</v>
      </c>
      <c r="W37" s="79" t="s">
        <v>106</v>
      </c>
      <c r="X37" s="79" t="s">
        <v>107</v>
      </c>
      <c r="AE37" t="str">
        <f t="shared" ref="AE37:AE55" si="34">B177</f>
        <v>EDU-SpHeat_GAS1</v>
      </c>
      <c r="AJ37">
        <f t="shared" si="20"/>
        <v>0.7560308930794</v>
      </c>
      <c r="AK37" s="56" t="s">
        <v>249</v>
      </c>
    </row>
    <row r="38" ht="175" spans="2:37">
      <c r="B38" s="67" t="s">
        <v>315</v>
      </c>
      <c r="C38" s="67" t="s">
        <v>256</v>
      </c>
      <c r="D38" s="67"/>
      <c r="E38" s="67" t="s">
        <v>316</v>
      </c>
      <c r="F38" s="57">
        <v>2021</v>
      </c>
      <c r="G38" s="70">
        <f t="shared" ref="G38:N38" si="35">G32</f>
        <v>0.98</v>
      </c>
      <c r="H38" s="70"/>
      <c r="I38" s="70">
        <f t="shared" si="35"/>
        <v>0.0454585176842925</v>
      </c>
      <c r="J38" s="70">
        <f t="shared" si="35"/>
        <v>260.555555555556</v>
      </c>
      <c r="K38" s="70">
        <f t="shared" si="35"/>
        <v>2.77777777777778</v>
      </c>
      <c r="L38" s="70">
        <f t="shared" si="35"/>
        <v>260.555555555556</v>
      </c>
      <c r="M38" s="70">
        <f t="shared" si="35"/>
        <v>2.77777777777778</v>
      </c>
      <c r="N38" s="70">
        <f t="shared" si="35"/>
        <v>12</v>
      </c>
      <c r="O38" s="74">
        <v>31.54</v>
      </c>
      <c r="R38" s="60">
        <v>15</v>
      </c>
      <c r="U38" s="79" t="s">
        <v>315</v>
      </c>
      <c r="W38" s="79" t="s">
        <v>106</v>
      </c>
      <c r="X38" s="79" t="s">
        <v>107</v>
      </c>
      <c r="AE38" t="str">
        <f t="shared" si="34"/>
        <v>EDU-SpHeat_LFO1</v>
      </c>
      <c r="AJ38">
        <f t="shared" si="20"/>
        <v>0.458770225670464</v>
      </c>
      <c r="AK38" s="56" t="s">
        <v>249</v>
      </c>
    </row>
    <row r="39" ht="175" spans="2:37">
      <c r="B39" s="67" t="s">
        <v>317</v>
      </c>
      <c r="C39" s="67" t="s">
        <v>299</v>
      </c>
      <c r="D39" s="67"/>
      <c r="E39" s="67" t="s">
        <v>316</v>
      </c>
      <c r="F39" s="57">
        <v>2021</v>
      </c>
      <c r="G39" s="70">
        <f t="shared" ref="G39:N39" si="36">G33</f>
        <v>0.8</v>
      </c>
      <c r="H39" s="70"/>
      <c r="I39" s="70">
        <f t="shared" si="36"/>
        <v>0.0454585176842925</v>
      </c>
      <c r="J39" s="70">
        <f t="shared" si="36"/>
        <v>116.810344827586</v>
      </c>
      <c r="K39" s="70">
        <f t="shared" si="36"/>
        <v>5.51724137931035</v>
      </c>
      <c r="L39" s="70">
        <f t="shared" si="36"/>
        <v>116.810344827586</v>
      </c>
      <c r="M39" s="70">
        <f t="shared" si="36"/>
        <v>5.51724137931035</v>
      </c>
      <c r="N39" s="70">
        <f t="shared" si="36"/>
        <v>10</v>
      </c>
      <c r="O39" s="74">
        <v>31.54</v>
      </c>
      <c r="R39" s="60">
        <v>15</v>
      </c>
      <c r="U39" s="79" t="s">
        <v>317</v>
      </c>
      <c r="W39" s="79" t="s">
        <v>106</v>
      </c>
      <c r="X39" s="79" t="s">
        <v>107</v>
      </c>
      <c r="AE39" t="str">
        <f t="shared" si="34"/>
        <v>EDU-SpHeat_HFO1</v>
      </c>
      <c r="AJ39">
        <f t="shared" si="20"/>
        <v>0.458770225670464</v>
      </c>
      <c r="AK39" s="56" t="s">
        <v>249</v>
      </c>
    </row>
    <row r="40" ht="175" spans="2:37">
      <c r="B40" s="67" t="s">
        <v>318</v>
      </c>
      <c r="C40" s="67" t="s">
        <v>301</v>
      </c>
      <c r="D40" s="67"/>
      <c r="E40" s="67" t="s">
        <v>316</v>
      </c>
      <c r="F40" s="57">
        <v>2021</v>
      </c>
      <c r="G40" s="70">
        <f t="shared" ref="G40:N40" si="37">G34</f>
        <v>0.8</v>
      </c>
      <c r="H40" s="70"/>
      <c r="I40" s="70">
        <f t="shared" si="37"/>
        <v>0.0454585176842925</v>
      </c>
      <c r="J40" s="70">
        <f t="shared" si="37"/>
        <v>69.5454545454545</v>
      </c>
      <c r="K40" s="70">
        <f t="shared" si="37"/>
        <v>2.27272727272727</v>
      </c>
      <c r="L40" s="70">
        <f t="shared" si="37"/>
        <v>69.5454545454545</v>
      </c>
      <c r="M40" s="70">
        <f t="shared" si="37"/>
        <v>2.27272727272727</v>
      </c>
      <c r="N40" s="70">
        <f t="shared" si="37"/>
        <v>13</v>
      </c>
      <c r="O40" s="74">
        <v>31.54</v>
      </c>
      <c r="R40" s="60">
        <v>15</v>
      </c>
      <c r="U40" s="79" t="s">
        <v>318</v>
      </c>
      <c r="W40" s="79" t="s">
        <v>106</v>
      </c>
      <c r="X40" s="79" t="s">
        <v>107</v>
      </c>
      <c r="AE40" t="str">
        <f t="shared" si="34"/>
        <v>EDU-SpHeat_STE1</v>
      </c>
      <c r="AJ40">
        <f t="shared" si="20"/>
        <v>0.7560308930794</v>
      </c>
      <c r="AK40" s="56" t="s">
        <v>249</v>
      </c>
    </row>
    <row r="41" ht="175" spans="2:37">
      <c r="B41" s="67" t="s">
        <v>319</v>
      </c>
      <c r="C41" s="67" t="s">
        <v>303</v>
      </c>
      <c r="D41" s="67"/>
      <c r="E41" s="67" t="s">
        <v>316</v>
      </c>
      <c r="F41" s="57">
        <v>2021</v>
      </c>
      <c r="G41" s="70">
        <f t="shared" ref="G41:N41" si="38">G35</f>
        <v>0.8</v>
      </c>
      <c r="H41" s="70"/>
      <c r="I41" s="70">
        <f t="shared" si="38"/>
        <v>0.0454585176842925</v>
      </c>
      <c r="J41" s="70">
        <f t="shared" si="38"/>
        <v>69.5454545454545</v>
      </c>
      <c r="K41" s="70">
        <f t="shared" si="38"/>
        <v>2.27272727272727</v>
      </c>
      <c r="L41" s="70">
        <f t="shared" si="38"/>
        <v>69.5454545454545</v>
      </c>
      <c r="M41" s="70">
        <f t="shared" si="38"/>
        <v>2.27272727272727</v>
      </c>
      <c r="N41" s="70">
        <f t="shared" si="38"/>
        <v>13</v>
      </c>
      <c r="O41" s="74">
        <v>31.54</v>
      </c>
      <c r="R41" s="60">
        <v>15</v>
      </c>
      <c r="U41" s="79" t="s">
        <v>319</v>
      </c>
      <c r="W41" s="79" t="s">
        <v>106</v>
      </c>
      <c r="X41" s="79" t="s">
        <v>107</v>
      </c>
      <c r="AE41" t="str">
        <f t="shared" si="34"/>
        <v>EDU-SpHeat_COA1</v>
      </c>
      <c r="AJ41">
        <f t="shared" si="20"/>
        <v>0.879346690009941</v>
      </c>
      <c r="AK41" s="56" t="s">
        <v>249</v>
      </c>
    </row>
    <row r="42" ht="175" spans="2:37">
      <c r="B42" s="67" t="s">
        <v>320</v>
      </c>
      <c r="C42" s="67" t="s">
        <v>305</v>
      </c>
      <c r="D42" s="67"/>
      <c r="E42" s="67" t="s">
        <v>316</v>
      </c>
      <c r="F42" s="57">
        <v>2021</v>
      </c>
      <c r="G42" s="70">
        <f t="shared" ref="G42:N42" si="39">G36</f>
        <v>0.98</v>
      </c>
      <c r="H42" s="70"/>
      <c r="I42" s="70">
        <f t="shared" si="39"/>
        <v>0.0454585176842925</v>
      </c>
      <c r="J42" s="70">
        <f t="shared" si="39"/>
        <v>72.4242424242424</v>
      </c>
      <c r="K42" s="70">
        <f t="shared" si="39"/>
        <v>0.787878787878788</v>
      </c>
      <c r="L42" s="70">
        <f t="shared" si="39"/>
        <v>72.4242424242424</v>
      </c>
      <c r="M42" s="70">
        <f t="shared" si="39"/>
        <v>0.787878787878788</v>
      </c>
      <c r="N42" s="70">
        <f t="shared" si="39"/>
        <v>15</v>
      </c>
      <c r="O42" s="74">
        <v>31.54</v>
      </c>
      <c r="R42" s="60">
        <v>15</v>
      </c>
      <c r="U42" s="79" t="s">
        <v>320</v>
      </c>
      <c r="W42" s="79" t="s">
        <v>106</v>
      </c>
      <c r="X42" s="79" t="s">
        <v>107</v>
      </c>
      <c r="AE42" t="str">
        <f t="shared" si="34"/>
        <v>HSS-SpHeat_ELE1</v>
      </c>
      <c r="AJ42">
        <f t="shared" si="20"/>
        <v>0.57213840668191</v>
      </c>
      <c r="AK42" s="56" t="s">
        <v>249</v>
      </c>
    </row>
    <row r="43" ht="175" spans="2:37">
      <c r="B43" s="67" t="s">
        <v>321</v>
      </c>
      <c r="C43" s="67" t="s">
        <v>307</v>
      </c>
      <c r="D43" s="67"/>
      <c r="E43" s="67" t="s">
        <v>316</v>
      </c>
      <c r="F43" s="57">
        <v>2021</v>
      </c>
      <c r="G43" s="70">
        <f t="shared" ref="G43:N43" si="40">G37</f>
        <v>0.872</v>
      </c>
      <c r="H43" s="70"/>
      <c r="I43" s="70">
        <f t="shared" si="40"/>
        <v>0.0454585176842925</v>
      </c>
      <c r="J43" s="70">
        <f t="shared" si="40"/>
        <v>117.776210379659</v>
      </c>
      <c r="K43" s="70">
        <f t="shared" si="40"/>
        <v>2.72567049808429</v>
      </c>
      <c r="L43" s="70">
        <f t="shared" si="40"/>
        <v>117.776210379659</v>
      </c>
      <c r="M43" s="70">
        <f t="shared" si="40"/>
        <v>2.72567049808429</v>
      </c>
      <c r="N43" s="70">
        <f t="shared" si="40"/>
        <v>12.6</v>
      </c>
      <c r="O43" s="74">
        <v>31.54</v>
      </c>
      <c r="R43" s="60">
        <v>15</v>
      </c>
      <c r="U43" s="79" t="s">
        <v>321</v>
      </c>
      <c r="W43" s="79" t="s">
        <v>106</v>
      </c>
      <c r="X43" s="79" t="s">
        <v>107</v>
      </c>
      <c r="AE43" t="str">
        <f t="shared" si="34"/>
        <v>HSS-SpHeat_GAS1</v>
      </c>
      <c r="AJ43">
        <f t="shared" si="20"/>
        <v>0.7560308930794</v>
      </c>
      <c r="AK43" s="56" t="s">
        <v>249</v>
      </c>
    </row>
    <row r="44" ht="175" spans="2:37">
      <c r="B44" s="67" t="s">
        <v>322</v>
      </c>
      <c r="C44" s="67" t="s">
        <v>256</v>
      </c>
      <c r="D44" s="67"/>
      <c r="E44" s="67" t="s">
        <v>323</v>
      </c>
      <c r="F44" s="57">
        <v>2021</v>
      </c>
      <c r="G44" s="70">
        <f t="shared" ref="G44:N44" si="41">G38</f>
        <v>0.98</v>
      </c>
      <c r="H44" s="70"/>
      <c r="I44" s="70">
        <f t="shared" si="41"/>
        <v>0.0454585176842925</v>
      </c>
      <c r="J44" s="70">
        <f t="shared" si="41"/>
        <v>260.555555555556</v>
      </c>
      <c r="K44" s="70">
        <f t="shared" si="41"/>
        <v>2.77777777777778</v>
      </c>
      <c r="L44" s="70">
        <f t="shared" si="41"/>
        <v>260.555555555556</v>
      </c>
      <c r="M44" s="70">
        <f t="shared" si="41"/>
        <v>2.77777777777778</v>
      </c>
      <c r="N44" s="70">
        <f t="shared" si="41"/>
        <v>12</v>
      </c>
      <c r="O44" s="74">
        <v>31.54</v>
      </c>
      <c r="R44" s="60">
        <v>15</v>
      </c>
      <c r="U44" s="79" t="s">
        <v>322</v>
      </c>
      <c r="W44" s="79" t="s">
        <v>106</v>
      </c>
      <c r="X44" s="79" t="s">
        <v>107</v>
      </c>
      <c r="AE44" t="str">
        <f t="shared" si="34"/>
        <v>HSS-SpHeat_LFO1</v>
      </c>
      <c r="AJ44">
        <f t="shared" si="20"/>
        <v>0.458770225670464</v>
      </c>
      <c r="AK44" s="56" t="s">
        <v>249</v>
      </c>
    </row>
    <row r="45" ht="175" spans="2:37">
      <c r="B45" s="67" t="s">
        <v>324</v>
      </c>
      <c r="C45" s="67" t="s">
        <v>299</v>
      </c>
      <c r="D45" s="67"/>
      <c r="E45" s="67" t="s">
        <v>323</v>
      </c>
      <c r="F45" s="57">
        <v>2021</v>
      </c>
      <c r="G45" s="70">
        <f t="shared" ref="G45:N45" si="42">G39</f>
        <v>0.8</v>
      </c>
      <c r="H45" s="70"/>
      <c r="I45" s="70">
        <f t="shared" si="42"/>
        <v>0.0454585176842925</v>
      </c>
      <c r="J45" s="70">
        <f t="shared" si="42"/>
        <v>116.810344827586</v>
      </c>
      <c r="K45" s="70">
        <f t="shared" si="42"/>
        <v>5.51724137931035</v>
      </c>
      <c r="L45" s="70">
        <f t="shared" si="42"/>
        <v>116.810344827586</v>
      </c>
      <c r="M45" s="70">
        <f t="shared" si="42"/>
        <v>5.51724137931035</v>
      </c>
      <c r="N45" s="70">
        <f t="shared" si="42"/>
        <v>10</v>
      </c>
      <c r="O45" s="74">
        <v>31.54</v>
      </c>
      <c r="R45" s="60">
        <v>15</v>
      </c>
      <c r="U45" s="79" t="s">
        <v>324</v>
      </c>
      <c r="W45" s="79" t="s">
        <v>106</v>
      </c>
      <c r="X45" s="79" t="s">
        <v>107</v>
      </c>
      <c r="AE45" t="str">
        <f t="shared" si="34"/>
        <v>HSS-SpHeat_HFO1</v>
      </c>
      <c r="AJ45">
        <f t="shared" si="20"/>
        <v>0.458770225670464</v>
      </c>
      <c r="AK45" s="56" t="s">
        <v>249</v>
      </c>
    </row>
    <row r="46" ht="175" spans="2:37">
      <c r="B46" s="67" t="s">
        <v>325</v>
      </c>
      <c r="C46" s="67" t="s">
        <v>301</v>
      </c>
      <c r="D46" s="67"/>
      <c r="E46" s="67" t="s">
        <v>323</v>
      </c>
      <c r="F46" s="57">
        <v>2021</v>
      </c>
      <c r="G46" s="70">
        <f t="shared" ref="G46:N46" si="43">G40</f>
        <v>0.8</v>
      </c>
      <c r="H46" s="70"/>
      <c r="I46" s="70">
        <f t="shared" si="43"/>
        <v>0.0454585176842925</v>
      </c>
      <c r="J46" s="70">
        <f t="shared" si="43"/>
        <v>69.5454545454545</v>
      </c>
      <c r="K46" s="70">
        <f t="shared" si="43"/>
        <v>2.27272727272727</v>
      </c>
      <c r="L46" s="70">
        <f t="shared" si="43"/>
        <v>69.5454545454545</v>
      </c>
      <c r="M46" s="70">
        <f t="shared" si="43"/>
        <v>2.27272727272727</v>
      </c>
      <c r="N46" s="70">
        <f t="shared" si="43"/>
        <v>13</v>
      </c>
      <c r="O46" s="74">
        <v>31.54</v>
      </c>
      <c r="R46" s="60">
        <v>15</v>
      </c>
      <c r="U46" s="79" t="s">
        <v>325</v>
      </c>
      <c r="W46" s="79" t="s">
        <v>106</v>
      </c>
      <c r="X46" s="79" t="s">
        <v>107</v>
      </c>
      <c r="AE46" t="str">
        <f t="shared" si="34"/>
        <v>HSS-SpHeat_STE1</v>
      </c>
      <c r="AJ46">
        <f t="shared" si="20"/>
        <v>0.7560308930794</v>
      </c>
      <c r="AK46" s="56" t="s">
        <v>249</v>
      </c>
    </row>
    <row r="47" ht="175" spans="2:37">
      <c r="B47" s="67" t="s">
        <v>326</v>
      </c>
      <c r="C47" s="67" t="s">
        <v>303</v>
      </c>
      <c r="D47" s="67"/>
      <c r="E47" s="67" t="s">
        <v>323</v>
      </c>
      <c r="F47" s="57">
        <v>2021</v>
      </c>
      <c r="G47" s="70">
        <f t="shared" ref="G47:N47" si="44">G41</f>
        <v>0.8</v>
      </c>
      <c r="H47" s="70"/>
      <c r="I47" s="70">
        <f t="shared" si="44"/>
        <v>0.0454585176842925</v>
      </c>
      <c r="J47" s="70">
        <f t="shared" si="44"/>
        <v>69.5454545454545</v>
      </c>
      <c r="K47" s="70">
        <f t="shared" si="44"/>
        <v>2.27272727272727</v>
      </c>
      <c r="L47" s="70">
        <f t="shared" si="44"/>
        <v>69.5454545454545</v>
      </c>
      <c r="M47" s="70">
        <f t="shared" si="44"/>
        <v>2.27272727272727</v>
      </c>
      <c r="N47" s="70">
        <f t="shared" si="44"/>
        <v>13</v>
      </c>
      <c r="O47" s="74">
        <v>31.54</v>
      </c>
      <c r="R47" s="60">
        <v>15</v>
      </c>
      <c r="U47" s="79" t="s">
        <v>326</v>
      </c>
      <c r="W47" s="79" t="s">
        <v>106</v>
      </c>
      <c r="X47" s="79" t="s">
        <v>107</v>
      </c>
      <c r="AE47" t="str">
        <f t="shared" si="34"/>
        <v>HSS-SpHeat_COA1</v>
      </c>
      <c r="AJ47">
        <f t="shared" si="20"/>
        <v>0.879346690009941</v>
      </c>
      <c r="AK47" s="56" t="s">
        <v>249</v>
      </c>
    </row>
    <row r="48" ht="175" spans="2:37">
      <c r="B48" s="67" t="s">
        <v>327</v>
      </c>
      <c r="C48" s="67" t="s">
        <v>305</v>
      </c>
      <c r="D48" s="67"/>
      <c r="E48" s="67" t="s">
        <v>323</v>
      </c>
      <c r="F48" s="57">
        <v>2021</v>
      </c>
      <c r="G48" s="70">
        <f t="shared" ref="G48:N48" si="45">G42</f>
        <v>0.98</v>
      </c>
      <c r="H48" s="70"/>
      <c r="I48" s="70">
        <f t="shared" si="45"/>
        <v>0.0454585176842925</v>
      </c>
      <c r="J48" s="70">
        <f t="shared" si="45"/>
        <v>72.4242424242424</v>
      </c>
      <c r="K48" s="70">
        <f t="shared" si="45"/>
        <v>0.787878787878788</v>
      </c>
      <c r="L48" s="70">
        <f t="shared" si="45"/>
        <v>72.4242424242424</v>
      </c>
      <c r="M48" s="70">
        <f t="shared" si="45"/>
        <v>0.787878787878788</v>
      </c>
      <c r="N48" s="70">
        <f t="shared" si="45"/>
        <v>15</v>
      </c>
      <c r="O48" s="74">
        <v>31.54</v>
      </c>
      <c r="R48" s="60">
        <v>15</v>
      </c>
      <c r="U48" s="79" t="s">
        <v>327</v>
      </c>
      <c r="W48" s="79" t="s">
        <v>106</v>
      </c>
      <c r="X48" s="79" t="s">
        <v>107</v>
      </c>
      <c r="AE48" t="str">
        <f t="shared" si="34"/>
        <v>ART-SpHeat_ELE1</v>
      </c>
      <c r="AJ48">
        <f t="shared" si="20"/>
        <v>0.57213840668191</v>
      </c>
      <c r="AK48" s="56" t="s">
        <v>249</v>
      </c>
    </row>
    <row r="49" ht="175" spans="2:37">
      <c r="B49" s="67" t="s">
        <v>328</v>
      </c>
      <c r="C49" s="67" t="s">
        <v>307</v>
      </c>
      <c r="D49" s="67"/>
      <c r="E49" s="67" t="s">
        <v>323</v>
      </c>
      <c r="F49" s="57">
        <v>2021</v>
      </c>
      <c r="G49" s="70">
        <f t="shared" ref="G49:N49" si="46">G43</f>
        <v>0.872</v>
      </c>
      <c r="H49" s="70"/>
      <c r="I49" s="70">
        <f t="shared" si="46"/>
        <v>0.0454585176842925</v>
      </c>
      <c r="J49" s="70">
        <f t="shared" si="46"/>
        <v>117.776210379659</v>
      </c>
      <c r="K49" s="70">
        <f t="shared" si="46"/>
        <v>2.72567049808429</v>
      </c>
      <c r="L49" s="70">
        <f t="shared" si="46"/>
        <v>117.776210379659</v>
      </c>
      <c r="M49" s="70">
        <f t="shared" si="46"/>
        <v>2.72567049808429</v>
      </c>
      <c r="N49" s="70">
        <f t="shared" si="46"/>
        <v>12.6</v>
      </c>
      <c r="O49" s="74">
        <v>31.54</v>
      </c>
      <c r="R49" s="60">
        <v>15</v>
      </c>
      <c r="U49" s="79" t="s">
        <v>328</v>
      </c>
      <c r="W49" s="79" t="s">
        <v>106</v>
      </c>
      <c r="X49" s="79" t="s">
        <v>107</v>
      </c>
      <c r="AE49" t="str">
        <f t="shared" si="34"/>
        <v>ART-SpHeat_GAS1</v>
      </c>
      <c r="AJ49">
        <f t="shared" si="20"/>
        <v>0.7560308930794</v>
      </c>
      <c r="AK49" s="56" t="s">
        <v>249</v>
      </c>
    </row>
    <row r="50" ht="175" spans="2:37">
      <c r="B50" s="67" t="s">
        <v>329</v>
      </c>
      <c r="C50" s="67" t="s">
        <v>256</v>
      </c>
      <c r="D50" s="67"/>
      <c r="E50" s="67" t="s">
        <v>330</v>
      </c>
      <c r="F50" s="57">
        <v>2021</v>
      </c>
      <c r="G50" s="70">
        <f t="shared" ref="G50:N50" si="47">G44</f>
        <v>0.98</v>
      </c>
      <c r="H50" s="70"/>
      <c r="I50" s="70">
        <f t="shared" si="47"/>
        <v>0.0454585176842925</v>
      </c>
      <c r="J50" s="70">
        <f t="shared" si="47"/>
        <v>260.555555555556</v>
      </c>
      <c r="K50" s="70">
        <f t="shared" si="47"/>
        <v>2.77777777777778</v>
      </c>
      <c r="L50" s="70">
        <f t="shared" si="47"/>
        <v>260.555555555556</v>
      </c>
      <c r="M50" s="70">
        <f t="shared" si="47"/>
        <v>2.77777777777778</v>
      </c>
      <c r="N50" s="70">
        <f t="shared" si="47"/>
        <v>12</v>
      </c>
      <c r="O50" s="74">
        <v>31.54</v>
      </c>
      <c r="R50" s="60">
        <v>15</v>
      </c>
      <c r="U50" s="79" t="s">
        <v>329</v>
      </c>
      <c r="W50" s="79" t="s">
        <v>106</v>
      </c>
      <c r="X50" s="79" t="s">
        <v>107</v>
      </c>
      <c r="AE50" t="str">
        <f t="shared" si="34"/>
        <v>ART-SpHeat_LFO1</v>
      </c>
      <c r="AJ50">
        <f t="shared" si="20"/>
        <v>0.458770225670464</v>
      </c>
      <c r="AK50" s="56" t="s">
        <v>249</v>
      </c>
    </row>
    <row r="51" ht="175" spans="2:37">
      <c r="B51" s="67" t="s">
        <v>331</v>
      </c>
      <c r="C51" s="67" t="s">
        <v>299</v>
      </c>
      <c r="D51" s="67"/>
      <c r="E51" s="67" t="s">
        <v>330</v>
      </c>
      <c r="F51" s="57">
        <v>2021</v>
      </c>
      <c r="G51" s="70">
        <f t="shared" ref="G51:N51" si="48">G45</f>
        <v>0.8</v>
      </c>
      <c r="H51" s="70"/>
      <c r="I51" s="70">
        <f t="shared" si="48"/>
        <v>0.0454585176842925</v>
      </c>
      <c r="J51" s="70">
        <f t="shared" si="48"/>
        <v>116.810344827586</v>
      </c>
      <c r="K51" s="70">
        <f t="shared" si="48"/>
        <v>5.51724137931035</v>
      </c>
      <c r="L51" s="70">
        <f t="shared" si="48"/>
        <v>116.810344827586</v>
      </c>
      <c r="M51" s="70">
        <f t="shared" si="48"/>
        <v>5.51724137931035</v>
      </c>
      <c r="N51" s="70">
        <f t="shared" si="48"/>
        <v>10</v>
      </c>
      <c r="O51" s="74">
        <v>31.54</v>
      </c>
      <c r="R51" s="60">
        <v>15</v>
      </c>
      <c r="U51" s="79" t="s">
        <v>331</v>
      </c>
      <c r="W51" s="79" t="s">
        <v>106</v>
      </c>
      <c r="X51" s="79" t="s">
        <v>107</v>
      </c>
      <c r="AE51" t="str">
        <f t="shared" si="34"/>
        <v>ART-SpHeat_HFO1</v>
      </c>
      <c r="AJ51">
        <f t="shared" si="20"/>
        <v>0.458770225670464</v>
      </c>
      <c r="AK51" s="56" t="s">
        <v>249</v>
      </c>
    </row>
    <row r="52" ht="175" spans="2:37">
      <c r="B52" s="67" t="s">
        <v>332</v>
      </c>
      <c r="C52" s="67" t="s">
        <v>301</v>
      </c>
      <c r="D52" s="67"/>
      <c r="E52" s="67" t="s">
        <v>330</v>
      </c>
      <c r="F52" s="57">
        <v>2021</v>
      </c>
      <c r="G52" s="70">
        <f t="shared" ref="G52:N52" si="49">G46</f>
        <v>0.8</v>
      </c>
      <c r="H52" s="70"/>
      <c r="I52" s="70">
        <f t="shared" si="49"/>
        <v>0.0454585176842925</v>
      </c>
      <c r="J52" s="70">
        <f t="shared" si="49"/>
        <v>69.5454545454545</v>
      </c>
      <c r="K52" s="70">
        <f t="shared" si="49"/>
        <v>2.27272727272727</v>
      </c>
      <c r="L52" s="70">
        <f t="shared" si="49"/>
        <v>69.5454545454545</v>
      </c>
      <c r="M52" s="70">
        <f t="shared" si="49"/>
        <v>2.27272727272727</v>
      </c>
      <c r="N52" s="70">
        <f t="shared" si="49"/>
        <v>13</v>
      </c>
      <c r="O52" s="74">
        <v>31.54</v>
      </c>
      <c r="R52" s="60">
        <v>15</v>
      </c>
      <c r="U52" s="79" t="s">
        <v>332</v>
      </c>
      <c r="W52" s="79" t="s">
        <v>106</v>
      </c>
      <c r="X52" s="79" t="s">
        <v>107</v>
      </c>
      <c r="AE52" t="str">
        <f t="shared" si="34"/>
        <v>ART-SpHeat_STE1</v>
      </c>
      <c r="AJ52">
        <f t="shared" si="20"/>
        <v>0.7560308930794</v>
      </c>
      <c r="AK52" s="56" t="s">
        <v>249</v>
      </c>
    </row>
    <row r="53" ht="175" spans="2:37">
      <c r="B53" s="67" t="s">
        <v>333</v>
      </c>
      <c r="C53" s="67" t="s">
        <v>303</v>
      </c>
      <c r="D53" s="67"/>
      <c r="E53" s="67" t="s">
        <v>330</v>
      </c>
      <c r="F53" s="57">
        <v>2021</v>
      </c>
      <c r="G53" s="70">
        <f t="shared" ref="G53:N53" si="50">G47</f>
        <v>0.8</v>
      </c>
      <c r="H53" s="70"/>
      <c r="I53" s="70">
        <f t="shared" si="50"/>
        <v>0.0454585176842925</v>
      </c>
      <c r="J53" s="70">
        <f t="shared" si="50"/>
        <v>69.5454545454545</v>
      </c>
      <c r="K53" s="70">
        <f t="shared" si="50"/>
        <v>2.27272727272727</v>
      </c>
      <c r="L53" s="70">
        <f t="shared" si="50"/>
        <v>69.5454545454545</v>
      </c>
      <c r="M53" s="70">
        <f t="shared" si="50"/>
        <v>2.27272727272727</v>
      </c>
      <c r="N53" s="70">
        <f t="shared" si="50"/>
        <v>13</v>
      </c>
      <c r="O53" s="74">
        <v>31.54</v>
      </c>
      <c r="R53" s="60">
        <v>15</v>
      </c>
      <c r="U53" s="79" t="s">
        <v>333</v>
      </c>
      <c r="W53" s="79" t="s">
        <v>106</v>
      </c>
      <c r="X53" s="79" t="s">
        <v>107</v>
      </c>
      <c r="AE53" t="str">
        <f t="shared" si="34"/>
        <v>ART-SpHeat_COA1</v>
      </c>
      <c r="AJ53">
        <f t="shared" si="20"/>
        <v>0.879346690009941</v>
      </c>
      <c r="AK53" s="56" t="s">
        <v>249</v>
      </c>
    </row>
    <row r="54" ht="175" spans="2:37">
      <c r="B54" s="67" t="s">
        <v>334</v>
      </c>
      <c r="C54" s="67" t="s">
        <v>305</v>
      </c>
      <c r="D54" s="67"/>
      <c r="E54" s="67" t="s">
        <v>330</v>
      </c>
      <c r="F54" s="57">
        <v>2021</v>
      </c>
      <c r="G54" s="70">
        <f t="shared" ref="G54:N54" si="51">G48</f>
        <v>0.98</v>
      </c>
      <c r="H54" s="70"/>
      <c r="I54" s="70">
        <f t="shared" si="51"/>
        <v>0.0454585176842925</v>
      </c>
      <c r="J54" s="70">
        <f t="shared" si="51"/>
        <v>72.4242424242424</v>
      </c>
      <c r="K54" s="70">
        <f t="shared" si="51"/>
        <v>0.787878787878788</v>
      </c>
      <c r="L54" s="70">
        <f t="shared" si="51"/>
        <v>72.4242424242424</v>
      </c>
      <c r="M54" s="70">
        <f t="shared" si="51"/>
        <v>0.787878787878788</v>
      </c>
      <c r="N54" s="70">
        <f t="shared" si="51"/>
        <v>15</v>
      </c>
      <c r="O54" s="74">
        <v>31.54</v>
      </c>
      <c r="R54" s="60">
        <v>15</v>
      </c>
      <c r="U54" s="79" t="s">
        <v>334</v>
      </c>
      <c r="W54" s="79" t="s">
        <v>106</v>
      </c>
      <c r="X54" s="79" t="s">
        <v>107</v>
      </c>
      <c r="AE54" t="str">
        <f t="shared" si="34"/>
        <v>AFM-SpHeat_ELE1</v>
      </c>
      <c r="AJ54">
        <f t="shared" si="20"/>
        <v>0.57213840668191</v>
      </c>
      <c r="AK54" s="56" t="s">
        <v>249</v>
      </c>
    </row>
    <row r="55" ht="175" spans="2:37">
      <c r="B55" s="67" t="s">
        <v>335</v>
      </c>
      <c r="C55" s="67" t="s">
        <v>307</v>
      </c>
      <c r="D55" s="67"/>
      <c r="E55" s="67" t="s">
        <v>330</v>
      </c>
      <c r="F55" s="57">
        <v>2021</v>
      </c>
      <c r="G55" s="70">
        <f t="shared" ref="G55:N55" si="52">G49</f>
        <v>0.872</v>
      </c>
      <c r="H55" s="70"/>
      <c r="I55" s="70">
        <f t="shared" si="52"/>
        <v>0.0454585176842925</v>
      </c>
      <c r="J55" s="70">
        <f t="shared" si="52"/>
        <v>117.776210379659</v>
      </c>
      <c r="K55" s="70">
        <f t="shared" si="52"/>
        <v>2.72567049808429</v>
      </c>
      <c r="L55" s="70">
        <f t="shared" si="52"/>
        <v>117.776210379659</v>
      </c>
      <c r="M55" s="70">
        <f t="shared" si="52"/>
        <v>2.72567049808429</v>
      </c>
      <c r="N55" s="70">
        <f t="shared" si="52"/>
        <v>12.6</v>
      </c>
      <c r="O55" s="74">
        <v>31.54</v>
      </c>
      <c r="R55" s="60">
        <v>15</v>
      </c>
      <c r="U55" s="79" t="s">
        <v>335</v>
      </c>
      <c r="W55" s="79" t="s">
        <v>106</v>
      </c>
      <c r="X55" s="79" t="s">
        <v>107</v>
      </c>
      <c r="AE55" t="str">
        <f t="shared" si="34"/>
        <v>AFM-SpHeat_GAS1</v>
      </c>
      <c r="AJ55">
        <f t="shared" si="20"/>
        <v>0.7560308930794</v>
      </c>
      <c r="AK55" s="56" t="s">
        <v>249</v>
      </c>
    </row>
    <row r="56" ht="175" spans="2:37">
      <c r="B56" s="67" t="s">
        <v>336</v>
      </c>
      <c r="C56" s="67" t="s">
        <v>256</v>
      </c>
      <c r="D56" s="67"/>
      <c r="E56" s="67" t="s">
        <v>337</v>
      </c>
      <c r="F56" s="57">
        <v>2021</v>
      </c>
      <c r="G56" s="70">
        <f t="shared" ref="G56:N56" si="53">G50</f>
        <v>0.98</v>
      </c>
      <c r="H56" s="70"/>
      <c r="I56" s="70">
        <f t="shared" si="53"/>
        <v>0.0454585176842925</v>
      </c>
      <c r="J56" s="70">
        <f t="shared" si="53"/>
        <v>260.555555555556</v>
      </c>
      <c r="K56" s="70">
        <f t="shared" si="53"/>
        <v>2.77777777777778</v>
      </c>
      <c r="L56" s="70">
        <f t="shared" si="53"/>
        <v>260.555555555556</v>
      </c>
      <c r="M56" s="70">
        <f t="shared" si="53"/>
        <v>2.77777777777778</v>
      </c>
      <c r="N56" s="70">
        <f t="shared" si="53"/>
        <v>12</v>
      </c>
      <c r="O56" s="74">
        <v>31.54</v>
      </c>
      <c r="R56" s="60">
        <v>15</v>
      </c>
      <c r="U56" s="79" t="s">
        <v>336</v>
      </c>
      <c r="W56" s="79" t="s">
        <v>106</v>
      </c>
      <c r="X56" s="79" t="s">
        <v>107</v>
      </c>
      <c r="AE56" t="str">
        <f t="shared" ref="AE56:AE71" si="54">B196</f>
        <v>AFM-SpHeat_LFO1</v>
      </c>
      <c r="AJ56">
        <f t="shared" si="20"/>
        <v>0.458770225670464</v>
      </c>
      <c r="AK56" s="56" t="s">
        <v>249</v>
      </c>
    </row>
    <row r="57" ht="175" spans="2:37">
      <c r="B57" s="67" t="s">
        <v>338</v>
      </c>
      <c r="C57" s="67" t="s">
        <v>299</v>
      </c>
      <c r="D57" s="67"/>
      <c r="E57" s="67" t="s">
        <v>337</v>
      </c>
      <c r="F57" s="57">
        <v>2021</v>
      </c>
      <c r="G57" s="70">
        <f t="shared" ref="G57:N57" si="55">G51</f>
        <v>0.8</v>
      </c>
      <c r="H57" s="70"/>
      <c r="I57" s="70">
        <f t="shared" si="55"/>
        <v>0.0454585176842925</v>
      </c>
      <c r="J57" s="70">
        <f t="shared" si="55"/>
        <v>116.810344827586</v>
      </c>
      <c r="K57" s="70">
        <f t="shared" si="55"/>
        <v>5.51724137931035</v>
      </c>
      <c r="L57" s="70">
        <f t="shared" si="55"/>
        <v>116.810344827586</v>
      </c>
      <c r="M57" s="70">
        <f t="shared" si="55"/>
        <v>5.51724137931035</v>
      </c>
      <c r="N57" s="70">
        <f t="shared" si="55"/>
        <v>10</v>
      </c>
      <c r="O57" s="74">
        <v>31.54</v>
      </c>
      <c r="R57" s="60">
        <v>15</v>
      </c>
      <c r="U57" s="79" t="s">
        <v>338</v>
      </c>
      <c r="W57" s="79" t="s">
        <v>106</v>
      </c>
      <c r="X57" s="79" t="s">
        <v>107</v>
      </c>
      <c r="AE57" t="str">
        <f t="shared" si="54"/>
        <v>AFM-SpHeat_HFO1</v>
      </c>
      <c r="AJ57">
        <f t="shared" si="20"/>
        <v>0.458770225670464</v>
      </c>
      <c r="AK57" s="56" t="s">
        <v>249</v>
      </c>
    </row>
    <row r="58" ht="175" spans="2:37">
      <c r="B58" s="67" t="s">
        <v>339</v>
      </c>
      <c r="C58" s="67" t="s">
        <v>301</v>
      </c>
      <c r="D58" s="67"/>
      <c r="E58" s="67" t="s">
        <v>337</v>
      </c>
      <c r="F58" s="57">
        <v>2021</v>
      </c>
      <c r="G58" s="70">
        <f t="shared" ref="G58:N58" si="56">G52</f>
        <v>0.8</v>
      </c>
      <c r="H58" s="70"/>
      <c r="I58" s="70">
        <f t="shared" si="56"/>
        <v>0.0454585176842925</v>
      </c>
      <c r="J58" s="70">
        <f t="shared" si="56"/>
        <v>69.5454545454545</v>
      </c>
      <c r="K58" s="70">
        <f t="shared" si="56"/>
        <v>2.27272727272727</v>
      </c>
      <c r="L58" s="70">
        <f t="shared" si="56"/>
        <v>69.5454545454545</v>
      </c>
      <c r="M58" s="70">
        <f t="shared" si="56"/>
        <v>2.27272727272727</v>
      </c>
      <c r="N58" s="70">
        <f t="shared" si="56"/>
        <v>13</v>
      </c>
      <c r="O58" s="74">
        <v>31.54</v>
      </c>
      <c r="R58" s="60">
        <v>15</v>
      </c>
      <c r="U58" s="79" t="s">
        <v>339</v>
      </c>
      <c r="W58" s="79" t="s">
        <v>106</v>
      </c>
      <c r="X58" s="79" t="s">
        <v>107</v>
      </c>
      <c r="AE58" t="str">
        <f t="shared" si="54"/>
        <v>AFM-SpHeat_STE1</v>
      </c>
      <c r="AJ58">
        <f t="shared" si="20"/>
        <v>0.7560308930794</v>
      </c>
      <c r="AK58" s="56" t="s">
        <v>249</v>
      </c>
    </row>
    <row r="59" ht="175" spans="2:37">
      <c r="B59" s="67" t="s">
        <v>340</v>
      </c>
      <c r="C59" s="67" t="s">
        <v>303</v>
      </c>
      <c r="D59" s="67"/>
      <c r="E59" s="67" t="s">
        <v>337</v>
      </c>
      <c r="F59" s="57">
        <v>2021</v>
      </c>
      <c r="G59" s="70">
        <f t="shared" ref="G59:N59" si="57">G53</f>
        <v>0.8</v>
      </c>
      <c r="H59" s="70"/>
      <c r="I59" s="70">
        <f t="shared" si="57"/>
        <v>0.0454585176842925</v>
      </c>
      <c r="J59" s="70">
        <f t="shared" si="57"/>
        <v>69.5454545454545</v>
      </c>
      <c r="K59" s="70">
        <f t="shared" si="57"/>
        <v>2.27272727272727</v>
      </c>
      <c r="L59" s="70">
        <f t="shared" si="57"/>
        <v>69.5454545454545</v>
      </c>
      <c r="M59" s="70">
        <f t="shared" si="57"/>
        <v>2.27272727272727</v>
      </c>
      <c r="N59" s="70">
        <f t="shared" si="57"/>
        <v>13</v>
      </c>
      <c r="O59" s="74">
        <v>31.54</v>
      </c>
      <c r="R59" s="60">
        <v>15</v>
      </c>
      <c r="U59" s="79" t="s">
        <v>340</v>
      </c>
      <c r="W59" s="79" t="s">
        <v>106</v>
      </c>
      <c r="X59" s="79" t="s">
        <v>107</v>
      </c>
      <c r="AE59" t="str">
        <f t="shared" si="54"/>
        <v>AFM-SpHeat_COA1</v>
      </c>
      <c r="AJ59">
        <f t="shared" si="20"/>
        <v>0.879346690009941</v>
      </c>
      <c r="AK59" s="56" t="s">
        <v>249</v>
      </c>
    </row>
    <row r="60" ht="175" spans="2:37">
      <c r="B60" s="67" t="s">
        <v>341</v>
      </c>
      <c r="C60" s="67" t="s">
        <v>305</v>
      </c>
      <c r="D60" s="67"/>
      <c r="E60" s="67" t="s">
        <v>337</v>
      </c>
      <c r="F60" s="57">
        <v>2021</v>
      </c>
      <c r="G60" s="70">
        <f t="shared" ref="G60:N60" si="58">G54</f>
        <v>0.98</v>
      </c>
      <c r="H60" s="70"/>
      <c r="I60" s="70">
        <f t="shared" si="58"/>
        <v>0.0454585176842925</v>
      </c>
      <c r="J60" s="70">
        <f t="shared" si="58"/>
        <v>72.4242424242424</v>
      </c>
      <c r="K60" s="70">
        <f t="shared" si="58"/>
        <v>0.787878787878788</v>
      </c>
      <c r="L60" s="70">
        <f t="shared" si="58"/>
        <v>72.4242424242424</v>
      </c>
      <c r="M60" s="70">
        <f t="shared" si="58"/>
        <v>0.787878787878788</v>
      </c>
      <c r="N60" s="70">
        <f t="shared" si="58"/>
        <v>15</v>
      </c>
      <c r="O60" s="74">
        <v>31.54</v>
      </c>
      <c r="R60" s="60">
        <v>15</v>
      </c>
      <c r="U60" s="79" t="s">
        <v>341</v>
      </c>
      <c r="W60" s="79" t="s">
        <v>106</v>
      </c>
      <c r="X60" s="79" t="s">
        <v>107</v>
      </c>
      <c r="AE60" t="str">
        <f t="shared" si="54"/>
        <v>OTH-SpHeat_ELE1</v>
      </c>
      <c r="AJ60">
        <f t="shared" si="20"/>
        <v>0.57213840668191</v>
      </c>
      <c r="AK60" s="56" t="s">
        <v>249</v>
      </c>
    </row>
    <row r="61" ht="175" spans="2:37">
      <c r="B61" s="67" t="s">
        <v>342</v>
      </c>
      <c r="C61" s="67" t="s">
        <v>307</v>
      </c>
      <c r="D61" s="67"/>
      <c r="E61" s="67" t="s">
        <v>337</v>
      </c>
      <c r="F61" s="57">
        <v>2021</v>
      </c>
      <c r="G61" s="70">
        <f t="shared" ref="G61:N61" si="59">G55</f>
        <v>0.872</v>
      </c>
      <c r="H61" s="70"/>
      <c r="I61" s="70">
        <f t="shared" si="59"/>
        <v>0.0454585176842925</v>
      </c>
      <c r="J61" s="70">
        <f t="shared" si="59"/>
        <v>117.776210379659</v>
      </c>
      <c r="K61" s="70">
        <f t="shared" si="59"/>
        <v>2.72567049808429</v>
      </c>
      <c r="L61" s="70">
        <f t="shared" si="59"/>
        <v>117.776210379659</v>
      </c>
      <c r="M61" s="70">
        <f t="shared" si="59"/>
        <v>2.72567049808429</v>
      </c>
      <c r="N61" s="70">
        <f t="shared" si="59"/>
        <v>12.6</v>
      </c>
      <c r="O61" s="74">
        <v>31.54</v>
      </c>
      <c r="R61" s="60">
        <v>15</v>
      </c>
      <c r="U61" s="79" t="s">
        <v>342</v>
      </c>
      <c r="W61" s="79" t="s">
        <v>106</v>
      </c>
      <c r="X61" s="79" t="s">
        <v>107</v>
      </c>
      <c r="AE61" t="str">
        <f t="shared" si="54"/>
        <v>OTH-SpHeat_GAS1</v>
      </c>
      <c r="AJ61">
        <f t="shared" si="20"/>
        <v>0.7560308930794</v>
      </c>
      <c r="AK61" s="56" t="s">
        <v>249</v>
      </c>
    </row>
    <row r="62" ht="175" spans="2:37">
      <c r="B62" s="67" t="s">
        <v>343</v>
      </c>
      <c r="C62" s="67" t="s">
        <v>256</v>
      </c>
      <c r="D62" s="67"/>
      <c r="E62" s="67" t="s">
        <v>344</v>
      </c>
      <c r="F62" s="57">
        <v>2021</v>
      </c>
      <c r="G62" s="70">
        <f t="shared" ref="G62:N62" si="60">G56</f>
        <v>0.98</v>
      </c>
      <c r="H62" s="70"/>
      <c r="I62" s="70">
        <f t="shared" si="60"/>
        <v>0.0454585176842925</v>
      </c>
      <c r="J62" s="70">
        <f t="shared" si="60"/>
        <v>260.555555555556</v>
      </c>
      <c r="K62" s="70">
        <f t="shared" si="60"/>
        <v>2.77777777777778</v>
      </c>
      <c r="L62" s="70">
        <f t="shared" si="60"/>
        <v>260.555555555556</v>
      </c>
      <c r="M62" s="70">
        <f t="shared" si="60"/>
        <v>2.77777777777778</v>
      </c>
      <c r="N62" s="70">
        <f t="shared" si="60"/>
        <v>12</v>
      </c>
      <c r="O62" s="74">
        <v>31.54</v>
      </c>
      <c r="R62" s="60">
        <v>15</v>
      </c>
      <c r="U62" s="79" t="s">
        <v>343</v>
      </c>
      <c r="W62" s="79" t="s">
        <v>106</v>
      </c>
      <c r="X62" s="79" t="s">
        <v>107</v>
      </c>
      <c r="AE62" t="str">
        <f t="shared" si="54"/>
        <v>OTH-SpHeat_LFO1</v>
      </c>
      <c r="AJ62">
        <f t="shared" si="20"/>
        <v>0.458770225670464</v>
      </c>
      <c r="AK62" s="56" t="s">
        <v>249</v>
      </c>
    </row>
    <row r="63" ht="175" spans="2:37">
      <c r="B63" s="67" t="s">
        <v>345</v>
      </c>
      <c r="C63" s="67" t="s">
        <v>299</v>
      </c>
      <c r="D63" s="67"/>
      <c r="E63" s="67" t="s">
        <v>344</v>
      </c>
      <c r="F63" s="57">
        <v>2021</v>
      </c>
      <c r="G63" s="70">
        <f t="shared" ref="G63:N63" si="61">G57</f>
        <v>0.8</v>
      </c>
      <c r="H63" s="70"/>
      <c r="I63" s="70">
        <f t="shared" si="61"/>
        <v>0.0454585176842925</v>
      </c>
      <c r="J63" s="70">
        <f t="shared" si="61"/>
        <v>116.810344827586</v>
      </c>
      <c r="K63" s="70">
        <f t="shared" si="61"/>
        <v>5.51724137931035</v>
      </c>
      <c r="L63" s="70">
        <f t="shared" si="61"/>
        <v>116.810344827586</v>
      </c>
      <c r="M63" s="70">
        <f t="shared" si="61"/>
        <v>5.51724137931035</v>
      </c>
      <c r="N63" s="70">
        <f t="shared" si="61"/>
        <v>10</v>
      </c>
      <c r="O63" s="74">
        <v>31.54</v>
      </c>
      <c r="R63" s="60">
        <v>15</v>
      </c>
      <c r="U63" s="79" t="s">
        <v>345</v>
      </c>
      <c r="W63" s="79" t="s">
        <v>106</v>
      </c>
      <c r="X63" s="79" t="s">
        <v>107</v>
      </c>
      <c r="AE63" t="str">
        <f t="shared" si="54"/>
        <v>OTH-SpHeat_HFO1</v>
      </c>
      <c r="AJ63">
        <f t="shared" si="20"/>
        <v>0.458770225670464</v>
      </c>
      <c r="AK63" s="56" t="s">
        <v>249</v>
      </c>
    </row>
    <row r="64" ht="175" spans="2:37">
      <c r="B64" s="67" t="s">
        <v>346</v>
      </c>
      <c r="C64" s="67" t="s">
        <v>301</v>
      </c>
      <c r="D64" s="67"/>
      <c r="E64" s="67" t="s">
        <v>344</v>
      </c>
      <c r="F64" s="57">
        <v>2021</v>
      </c>
      <c r="G64" s="70">
        <f t="shared" ref="G64:N64" si="62">G58</f>
        <v>0.8</v>
      </c>
      <c r="H64" s="70"/>
      <c r="I64" s="70">
        <f t="shared" si="62"/>
        <v>0.0454585176842925</v>
      </c>
      <c r="J64" s="70">
        <f t="shared" si="62"/>
        <v>69.5454545454545</v>
      </c>
      <c r="K64" s="70">
        <f t="shared" si="62"/>
        <v>2.27272727272727</v>
      </c>
      <c r="L64" s="70">
        <f t="shared" si="62"/>
        <v>69.5454545454545</v>
      </c>
      <c r="M64" s="70">
        <f t="shared" si="62"/>
        <v>2.27272727272727</v>
      </c>
      <c r="N64" s="70">
        <f t="shared" si="62"/>
        <v>13</v>
      </c>
      <c r="O64" s="74">
        <v>31.54</v>
      </c>
      <c r="R64" s="60">
        <v>15</v>
      </c>
      <c r="U64" s="79" t="s">
        <v>346</v>
      </c>
      <c r="W64" s="79" t="s">
        <v>106</v>
      </c>
      <c r="X64" s="79" t="s">
        <v>107</v>
      </c>
      <c r="AE64" t="str">
        <f t="shared" si="54"/>
        <v>OTH-SpHeat_STE1</v>
      </c>
      <c r="AJ64">
        <f t="shared" si="20"/>
        <v>0.7560308930794</v>
      </c>
      <c r="AK64" s="56" t="s">
        <v>249</v>
      </c>
    </row>
    <row r="65" ht="175" spans="2:37">
      <c r="B65" s="67" t="s">
        <v>347</v>
      </c>
      <c r="C65" s="67" t="s">
        <v>303</v>
      </c>
      <c r="D65" s="67"/>
      <c r="E65" s="67" t="s">
        <v>344</v>
      </c>
      <c r="F65" s="57">
        <v>2021</v>
      </c>
      <c r="G65" s="70">
        <f t="shared" ref="G65:N65" si="63">G59</f>
        <v>0.8</v>
      </c>
      <c r="H65" s="70"/>
      <c r="I65" s="70">
        <f t="shared" si="63"/>
        <v>0.0454585176842925</v>
      </c>
      <c r="J65" s="70">
        <f t="shared" si="63"/>
        <v>69.5454545454545</v>
      </c>
      <c r="K65" s="70">
        <f t="shared" si="63"/>
        <v>2.27272727272727</v>
      </c>
      <c r="L65" s="70">
        <f t="shared" si="63"/>
        <v>69.5454545454545</v>
      </c>
      <c r="M65" s="70">
        <f t="shared" si="63"/>
        <v>2.27272727272727</v>
      </c>
      <c r="N65" s="70">
        <f t="shared" si="63"/>
        <v>13</v>
      </c>
      <c r="O65" s="74">
        <v>31.54</v>
      </c>
      <c r="R65" s="60">
        <v>15</v>
      </c>
      <c r="U65" s="79" t="s">
        <v>347</v>
      </c>
      <c r="W65" s="79" t="s">
        <v>106</v>
      </c>
      <c r="X65" s="79" t="s">
        <v>107</v>
      </c>
      <c r="AE65" t="str">
        <f t="shared" si="54"/>
        <v>OTH-SpHeat_COA1</v>
      </c>
      <c r="AJ65">
        <f t="shared" si="20"/>
        <v>0.879346690009941</v>
      </c>
      <c r="AK65" s="56" t="s">
        <v>249</v>
      </c>
    </row>
    <row r="66" ht="137.5" spans="2:37">
      <c r="B66" s="67" t="s">
        <v>348</v>
      </c>
      <c r="C66" s="67" t="s">
        <v>305</v>
      </c>
      <c r="D66" s="67"/>
      <c r="E66" s="67" t="s">
        <v>344</v>
      </c>
      <c r="F66" s="57">
        <v>2021</v>
      </c>
      <c r="G66" s="70">
        <f t="shared" ref="G66:N66" si="64">G60</f>
        <v>0.98</v>
      </c>
      <c r="H66" s="70"/>
      <c r="I66" s="70">
        <f t="shared" si="64"/>
        <v>0.0454585176842925</v>
      </c>
      <c r="J66" s="70">
        <f t="shared" si="64"/>
        <v>72.4242424242424</v>
      </c>
      <c r="K66" s="70">
        <f t="shared" si="64"/>
        <v>0.787878787878788</v>
      </c>
      <c r="L66" s="70">
        <f t="shared" si="64"/>
        <v>72.4242424242424</v>
      </c>
      <c r="M66" s="70">
        <f t="shared" si="64"/>
        <v>0.787878787878788</v>
      </c>
      <c r="N66" s="70">
        <f t="shared" si="64"/>
        <v>15</v>
      </c>
      <c r="O66" s="74">
        <v>31.54</v>
      </c>
      <c r="R66" s="60">
        <v>15</v>
      </c>
      <c r="U66" s="79" t="s">
        <v>348</v>
      </c>
      <c r="W66" s="79" t="s">
        <v>106</v>
      </c>
      <c r="X66" s="79" t="s">
        <v>107</v>
      </c>
      <c r="AE66" t="str">
        <f t="shared" si="54"/>
        <v>WST-SpCool_ELE1</v>
      </c>
      <c r="AJ66">
        <f>'[6]TechSpaceCooling-COM'!$U$79</f>
        <v>0.0536638913770539</v>
      </c>
      <c r="AK66" s="56" t="s">
        <v>250</v>
      </c>
    </row>
    <row r="67" ht="137.5" spans="2:37">
      <c r="B67" s="67" t="s">
        <v>349</v>
      </c>
      <c r="C67" s="67" t="s">
        <v>307</v>
      </c>
      <c r="D67" s="67"/>
      <c r="E67" s="67" t="s">
        <v>344</v>
      </c>
      <c r="F67" s="57">
        <v>2021</v>
      </c>
      <c r="G67" s="70">
        <f t="shared" ref="G67:N67" si="65">G61</f>
        <v>0.872</v>
      </c>
      <c r="H67" s="70"/>
      <c r="I67" s="70">
        <f t="shared" si="65"/>
        <v>0.0454585176842925</v>
      </c>
      <c r="J67" s="70">
        <f t="shared" si="65"/>
        <v>117.776210379659</v>
      </c>
      <c r="K67" s="70">
        <f t="shared" si="65"/>
        <v>2.72567049808429</v>
      </c>
      <c r="L67" s="70">
        <f t="shared" si="65"/>
        <v>117.776210379659</v>
      </c>
      <c r="M67" s="70">
        <f t="shared" si="65"/>
        <v>2.72567049808429</v>
      </c>
      <c r="N67" s="70">
        <f t="shared" si="65"/>
        <v>12.6</v>
      </c>
      <c r="O67" s="74">
        <v>31.54</v>
      </c>
      <c r="R67" s="60">
        <v>15</v>
      </c>
      <c r="U67" s="79" t="s">
        <v>349</v>
      </c>
      <c r="W67" s="79" t="s">
        <v>106</v>
      </c>
      <c r="X67" s="79" t="s">
        <v>107</v>
      </c>
      <c r="AE67" t="str">
        <f t="shared" si="54"/>
        <v>WST-SpCool_GAS1</v>
      </c>
      <c r="AJ67">
        <f>'[6]TechSpaceCooling-COM'!$U$80</f>
        <v>0.0536638913770539</v>
      </c>
      <c r="AK67" s="56" t="s">
        <v>250</v>
      </c>
    </row>
    <row r="68" ht="137.5" spans="2:37">
      <c r="B68" s="67" t="s">
        <v>350</v>
      </c>
      <c r="C68" s="67" t="s">
        <v>256</v>
      </c>
      <c r="D68" s="67"/>
      <c r="E68" s="67" t="s">
        <v>351</v>
      </c>
      <c r="F68" s="57">
        <v>2021</v>
      </c>
      <c r="G68" s="70">
        <f t="shared" ref="G68:N68" si="66">G62</f>
        <v>0.98</v>
      </c>
      <c r="H68" s="70"/>
      <c r="I68" s="70">
        <f t="shared" si="66"/>
        <v>0.0454585176842925</v>
      </c>
      <c r="J68" s="70">
        <f t="shared" si="66"/>
        <v>260.555555555556</v>
      </c>
      <c r="K68" s="70">
        <f t="shared" si="66"/>
        <v>2.77777777777778</v>
      </c>
      <c r="L68" s="70">
        <f t="shared" si="66"/>
        <v>260.555555555556</v>
      </c>
      <c r="M68" s="70">
        <f t="shared" si="66"/>
        <v>2.77777777777778</v>
      </c>
      <c r="N68" s="70">
        <f t="shared" si="66"/>
        <v>12</v>
      </c>
      <c r="O68" s="74">
        <v>31.54</v>
      </c>
      <c r="R68" s="60">
        <v>15</v>
      </c>
      <c r="U68" s="79" t="s">
        <v>350</v>
      </c>
      <c r="W68" s="79" t="s">
        <v>106</v>
      </c>
      <c r="X68" s="79" t="s">
        <v>107</v>
      </c>
      <c r="AE68" t="str">
        <f t="shared" si="54"/>
        <v>RTS-SpCool_ELE1</v>
      </c>
      <c r="AJ68">
        <f>AJ66</f>
        <v>0.0536638913770539</v>
      </c>
      <c r="AK68" s="56" t="s">
        <v>250</v>
      </c>
    </row>
    <row r="69" ht="137.5" spans="2:37">
      <c r="B69" s="67" t="s">
        <v>352</v>
      </c>
      <c r="C69" s="67" t="s">
        <v>299</v>
      </c>
      <c r="D69" s="67"/>
      <c r="E69" s="67" t="s">
        <v>351</v>
      </c>
      <c r="F69" s="57">
        <v>2021</v>
      </c>
      <c r="G69" s="70">
        <f t="shared" ref="G69:N69" si="67">G63</f>
        <v>0.8</v>
      </c>
      <c r="H69" s="70"/>
      <c r="I69" s="70">
        <f t="shared" si="67"/>
        <v>0.0454585176842925</v>
      </c>
      <c r="J69" s="70">
        <f t="shared" si="67"/>
        <v>116.810344827586</v>
      </c>
      <c r="K69" s="70">
        <f t="shared" si="67"/>
        <v>5.51724137931035</v>
      </c>
      <c r="L69" s="70">
        <f t="shared" si="67"/>
        <v>116.810344827586</v>
      </c>
      <c r="M69" s="70">
        <f t="shared" si="67"/>
        <v>5.51724137931035</v>
      </c>
      <c r="N69" s="70">
        <f t="shared" si="67"/>
        <v>10</v>
      </c>
      <c r="O69" s="74">
        <v>31.54</v>
      </c>
      <c r="R69" s="60">
        <v>15</v>
      </c>
      <c r="U69" s="79" t="s">
        <v>352</v>
      </c>
      <c r="W69" s="79" t="s">
        <v>106</v>
      </c>
      <c r="X69" s="79" t="s">
        <v>107</v>
      </c>
      <c r="AE69" t="str">
        <f t="shared" si="54"/>
        <v>RTS-SpCool_GAS1</v>
      </c>
      <c r="AJ69">
        <f>AJ67</f>
        <v>0.0536638913770539</v>
      </c>
      <c r="AK69" s="56" t="s">
        <v>250</v>
      </c>
    </row>
    <row r="70" ht="137.5" spans="2:37">
      <c r="B70" s="67" t="s">
        <v>353</v>
      </c>
      <c r="C70" s="67" t="s">
        <v>301</v>
      </c>
      <c r="D70" s="67"/>
      <c r="E70" s="67" t="s">
        <v>351</v>
      </c>
      <c r="F70" s="57">
        <v>2021</v>
      </c>
      <c r="G70" s="70">
        <f t="shared" ref="G70:N70" si="68">G64</f>
        <v>0.8</v>
      </c>
      <c r="H70" s="70"/>
      <c r="I70" s="70">
        <f t="shared" si="68"/>
        <v>0.0454585176842925</v>
      </c>
      <c r="J70" s="70">
        <f t="shared" si="68"/>
        <v>69.5454545454545</v>
      </c>
      <c r="K70" s="70">
        <f t="shared" si="68"/>
        <v>2.27272727272727</v>
      </c>
      <c r="L70" s="70">
        <f t="shared" si="68"/>
        <v>69.5454545454545</v>
      </c>
      <c r="M70" s="70">
        <f t="shared" si="68"/>
        <v>2.27272727272727</v>
      </c>
      <c r="N70" s="70">
        <f t="shared" si="68"/>
        <v>13</v>
      </c>
      <c r="O70" s="74">
        <v>31.54</v>
      </c>
      <c r="R70" s="60">
        <v>15</v>
      </c>
      <c r="U70" s="79" t="s">
        <v>353</v>
      </c>
      <c r="W70" s="79" t="s">
        <v>106</v>
      </c>
      <c r="X70" s="79" t="s">
        <v>107</v>
      </c>
      <c r="AE70" t="str">
        <f t="shared" si="54"/>
        <v>TWS-SpCool_ELE1</v>
      </c>
      <c r="AJ70">
        <f t="shared" ref="AJ70:AJ85" si="69">AJ68</f>
        <v>0.0536638913770539</v>
      </c>
      <c r="AK70" s="56" t="s">
        <v>250</v>
      </c>
    </row>
    <row r="71" ht="137.5" spans="2:37">
      <c r="B71" s="67" t="s">
        <v>354</v>
      </c>
      <c r="C71" s="67" t="s">
        <v>303</v>
      </c>
      <c r="D71" s="67"/>
      <c r="E71" s="67" t="s">
        <v>351</v>
      </c>
      <c r="F71" s="57">
        <v>2021</v>
      </c>
      <c r="G71" s="70">
        <f t="shared" ref="G71:N71" si="70">G65</f>
        <v>0.8</v>
      </c>
      <c r="H71" s="70"/>
      <c r="I71" s="70">
        <f t="shared" si="70"/>
        <v>0.0454585176842925</v>
      </c>
      <c r="J71" s="70">
        <f t="shared" si="70"/>
        <v>69.5454545454545</v>
      </c>
      <c r="K71" s="70">
        <f t="shared" si="70"/>
        <v>2.27272727272727</v>
      </c>
      <c r="L71" s="70">
        <f t="shared" si="70"/>
        <v>69.5454545454545</v>
      </c>
      <c r="M71" s="70">
        <f t="shared" si="70"/>
        <v>2.27272727272727</v>
      </c>
      <c r="N71" s="70">
        <f t="shared" si="70"/>
        <v>13</v>
      </c>
      <c r="O71" s="74">
        <v>31.54</v>
      </c>
      <c r="R71" s="60">
        <v>15</v>
      </c>
      <c r="U71" s="79" t="s">
        <v>354</v>
      </c>
      <c r="W71" s="79" t="s">
        <v>106</v>
      </c>
      <c r="X71" s="79" t="s">
        <v>107</v>
      </c>
      <c r="AE71" t="str">
        <f t="shared" si="54"/>
        <v>TWS-SpCool_GAS1</v>
      </c>
      <c r="AJ71">
        <f t="shared" si="69"/>
        <v>0.0536638913770539</v>
      </c>
      <c r="AK71" s="56" t="s">
        <v>250</v>
      </c>
    </row>
    <row r="72" ht="137.5" spans="2:37">
      <c r="B72" s="67" t="s">
        <v>355</v>
      </c>
      <c r="C72" s="67" t="s">
        <v>305</v>
      </c>
      <c r="D72" s="67"/>
      <c r="E72" s="67" t="s">
        <v>351</v>
      </c>
      <c r="F72" s="57">
        <v>2021</v>
      </c>
      <c r="G72" s="70">
        <f t="shared" ref="G72:N72" si="71">G66</f>
        <v>0.98</v>
      </c>
      <c r="H72" s="70"/>
      <c r="I72" s="70">
        <f t="shared" si="71"/>
        <v>0.0454585176842925</v>
      </c>
      <c r="J72" s="70">
        <f t="shared" si="71"/>
        <v>72.4242424242424</v>
      </c>
      <c r="K72" s="70">
        <f t="shared" si="71"/>
        <v>0.787878787878788</v>
      </c>
      <c r="L72" s="70">
        <f t="shared" si="71"/>
        <v>72.4242424242424</v>
      </c>
      <c r="M72" s="70">
        <f t="shared" si="71"/>
        <v>0.787878787878788</v>
      </c>
      <c r="N72" s="70">
        <f t="shared" si="71"/>
        <v>15</v>
      </c>
      <c r="O72" s="74">
        <v>31.54</v>
      </c>
      <c r="R72" s="60">
        <v>15</v>
      </c>
      <c r="U72" s="79" t="s">
        <v>355</v>
      </c>
      <c r="W72" s="79" t="s">
        <v>106</v>
      </c>
      <c r="X72" s="79" t="s">
        <v>107</v>
      </c>
      <c r="AE72" t="str">
        <f t="shared" ref="AE72:AE90" si="72">B212</f>
        <v>ICS-SpCool_ELE1</v>
      </c>
      <c r="AJ72">
        <f t="shared" si="69"/>
        <v>0.0536638913770539</v>
      </c>
      <c r="AK72" s="56" t="s">
        <v>250</v>
      </c>
    </row>
    <row r="73" ht="137.5" spans="2:37">
      <c r="B73" s="67" t="s">
        <v>356</v>
      </c>
      <c r="C73" s="67" t="s">
        <v>307</v>
      </c>
      <c r="D73" s="67"/>
      <c r="E73" s="67" t="s">
        <v>351</v>
      </c>
      <c r="F73" s="57">
        <v>2021</v>
      </c>
      <c r="G73" s="70">
        <f t="shared" ref="G73:N73" si="73">G67</f>
        <v>0.872</v>
      </c>
      <c r="H73" s="70"/>
      <c r="I73" s="70">
        <f t="shared" si="73"/>
        <v>0.0454585176842925</v>
      </c>
      <c r="J73" s="70">
        <f t="shared" si="73"/>
        <v>117.776210379659</v>
      </c>
      <c r="K73" s="70">
        <f t="shared" si="73"/>
        <v>2.72567049808429</v>
      </c>
      <c r="L73" s="70">
        <f t="shared" si="73"/>
        <v>117.776210379659</v>
      </c>
      <c r="M73" s="70">
        <f t="shared" si="73"/>
        <v>2.72567049808429</v>
      </c>
      <c r="N73" s="70">
        <f t="shared" si="73"/>
        <v>12.6</v>
      </c>
      <c r="O73" s="74">
        <v>31.54</v>
      </c>
      <c r="R73" s="60">
        <v>15</v>
      </c>
      <c r="U73" s="79" t="s">
        <v>356</v>
      </c>
      <c r="W73" s="79" t="s">
        <v>106</v>
      </c>
      <c r="X73" s="79" t="s">
        <v>107</v>
      </c>
      <c r="AE73" t="str">
        <f t="shared" si="72"/>
        <v>ICS-SpCool_GAS1</v>
      </c>
      <c r="AJ73">
        <f t="shared" si="69"/>
        <v>0.0536638913770539</v>
      </c>
      <c r="AK73" s="56" t="s">
        <v>250</v>
      </c>
    </row>
    <row r="74" ht="137.5" spans="2:37">
      <c r="B74" s="67" t="s">
        <v>357</v>
      </c>
      <c r="C74" s="67" t="s">
        <v>256</v>
      </c>
      <c r="D74" s="67"/>
      <c r="E74" s="67" t="s">
        <v>358</v>
      </c>
      <c r="F74" s="57">
        <v>2021</v>
      </c>
      <c r="G74" s="70">
        <f t="shared" ref="G74:N74" si="74">G68</f>
        <v>0.98</v>
      </c>
      <c r="H74" s="70"/>
      <c r="I74" s="70">
        <f t="shared" si="74"/>
        <v>0.0454585176842925</v>
      </c>
      <c r="J74" s="70">
        <f t="shared" si="74"/>
        <v>260.555555555556</v>
      </c>
      <c r="K74" s="70">
        <f t="shared" si="74"/>
        <v>2.77777777777778</v>
      </c>
      <c r="L74" s="70">
        <f t="shared" si="74"/>
        <v>260.555555555556</v>
      </c>
      <c r="M74" s="70">
        <f t="shared" si="74"/>
        <v>2.77777777777778</v>
      </c>
      <c r="N74" s="70">
        <f t="shared" si="74"/>
        <v>12</v>
      </c>
      <c r="O74" s="74">
        <v>31.54</v>
      </c>
      <c r="R74" s="60">
        <v>15</v>
      </c>
      <c r="U74" s="79" t="s">
        <v>357</v>
      </c>
      <c r="W74" s="79" t="s">
        <v>106</v>
      </c>
      <c r="X74" s="79" t="s">
        <v>107</v>
      </c>
      <c r="AE74" t="str">
        <f t="shared" si="72"/>
        <v>OS-SpCool_ELE1</v>
      </c>
      <c r="AJ74">
        <f t="shared" si="69"/>
        <v>0.0536638913770539</v>
      </c>
      <c r="AK74" s="56" t="s">
        <v>250</v>
      </c>
    </row>
    <row r="75" ht="137.5" spans="2:37">
      <c r="B75" s="67" t="s">
        <v>359</v>
      </c>
      <c r="C75" s="67" t="s">
        <v>299</v>
      </c>
      <c r="D75" s="67"/>
      <c r="E75" s="67" t="s">
        <v>358</v>
      </c>
      <c r="F75" s="57">
        <v>2021</v>
      </c>
      <c r="G75" s="70">
        <f t="shared" ref="G75:N75" si="75">G69</f>
        <v>0.8</v>
      </c>
      <c r="H75" s="70"/>
      <c r="I75" s="70">
        <f t="shared" si="75"/>
        <v>0.0454585176842925</v>
      </c>
      <c r="J75" s="70">
        <f t="shared" si="75"/>
        <v>116.810344827586</v>
      </c>
      <c r="K75" s="70">
        <f t="shared" si="75"/>
        <v>5.51724137931035</v>
      </c>
      <c r="L75" s="70">
        <f t="shared" si="75"/>
        <v>116.810344827586</v>
      </c>
      <c r="M75" s="70">
        <f t="shared" si="75"/>
        <v>5.51724137931035</v>
      </c>
      <c r="N75" s="70">
        <f t="shared" si="75"/>
        <v>10</v>
      </c>
      <c r="O75" s="74">
        <v>31.54</v>
      </c>
      <c r="R75" s="60">
        <v>15</v>
      </c>
      <c r="U75" s="79" t="s">
        <v>359</v>
      </c>
      <c r="W75" s="79" t="s">
        <v>106</v>
      </c>
      <c r="X75" s="79" t="s">
        <v>107</v>
      </c>
      <c r="AE75" t="str">
        <f t="shared" si="72"/>
        <v>OS-SpCool_GAS1</v>
      </c>
      <c r="AJ75">
        <f t="shared" si="69"/>
        <v>0.0536638913770539</v>
      </c>
      <c r="AK75" s="56" t="s">
        <v>250</v>
      </c>
    </row>
    <row r="76" ht="137.5" spans="2:37">
      <c r="B76" s="67" t="s">
        <v>360</v>
      </c>
      <c r="C76" s="67" t="s">
        <v>301</v>
      </c>
      <c r="D76" s="67"/>
      <c r="E76" s="67" t="s">
        <v>358</v>
      </c>
      <c r="F76" s="57">
        <v>2021</v>
      </c>
      <c r="G76" s="70">
        <f t="shared" ref="G76:N76" si="76">G70</f>
        <v>0.8</v>
      </c>
      <c r="H76" s="70"/>
      <c r="I76" s="70">
        <f t="shared" si="76"/>
        <v>0.0454585176842925</v>
      </c>
      <c r="J76" s="70">
        <f t="shared" si="76"/>
        <v>69.5454545454545</v>
      </c>
      <c r="K76" s="70">
        <f t="shared" si="76"/>
        <v>2.27272727272727</v>
      </c>
      <c r="L76" s="70">
        <f t="shared" si="76"/>
        <v>69.5454545454545</v>
      </c>
      <c r="M76" s="70">
        <f t="shared" si="76"/>
        <v>2.27272727272727</v>
      </c>
      <c r="N76" s="70">
        <f t="shared" si="76"/>
        <v>13</v>
      </c>
      <c r="O76" s="74">
        <v>31.54</v>
      </c>
      <c r="R76" s="60">
        <v>15</v>
      </c>
      <c r="U76" s="79" t="s">
        <v>360</v>
      </c>
      <c r="W76" s="79" t="s">
        <v>106</v>
      </c>
      <c r="X76" s="79" t="s">
        <v>107</v>
      </c>
      <c r="AE76" t="str">
        <f t="shared" si="72"/>
        <v>EDU-SpCool_ELE1</v>
      </c>
      <c r="AJ76">
        <f t="shared" si="69"/>
        <v>0.0536638913770539</v>
      </c>
      <c r="AK76" s="56" t="s">
        <v>250</v>
      </c>
    </row>
    <row r="77" ht="137.5" spans="2:37">
      <c r="B77" s="67" t="s">
        <v>361</v>
      </c>
      <c r="C77" s="67" t="s">
        <v>303</v>
      </c>
      <c r="D77" s="67"/>
      <c r="E77" s="67" t="s">
        <v>358</v>
      </c>
      <c r="F77" s="57">
        <v>2021</v>
      </c>
      <c r="G77" s="70">
        <f t="shared" ref="G77:N77" si="77">G71</f>
        <v>0.8</v>
      </c>
      <c r="H77" s="70"/>
      <c r="I77" s="70">
        <f t="shared" si="77"/>
        <v>0.0454585176842925</v>
      </c>
      <c r="J77" s="70">
        <f t="shared" si="77"/>
        <v>69.5454545454545</v>
      </c>
      <c r="K77" s="70">
        <f t="shared" si="77"/>
        <v>2.27272727272727</v>
      </c>
      <c r="L77" s="70">
        <f t="shared" si="77"/>
        <v>69.5454545454545</v>
      </c>
      <c r="M77" s="70">
        <f t="shared" si="77"/>
        <v>2.27272727272727</v>
      </c>
      <c r="N77" s="70">
        <f t="shared" si="77"/>
        <v>13</v>
      </c>
      <c r="O77" s="74">
        <v>31.54</v>
      </c>
      <c r="R77" s="60">
        <v>15</v>
      </c>
      <c r="U77" s="79" t="s">
        <v>361</v>
      </c>
      <c r="W77" s="79" t="s">
        <v>106</v>
      </c>
      <c r="X77" s="79" t="s">
        <v>107</v>
      </c>
      <c r="AE77" t="str">
        <f t="shared" si="72"/>
        <v>EDU-SpCool_GAS1</v>
      </c>
      <c r="AJ77">
        <f t="shared" si="69"/>
        <v>0.0536638913770539</v>
      </c>
      <c r="AK77" s="56" t="s">
        <v>250</v>
      </c>
    </row>
    <row r="78" ht="137.5" spans="2:37">
      <c r="B78" s="67" t="s">
        <v>362</v>
      </c>
      <c r="C78" s="67" t="s">
        <v>305</v>
      </c>
      <c r="D78" s="67"/>
      <c r="E78" s="67" t="s">
        <v>358</v>
      </c>
      <c r="F78" s="57">
        <v>2021</v>
      </c>
      <c r="G78" s="70">
        <f t="shared" ref="G78:N78" si="78">G72</f>
        <v>0.98</v>
      </c>
      <c r="H78" s="70"/>
      <c r="I78" s="70">
        <f t="shared" si="78"/>
        <v>0.0454585176842925</v>
      </c>
      <c r="J78" s="70">
        <f t="shared" si="78"/>
        <v>72.4242424242424</v>
      </c>
      <c r="K78" s="70">
        <f t="shared" si="78"/>
        <v>0.787878787878788</v>
      </c>
      <c r="L78" s="70">
        <f t="shared" si="78"/>
        <v>72.4242424242424</v>
      </c>
      <c r="M78" s="70">
        <f t="shared" si="78"/>
        <v>0.787878787878788</v>
      </c>
      <c r="N78" s="70">
        <f t="shared" si="78"/>
        <v>15</v>
      </c>
      <c r="O78" s="74">
        <v>31.54</v>
      </c>
      <c r="R78" s="60">
        <v>15</v>
      </c>
      <c r="U78" s="79" t="s">
        <v>362</v>
      </c>
      <c r="W78" s="79" t="s">
        <v>106</v>
      </c>
      <c r="X78" s="79" t="s">
        <v>107</v>
      </c>
      <c r="AE78" t="str">
        <f t="shared" si="72"/>
        <v>HSS-SpCool_ELE1</v>
      </c>
      <c r="AJ78">
        <f t="shared" si="69"/>
        <v>0.0536638913770539</v>
      </c>
      <c r="AK78" s="56" t="s">
        <v>250</v>
      </c>
    </row>
    <row r="79" ht="137.5" spans="2:37">
      <c r="B79" s="67" t="s">
        <v>363</v>
      </c>
      <c r="C79" s="67" t="s">
        <v>307</v>
      </c>
      <c r="D79" s="67"/>
      <c r="E79" s="67" t="s">
        <v>358</v>
      </c>
      <c r="F79" s="57">
        <v>2021</v>
      </c>
      <c r="G79" s="70">
        <f t="shared" ref="G79:N79" si="79">G73</f>
        <v>0.872</v>
      </c>
      <c r="H79" s="70"/>
      <c r="I79" s="70">
        <f t="shared" si="79"/>
        <v>0.0454585176842925</v>
      </c>
      <c r="J79" s="70">
        <f t="shared" si="79"/>
        <v>117.776210379659</v>
      </c>
      <c r="K79" s="70">
        <f t="shared" si="79"/>
        <v>2.72567049808429</v>
      </c>
      <c r="L79" s="70">
        <f t="shared" si="79"/>
        <v>117.776210379659</v>
      </c>
      <c r="M79" s="70">
        <f t="shared" si="79"/>
        <v>2.72567049808429</v>
      </c>
      <c r="N79" s="70">
        <f t="shared" si="79"/>
        <v>12.6</v>
      </c>
      <c r="O79" s="74">
        <v>31.54</v>
      </c>
      <c r="R79" s="60">
        <v>15</v>
      </c>
      <c r="U79" s="79" t="s">
        <v>363</v>
      </c>
      <c r="W79" s="79" t="s">
        <v>106</v>
      </c>
      <c r="X79" s="79" t="s">
        <v>107</v>
      </c>
      <c r="AE79" t="str">
        <f t="shared" si="72"/>
        <v>HSS-SpCool_GAS1</v>
      </c>
      <c r="AJ79">
        <f t="shared" si="69"/>
        <v>0.0536638913770539</v>
      </c>
      <c r="AK79" s="56" t="s">
        <v>250</v>
      </c>
    </row>
    <row r="80" ht="137.5" spans="2:37">
      <c r="B80" s="67" t="s">
        <v>364</v>
      </c>
      <c r="C80" s="67" t="s">
        <v>256</v>
      </c>
      <c r="D80" s="67"/>
      <c r="E80" s="67" t="s">
        <v>365</v>
      </c>
      <c r="F80" s="57">
        <v>2021</v>
      </c>
      <c r="G80" s="70">
        <f t="shared" ref="G80:N80" si="80">G74</f>
        <v>0.98</v>
      </c>
      <c r="H80" s="70"/>
      <c r="I80" s="70">
        <f t="shared" si="80"/>
        <v>0.0454585176842925</v>
      </c>
      <c r="J80" s="70">
        <f t="shared" si="80"/>
        <v>260.555555555556</v>
      </c>
      <c r="K80" s="70">
        <f t="shared" si="80"/>
        <v>2.77777777777778</v>
      </c>
      <c r="L80" s="70">
        <f t="shared" si="80"/>
        <v>260.555555555556</v>
      </c>
      <c r="M80" s="70">
        <f t="shared" si="80"/>
        <v>2.77777777777778</v>
      </c>
      <c r="N80" s="70">
        <f t="shared" si="80"/>
        <v>12</v>
      </c>
      <c r="O80" s="74">
        <v>31.54</v>
      </c>
      <c r="R80" s="60">
        <v>15</v>
      </c>
      <c r="U80" s="79" t="s">
        <v>364</v>
      </c>
      <c r="W80" s="79" t="s">
        <v>106</v>
      </c>
      <c r="X80" s="79" t="s">
        <v>107</v>
      </c>
      <c r="AE80" t="str">
        <f t="shared" si="72"/>
        <v>ART-SpCool_ELE1</v>
      </c>
      <c r="AJ80">
        <f t="shared" si="69"/>
        <v>0.0536638913770539</v>
      </c>
      <c r="AK80" s="56" t="s">
        <v>250</v>
      </c>
    </row>
    <row r="81" ht="137.5" spans="2:37">
      <c r="B81" s="67" t="s">
        <v>366</v>
      </c>
      <c r="C81" s="67" t="s">
        <v>299</v>
      </c>
      <c r="D81" s="67"/>
      <c r="E81" s="67" t="s">
        <v>365</v>
      </c>
      <c r="F81" s="57">
        <v>2021</v>
      </c>
      <c r="G81" s="70">
        <f t="shared" ref="G81:N81" si="81">G75</f>
        <v>0.8</v>
      </c>
      <c r="H81" s="70"/>
      <c r="I81" s="70">
        <f t="shared" si="81"/>
        <v>0.0454585176842925</v>
      </c>
      <c r="J81" s="70">
        <f t="shared" si="81"/>
        <v>116.810344827586</v>
      </c>
      <c r="K81" s="70">
        <f t="shared" si="81"/>
        <v>5.51724137931035</v>
      </c>
      <c r="L81" s="70">
        <f t="shared" si="81"/>
        <v>116.810344827586</v>
      </c>
      <c r="M81" s="70">
        <f t="shared" si="81"/>
        <v>5.51724137931035</v>
      </c>
      <c r="N81" s="70">
        <f t="shared" si="81"/>
        <v>10</v>
      </c>
      <c r="O81" s="74">
        <v>31.54</v>
      </c>
      <c r="R81" s="60">
        <v>15</v>
      </c>
      <c r="U81" s="79" t="s">
        <v>366</v>
      </c>
      <c r="W81" s="79" t="s">
        <v>106</v>
      </c>
      <c r="X81" s="79" t="s">
        <v>107</v>
      </c>
      <c r="AE81" t="str">
        <f t="shared" si="72"/>
        <v>ART-SpCool_GAS1</v>
      </c>
      <c r="AJ81">
        <f t="shared" si="69"/>
        <v>0.0536638913770539</v>
      </c>
      <c r="AK81" s="56" t="s">
        <v>250</v>
      </c>
    </row>
    <row r="82" ht="137.5" spans="2:37">
      <c r="B82" s="67" t="s">
        <v>367</v>
      </c>
      <c r="C82" s="67" t="s">
        <v>301</v>
      </c>
      <c r="D82" s="67"/>
      <c r="E82" s="67" t="s">
        <v>365</v>
      </c>
      <c r="F82" s="57">
        <v>2021</v>
      </c>
      <c r="G82" s="70">
        <f t="shared" ref="G82:N82" si="82">G76</f>
        <v>0.8</v>
      </c>
      <c r="H82" s="70"/>
      <c r="I82" s="70">
        <f t="shared" si="82"/>
        <v>0.0454585176842925</v>
      </c>
      <c r="J82" s="70">
        <f t="shared" si="82"/>
        <v>69.5454545454545</v>
      </c>
      <c r="K82" s="70">
        <f t="shared" si="82"/>
        <v>2.27272727272727</v>
      </c>
      <c r="L82" s="70">
        <f t="shared" si="82"/>
        <v>69.5454545454545</v>
      </c>
      <c r="M82" s="70">
        <f t="shared" si="82"/>
        <v>2.27272727272727</v>
      </c>
      <c r="N82" s="70">
        <f t="shared" si="82"/>
        <v>13</v>
      </c>
      <c r="O82" s="74">
        <v>31.54</v>
      </c>
      <c r="R82" s="60">
        <v>15</v>
      </c>
      <c r="U82" s="79" t="s">
        <v>367</v>
      </c>
      <c r="W82" s="79" t="s">
        <v>106</v>
      </c>
      <c r="X82" s="79" t="s">
        <v>107</v>
      </c>
      <c r="AE82" t="str">
        <f t="shared" si="72"/>
        <v>AFM-SpCool_ELE1</v>
      </c>
      <c r="AJ82">
        <f t="shared" si="69"/>
        <v>0.0536638913770539</v>
      </c>
      <c r="AK82" s="56" t="s">
        <v>250</v>
      </c>
    </row>
    <row r="83" ht="137.5" spans="2:37">
      <c r="B83" s="67" t="s">
        <v>368</v>
      </c>
      <c r="C83" s="67" t="s">
        <v>303</v>
      </c>
      <c r="D83" s="67"/>
      <c r="E83" s="67" t="s">
        <v>365</v>
      </c>
      <c r="F83" s="57">
        <v>2021</v>
      </c>
      <c r="G83" s="70">
        <f t="shared" ref="G83:N83" si="83">G77</f>
        <v>0.8</v>
      </c>
      <c r="H83" s="70"/>
      <c r="I83" s="70">
        <f t="shared" si="83"/>
        <v>0.0454585176842925</v>
      </c>
      <c r="J83" s="70">
        <f t="shared" si="83"/>
        <v>69.5454545454545</v>
      </c>
      <c r="K83" s="70">
        <f t="shared" si="83"/>
        <v>2.27272727272727</v>
      </c>
      <c r="L83" s="70">
        <f t="shared" si="83"/>
        <v>69.5454545454545</v>
      </c>
      <c r="M83" s="70">
        <f t="shared" si="83"/>
        <v>2.27272727272727</v>
      </c>
      <c r="N83" s="70">
        <f t="shared" si="83"/>
        <v>13</v>
      </c>
      <c r="O83" s="74">
        <v>31.54</v>
      </c>
      <c r="R83" s="60">
        <v>15</v>
      </c>
      <c r="U83" s="79" t="s">
        <v>368</v>
      </c>
      <c r="W83" s="79" t="s">
        <v>106</v>
      </c>
      <c r="X83" s="79" t="s">
        <v>107</v>
      </c>
      <c r="AE83" t="str">
        <f t="shared" si="72"/>
        <v>AFM-SpCool_GAS1</v>
      </c>
      <c r="AJ83">
        <f t="shared" si="69"/>
        <v>0.0536638913770539</v>
      </c>
      <c r="AK83" s="56" t="s">
        <v>250</v>
      </c>
    </row>
    <row r="84" ht="137.5" spans="2:37">
      <c r="B84" s="67" t="s">
        <v>369</v>
      </c>
      <c r="C84" s="67" t="s">
        <v>305</v>
      </c>
      <c r="D84" s="67"/>
      <c r="E84" s="67" t="s">
        <v>365</v>
      </c>
      <c r="F84" s="57">
        <v>2021</v>
      </c>
      <c r="G84" s="70">
        <f t="shared" ref="G84:N85" si="84">G78</f>
        <v>0.98</v>
      </c>
      <c r="H84" s="70"/>
      <c r="I84" s="70">
        <f t="shared" si="84"/>
        <v>0.0454585176842925</v>
      </c>
      <c r="J84" s="70">
        <f t="shared" si="84"/>
        <v>72.4242424242424</v>
      </c>
      <c r="K84" s="70">
        <f t="shared" si="84"/>
        <v>0.787878787878788</v>
      </c>
      <c r="L84" s="70">
        <f t="shared" si="84"/>
        <v>72.4242424242424</v>
      </c>
      <c r="M84" s="70">
        <f t="shared" si="84"/>
        <v>0.787878787878788</v>
      </c>
      <c r="N84" s="70">
        <f t="shared" si="84"/>
        <v>15</v>
      </c>
      <c r="O84" s="74">
        <v>31.54</v>
      </c>
      <c r="R84" s="60">
        <v>15</v>
      </c>
      <c r="U84" s="79" t="s">
        <v>369</v>
      </c>
      <c r="W84" s="79" t="s">
        <v>106</v>
      </c>
      <c r="X84" s="79" t="s">
        <v>107</v>
      </c>
      <c r="AE84" t="str">
        <f t="shared" si="72"/>
        <v>OTH-SpCool_ELE1</v>
      </c>
      <c r="AJ84">
        <f t="shared" si="69"/>
        <v>0.0536638913770539</v>
      </c>
      <c r="AK84" s="56" t="s">
        <v>250</v>
      </c>
    </row>
    <row r="85" ht="137.5" spans="2:37">
      <c r="B85" s="67" t="s">
        <v>370</v>
      </c>
      <c r="C85" s="67" t="s">
        <v>307</v>
      </c>
      <c r="D85" s="67"/>
      <c r="E85" s="67" t="s">
        <v>365</v>
      </c>
      <c r="F85" s="57">
        <v>2021</v>
      </c>
      <c r="G85" s="70">
        <f t="shared" si="84"/>
        <v>0.872</v>
      </c>
      <c r="H85" s="70"/>
      <c r="I85" s="70">
        <f t="shared" si="84"/>
        <v>0.0454585176842925</v>
      </c>
      <c r="J85" s="70">
        <f t="shared" si="84"/>
        <v>117.776210379659</v>
      </c>
      <c r="K85" s="70">
        <f t="shared" si="84"/>
        <v>2.72567049808429</v>
      </c>
      <c r="L85" s="70">
        <f t="shared" si="84"/>
        <v>117.776210379659</v>
      </c>
      <c r="M85" s="70">
        <f t="shared" si="84"/>
        <v>2.72567049808429</v>
      </c>
      <c r="N85" s="70">
        <f t="shared" si="84"/>
        <v>12.6</v>
      </c>
      <c r="O85" s="74">
        <v>31.54</v>
      </c>
      <c r="R85" s="60">
        <v>15</v>
      </c>
      <c r="U85" s="79" t="s">
        <v>370</v>
      </c>
      <c r="W85" s="79" t="s">
        <v>106</v>
      </c>
      <c r="X85" s="79" t="s">
        <v>107</v>
      </c>
      <c r="AE85" t="str">
        <f t="shared" si="72"/>
        <v>OTH-SpCool_GAS1</v>
      </c>
      <c r="AJ85">
        <f t="shared" si="69"/>
        <v>0.0536638913770539</v>
      </c>
      <c r="AK85" s="56" t="s">
        <v>250</v>
      </c>
    </row>
    <row r="86" ht="175" spans="2:37">
      <c r="B86" s="67" t="s">
        <v>371</v>
      </c>
      <c r="C86" s="67" t="s">
        <v>256</v>
      </c>
      <c r="D86" s="67"/>
      <c r="E86" s="67" t="s">
        <v>372</v>
      </c>
      <c r="F86" s="57">
        <v>2021</v>
      </c>
      <c r="G86" s="70">
        <f>0.98</f>
        <v>0.98</v>
      </c>
      <c r="H86" s="82"/>
      <c r="I86" s="70">
        <f>'[5]TechWaterHeat-COM'!$O$199</f>
        <v>0.101179774061464</v>
      </c>
      <c r="J86" s="70">
        <f>4690/18*1</f>
        <v>260.555555555556</v>
      </c>
      <c r="K86" s="70">
        <f>50/18*1</f>
        <v>2.77777777777778</v>
      </c>
      <c r="L86" s="70">
        <f t="shared" ref="L86:L90" si="85">J86</f>
        <v>260.555555555556</v>
      </c>
      <c r="M86" s="70">
        <f t="shared" ref="M86:M90" si="86">K86</f>
        <v>2.77777777777778</v>
      </c>
      <c r="N86" s="84">
        <v>12</v>
      </c>
      <c r="O86" s="74">
        <v>31.54</v>
      </c>
      <c r="R86" s="60">
        <v>15</v>
      </c>
      <c r="U86" s="79" t="s">
        <v>371</v>
      </c>
      <c r="W86" s="79" t="s">
        <v>106</v>
      </c>
      <c r="X86" s="79" t="s">
        <v>107</v>
      </c>
      <c r="AE86" s="41" t="s">
        <v>373</v>
      </c>
      <c r="AF86" s="86" t="s">
        <v>256</v>
      </c>
      <c r="AG86" s="86"/>
      <c r="AJ86">
        <f>AVERAGE(AJ6:AJ11)</f>
        <v>0.64684788903193</v>
      </c>
      <c r="AK86" s="56" t="s">
        <v>249</v>
      </c>
    </row>
    <row r="87" spans="2:33">
      <c r="B87" s="67" t="s">
        <v>374</v>
      </c>
      <c r="C87" s="67" t="s">
        <v>299</v>
      </c>
      <c r="D87" s="67"/>
      <c r="E87" s="67" t="s">
        <v>372</v>
      </c>
      <c r="F87" s="57">
        <v>2021</v>
      </c>
      <c r="G87" s="70">
        <v>0.8</v>
      </c>
      <c r="H87" s="70"/>
      <c r="I87" s="70">
        <f>'[5]TechWaterHeat-COM'!$O$200</f>
        <v>0.24860663198917</v>
      </c>
      <c r="J87" s="70">
        <f>(5140+8410)/2/58*1</f>
        <v>116.810344827586</v>
      </c>
      <c r="K87" s="70">
        <f>320/58*1</f>
        <v>5.51724137931035</v>
      </c>
      <c r="L87" s="70">
        <f t="shared" si="85"/>
        <v>116.810344827586</v>
      </c>
      <c r="M87" s="70">
        <f t="shared" si="86"/>
        <v>5.51724137931035</v>
      </c>
      <c r="N87" s="70">
        <v>10</v>
      </c>
      <c r="O87" s="74">
        <v>31.54</v>
      </c>
      <c r="R87" s="60">
        <v>15</v>
      </c>
      <c r="U87" s="79" t="s">
        <v>374</v>
      </c>
      <c r="W87" s="79" t="s">
        <v>106</v>
      </c>
      <c r="X87" s="79" t="s">
        <v>107</v>
      </c>
      <c r="AE87" s="41"/>
      <c r="AF87" s="41"/>
      <c r="AG87" s="88" t="s">
        <v>251</v>
      </c>
    </row>
    <row r="88" ht="175" spans="2:37">
      <c r="B88" s="67" t="s">
        <v>375</v>
      </c>
      <c r="C88" s="67" t="s">
        <v>301</v>
      </c>
      <c r="D88" s="67"/>
      <c r="E88" s="67" t="s">
        <v>372</v>
      </c>
      <c r="F88" s="57">
        <v>2021</v>
      </c>
      <c r="G88" s="70">
        <v>0.8</v>
      </c>
      <c r="H88" s="70"/>
      <c r="I88" s="70">
        <f>'[5]TechWaterHeat-COM'!$O$201</f>
        <v>0.088560651785726</v>
      </c>
      <c r="J88" s="70">
        <f>6120/88*1</f>
        <v>69.5454545454545</v>
      </c>
      <c r="K88" s="70">
        <f>200/88*1</f>
        <v>2.27272727272727</v>
      </c>
      <c r="L88" s="70">
        <f t="shared" si="85"/>
        <v>69.5454545454545</v>
      </c>
      <c r="M88" s="70">
        <f t="shared" si="86"/>
        <v>2.27272727272727</v>
      </c>
      <c r="N88" s="70">
        <v>13</v>
      </c>
      <c r="O88" s="74">
        <v>31.54</v>
      </c>
      <c r="R88" s="60">
        <v>15</v>
      </c>
      <c r="U88" s="79" t="s">
        <v>375</v>
      </c>
      <c r="W88" s="79" t="s">
        <v>106</v>
      </c>
      <c r="X88" s="79" t="s">
        <v>107</v>
      </c>
      <c r="AE88" s="40" t="s">
        <v>376</v>
      </c>
      <c r="AF88" s="87" t="s">
        <v>256</v>
      </c>
      <c r="AG88" s="87"/>
      <c r="AJ88">
        <f>AJ86</f>
        <v>0.64684788903193</v>
      </c>
      <c r="AK88" s="56" t="s">
        <v>249</v>
      </c>
    </row>
    <row r="89" spans="2:33">
      <c r="B89" s="67" t="s">
        <v>377</v>
      </c>
      <c r="C89" s="67" t="s">
        <v>303</v>
      </c>
      <c r="D89" s="67"/>
      <c r="E89" s="67" t="s">
        <v>372</v>
      </c>
      <c r="F89" s="57">
        <v>2021</v>
      </c>
      <c r="G89" s="70">
        <v>0.8</v>
      </c>
      <c r="H89" s="70"/>
      <c r="I89" s="70">
        <f>'[5]TechWaterHeat-COM'!$O$202</f>
        <v>0.088560651785726</v>
      </c>
      <c r="J89" s="70">
        <f t="shared" ref="J89" si="87">J88</f>
        <v>69.5454545454545</v>
      </c>
      <c r="K89" s="70">
        <f t="shared" ref="K89" si="88">K88</f>
        <v>2.27272727272727</v>
      </c>
      <c r="L89" s="70">
        <f t="shared" si="85"/>
        <v>69.5454545454545</v>
      </c>
      <c r="M89" s="70">
        <f t="shared" si="86"/>
        <v>2.27272727272727</v>
      </c>
      <c r="N89" s="70">
        <v>13</v>
      </c>
      <c r="O89" s="74">
        <v>31.54</v>
      </c>
      <c r="R89" s="60">
        <v>15</v>
      </c>
      <c r="U89" s="79" t="s">
        <v>377</v>
      </c>
      <c r="W89" s="79" t="s">
        <v>106</v>
      </c>
      <c r="X89" s="79" t="s">
        <v>107</v>
      </c>
      <c r="AE89" s="40"/>
      <c r="AF89" s="40"/>
      <c r="AG89" s="89" t="s">
        <v>251</v>
      </c>
    </row>
    <row r="90" ht="175" spans="2:37">
      <c r="B90" s="67" t="s">
        <v>378</v>
      </c>
      <c r="C90" s="67" t="s">
        <v>305</v>
      </c>
      <c r="D90" s="67"/>
      <c r="E90" s="67" t="s">
        <v>372</v>
      </c>
      <c r="F90" s="57">
        <v>2021</v>
      </c>
      <c r="G90" s="83">
        <v>0.98</v>
      </c>
      <c r="H90" s="70"/>
      <c r="I90" s="70">
        <f>'[5]TechWaterHeat-COM'!$O$203</f>
        <v>0.143923107198767</v>
      </c>
      <c r="J90" s="70">
        <f>11950/165*1</f>
        <v>72.4242424242424</v>
      </c>
      <c r="K90" s="70">
        <f>130/165*1</f>
        <v>0.787878787878788</v>
      </c>
      <c r="L90" s="70">
        <f t="shared" si="85"/>
        <v>72.4242424242424</v>
      </c>
      <c r="M90" s="70">
        <f t="shared" si="86"/>
        <v>0.787878787878788</v>
      </c>
      <c r="N90" s="70">
        <v>15</v>
      </c>
      <c r="O90" s="74">
        <v>31.54</v>
      </c>
      <c r="R90" s="60">
        <v>15</v>
      </c>
      <c r="U90" s="79" t="s">
        <v>378</v>
      </c>
      <c r="W90" s="79" t="s">
        <v>106</v>
      </c>
      <c r="X90" s="79" t="s">
        <v>107</v>
      </c>
      <c r="AE90" s="40" t="s">
        <v>379</v>
      </c>
      <c r="AF90" s="87" t="s">
        <v>256</v>
      </c>
      <c r="AG90" s="87"/>
      <c r="AJ90">
        <f>AJ88</f>
        <v>0.64684788903193</v>
      </c>
      <c r="AK90" s="56" t="s">
        <v>249</v>
      </c>
    </row>
    <row r="91" spans="2:33">
      <c r="B91" s="67" t="s">
        <v>380</v>
      </c>
      <c r="C91" s="67" t="s">
        <v>307</v>
      </c>
      <c r="D91" s="67"/>
      <c r="E91" s="67" t="s">
        <v>372</v>
      </c>
      <c r="F91" s="57">
        <v>2021</v>
      </c>
      <c r="G91" s="70">
        <f>AVERAGE(G86:G90)</f>
        <v>0.872</v>
      </c>
      <c r="H91" s="70"/>
      <c r="I91" s="70">
        <f>'[5]TechWaterHeat-COM'!$O$204</f>
        <v>0.281268478157475</v>
      </c>
      <c r="J91" s="70">
        <f t="shared" ref="J91:N91" si="89">AVERAGE(J86:J90)</f>
        <v>117.776210379659</v>
      </c>
      <c r="K91" s="70">
        <f t="shared" si="89"/>
        <v>2.72567049808429</v>
      </c>
      <c r="L91" s="70">
        <f t="shared" si="89"/>
        <v>117.776210379659</v>
      </c>
      <c r="M91" s="70">
        <f t="shared" si="89"/>
        <v>2.72567049808429</v>
      </c>
      <c r="N91" s="85">
        <f t="shared" si="89"/>
        <v>12.6</v>
      </c>
      <c r="O91" s="74">
        <v>31.54</v>
      </c>
      <c r="R91" s="60">
        <v>15</v>
      </c>
      <c r="U91" s="79" t="s">
        <v>380</v>
      </c>
      <c r="W91" s="79" t="s">
        <v>106</v>
      </c>
      <c r="X91" s="79" t="s">
        <v>107</v>
      </c>
      <c r="AE91" s="40"/>
      <c r="AF91" s="40"/>
      <c r="AG91" s="89" t="s">
        <v>251</v>
      </c>
    </row>
    <row r="92" ht="175" spans="2:37">
      <c r="B92" s="67" t="s">
        <v>381</v>
      </c>
      <c r="C92" s="67" t="s">
        <v>256</v>
      </c>
      <c r="D92" s="67"/>
      <c r="E92" s="67" t="s">
        <v>382</v>
      </c>
      <c r="F92" s="57">
        <v>2021</v>
      </c>
      <c r="G92" s="70">
        <f>G86</f>
        <v>0.98</v>
      </c>
      <c r="H92" s="70"/>
      <c r="I92" s="70">
        <f t="shared" ref="I92:N92" si="90">I86</f>
        <v>0.101179774061464</v>
      </c>
      <c r="J92" s="70">
        <f t="shared" si="90"/>
        <v>260.555555555556</v>
      </c>
      <c r="K92" s="70">
        <f t="shared" si="90"/>
        <v>2.77777777777778</v>
      </c>
      <c r="L92" s="70">
        <f t="shared" si="90"/>
        <v>260.555555555556</v>
      </c>
      <c r="M92" s="70">
        <f t="shared" si="90"/>
        <v>2.77777777777778</v>
      </c>
      <c r="N92" s="70">
        <f t="shared" si="90"/>
        <v>12</v>
      </c>
      <c r="O92" s="74">
        <v>31.54</v>
      </c>
      <c r="R92" s="60">
        <v>15</v>
      </c>
      <c r="U92" s="79" t="s">
        <v>381</v>
      </c>
      <c r="W92" s="79" t="s">
        <v>106</v>
      </c>
      <c r="X92" s="79" t="s">
        <v>107</v>
      </c>
      <c r="AE92" s="40" t="s">
        <v>383</v>
      </c>
      <c r="AF92" s="87" t="s">
        <v>256</v>
      </c>
      <c r="AG92" s="87"/>
      <c r="AJ92">
        <f>AJ90</f>
        <v>0.64684788903193</v>
      </c>
      <c r="AK92" s="56" t="s">
        <v>249</v>
      </c>
    </row>
    <row r="93" spans="2:33">
      <c r="B93" s="67" t="s">
        <v>384</v>
      </c>
      <c r="C93" s="67" t="s">
        <v>299</v>
      </c>
      <c r="D93" s="67"/>
      <c r="E93" s="67" t="s">
        <v>382</v>
      </c>
      <c r="F93" s="57">
        <v>2021</v>
      </c>
      <c r="G93" s="70">
        <f t="shared" ref="G93:G98" si="91">G87</f>
        <v>0.8</v>
      </c>
      <c r="H93" s="70"/>
      <c r="I93" s="70">
        <f t="shared" ref="I93:N93" si="92">I87</f>
        <v>0.24860663198917</v>
      </c>
      <c r="J93" s="70">
        <f t="shared" si="92"/>
        <v>116.810344827586</v>
      </c>
      <c r="K93" s="70">
        <f t="shared" si="92"/>
        <v>5.51724137931035</v>
      </c>
      <c r="L93" s="70">
        <f t="shared" si="92"/>
        <v>116.810344827586</v>
      </c>
      <c r="M93" s="70">
        <f t="shared" si="92"/>
        <v>5.51724137931035</v>
      </c>
      <c r="N93" s="70">
        <f t="shared" si="92"/>
        <v>10</v>
      </c>
      <c r="O93" s="74">
        <v>31.54</v>
      </c>
      <c r="R93" s="60">
        <v>15</v>
      </c>
      <c r="U93" s="79" t="s">
        <v>384</v>
      </c>
      <c r="W93" s="79" t="s">
        <v>106</v>
      </c>
      <c r="X93" s="79" t="s">
        <v>107</v>
      </c>
      <c r="AE93" s="40"/>
      <c r="AF93" s="40"/>
      <c r="AG93" s="89" t="s">
        <v>251</v>
      </c>
    </row>
    <row r="94" ht="175" spans="2:37">
      <c r="B94" s="67" t="s">
        <v>385</v>
      </c>
      <c r="C94" s="67" t="s">
        <v>301</v>
      </c>
      <c r="D94" s="67"/>
      <c r="E94" s="67" t="s">
        <v>382</v>
      </c>
      <c r="F94" s="57">
        <v>2021</v>
      </c>
      <c r="G94" s="70">
        <f t="shared" si="91"/>
        <v>0.8</v>
      </c>
      <c r="H94" s="70"/>
      <c r="I94" s="70">
        <f t="shared" ref="I94:N94" si="93">I88</f>
        <v>0.088560651785726</v>
      </c>
      <c r="J94" s="70">
        <f t="shared" si="93"/>
        <v>69.5454545454545</v>
      </c>
      <c r="K94" s="70">
        <f t="shared" si="93"/>
        <v>2.27272727272727</v>
      </c>
      <c r="L94" s="70">
        <f t="shared" si="93"/>
        <v>69.5454545454545</v>
      </c>
      <c r="M94" s="70">
        <f t="shared" si="93"/>
        <v>2.27272727272727</v>
      </c>
      <c r="N94" s="70">
        <f t="shared" si="93"/>
        <v>13</v>
      </c>
      <c r="O94" s="74">
        <v>31.54</v>
      </c>
      <c r="R94" s="60">
        <v>15</v>
      </c>
      <c r="U94" s="79" t="s">
        <v>385</v>
      </c>
      <c r="W94" s="79" t="s">
        <v>106</v>
      </c>
      <c r="X94" s="79" t="s">
        <v>107</v>
      </c>
      <c r="AE94" s="40" t="s">
        <v>386</v>
      </c>
      <c r="AF94" s="87" t="s">
        <v>256</v>
      </c>
      <c r="AG94" s="87"/>
      <c r="AJ94">
        <f>AJ92</f>
        <v>0.64684788903193</v>
      </c>
      <c r="AK94" s="56" t="s">
        <v>249</v>
      </c>
    </row>
    <row r="95" spans="2:33">
      <c r="B95" s="67" t="s">
        <v>387</v>
      </c>
      <c r="C95" s="67" t="s">
        <v>303</v>
      </c>
      <c r="D95" s="67"/>
      <c r="E95" s="67" t="s">
        <v>382</v>
      </c>
      <c r="F95" s="57">
        <v>2021</v>
      </c>
      <c r="G95" s="70">
        <f t="shared" si="91"/>
        <v>0.8</v>
      </c>
      <c r="H95" s="70"/>
      <c r="I95" s="70">
        <f t="shared" ref="I95:N95" si="94">I89</f>
        <v>0.088560651785726</v>
      </c>
      <c r="J95" s="70">
        <f t="shared" si="94"/>
        <v>69.5454545454545</v>
      </c>
      <c r="K95" s="70">
        <f t="shared" si="94"/>
        <v>2.27272727272727</v>
      </c>
      <c r="L95" s="70">
        <f t="shared" si="94"/>
        <v>69.5454545454545</v>
      </c>
      <c r="M95" s="70">
        <f t="shared" si="94"/>
        <v>2.27272727272727</v>
      </c>
      <c r="N95" s="70">
        <f t="shared" si="94"/>
        <v>13</v>
      </c>
      <c r="O95" s="74">
        <v>31.54</v>
      </c>
      <c r="R95" s="60">
        <v>15</v>
      </c>
      <c r="U95" s="79" t="s">
        <v>387</v>
      </c>
      <c r="W95" s="79" t="s">
        <v>106</v>
      </c>
      <c r="X95" s="79" t="s">
        <v>107</v>
      </c>
      <c r="AE95" s="40"/>
      <c r="AF95" s="40"/>
      <c r="AG95" s="89" t="s">
        <v>251</v>
      </c>
    </row>
    <row r="96" ht="175" spans="2:37">
      <c r="B96" s="67" t="s">
        <v>388</v>
      </c>
      <c r="C96" s="67" t="s">
        <v>305</v>
      </c>
      <c r="D96" s="67"/>
      <c r="E96" s="67" t="s">
        <v>382</v>
      </c>
      <c r="F96" s="57">
        <v>2021</v>
      </c>
      <c r="G96" s="70">
        <f t="shared" si="91"/>
        <v>0.98</v>
      </c>
      <c r="H96" s="70"/>
      <c r="I96" s="70">
        <f t="shared" ref="I96:N96" si="95">I90</f>
        <v>0.143923107198767</v>
      </c>
      <c r="J96" s="70">
        <f t="shared" si="95"/>
        <v>72.4242424242424</v>
      </c>
      <c r="K96" s="70">
        <f t="shared" si="95"/>
        <v>0.787878787878788</v>
      </c>
      <c r="L96" s="70">
        <f t="shared" si="95"/>
        <v>72.4242424242424</v>
      </c>
      <c r="M96" s="70">
        <f t="shared" si="95"/>
        <v>0.787878787878788</v>
      </c>
      <c r="N96" s="70">
        <f t="shared" si="95"/>
        <v>15</v>
      </c>
      <c r="O96" s="74">
        <v>31.54</v>
      </c>
      <c r="R96" s="60">
        <v>15</v>
      </c>
      <c r="U96" s="79" t="s">
        <v>388</v>
      </c>
      <c r="W96" s="79" t="s">
        <v>106</v>
      </c>
      <c r="X96" s="79" t="s">
        <v>107</v>
      </c>
      <c r="AE96" s="40" t="s">
        <v>389</v>
      </c>
      <c r="AF96" s="87" t="s">
        <v>256</v>
      </c>
      <c r="AG96" s="87"/>
      <c r="AJ96">
        <f>AJ94</f>
        <v>0.64684788903193</v>
      </c>
      <c r="AK96" s="56" t="s">
        <v>249</v>
      </c>
    </row>
    <row r="97" spans="2:33">
      <c r="B97" s="67" t="s">
        <v>390</v>
      </c>
      <c r="C97" s="67" t="s">
        <v>307</v>
      </c>
      <c r="D97" s="67"/>
      <c r="E97" s="67" t="s">
        <v>382</v>
      </c>
      <c r="F97" s="57">
        <v>2021</v>
      </c>
      <c r="G97" s="70">
        <f t="shared" si="91"/>
        <v>0.872</v>
      </c>
      <c r="H97" s="70"/>
      <c r="I97" s="70">
        <f t="shared" ref="I97:N97" si="96">I91</f>
        <v>0.281268478157475</v>
      </c>
      <c r="J97" s="70">
        <f t="shared" si="96"/>
        <v>117.776210379659</v>
      </c>
      <c r="K97" s="70">
        <f t="shared" si="96"/>
        <v>2.72567049808429</v>
      </c>
      <c r="L97" s="70">
        <f t="shared" si="96"/>
        <v>117.776210379659</v>
      </c>
      <c r="M97" s="70">
        <f t="shared" si="96"/>
        <v>2.72567049808429</v>
      </c>
      <c r="N97" s="70">
        <f t="shared" si="96"/>
        <v>12.6</v>
      </c>
      <c r="O97" s="74">
        <v>31.54</v>
      </c>
      <c r="R97" s="60">
        <v>15</v>
      </c>
      <c r="U97" s="79" t="s">
        <v>390</v>
      </c>
      <c r="W97" s="79" t="s">
        <v>106</v>
      </c>
      <c r="X97" s="79" t="s">
        <v>107</v>
      </c>
      <c r="AE97" s="40"/>
      <c r="AF97" s="40"/>
      <c r="AG97" s="89" t="s">
        <v>251</v>
      </c>
    </row>
    <row r="98" ht="175" spans="2:37">
      <c r="B98" s="67" t="s">
        <v>391</v>
      </c>
      <c r="C98" s="67" t="s">
        <v>256</v>
      </c>
      <c r="D98" s="67"/>
      <c r="E98" s="67" t="s">
        <v>392</v>
      </c>
      <c r="F98" s="57">
        <v>2021</v>
      </c>
      <c r="G98" s="70">
        <f t="shared" si="91"/>
        <v>0.98</v>
      </c>
      <c r="H98" s="70"/>
      <c r="I98" s="70">
        <f t="shared" ref="I98:N98" si="97">I92</f>
        <v>0.101179774061464</v>
      </c>
      <c r="J98" s="70">
        <f t="shared" si="97"/>
        <v>260.555555555556</v>
      </c>
      <c r="K98" s="70">
        <f t="shared" si="97"/>
        <v>2.77777777777778</v>
      </c>
      <c r="L98" s="70">
        <f t="shared" si="97"/>
        <v>260.555555555556</v>
      </c>
      <c r="M98" s="70">
        <f t="shared" si="97"/>
        <v>2.77777777777778</v>
      </c>
      <c r="N98" s="70">
        <f t="shared" si="97"/>
        <v>12</v>
      </c>
      <c r="O98" s="74">
        <v>31.54</v>
      </c>
      <c r="R98" s="60">
        <v>15</v>
      </c>
      <c r="U98" s="79" t="s">
        <v>391</v>
      </c>
      <c r="W98" s="79" t="s">
        <v>106</v>
      </c>
      <c r="X98" s="79" t="s">
        <v>107</v>
      </c>
      <c r="AE98" s="40" t="s">
        <v>393</v>
      </c>
      <c r="AF98" s="87" t="s">
        <v>256</v>
      </c>
      <c r="AG98" s="87"/>
      <c r="AJ98">
        <f>AJ96</f>
        <v>0.64684788903193</v>
      </c>
      <c r="AK98" s="56" t="s">
        <v>249</v>
      </c>
    </row>
    <row r="99" spans="2:33">
      <c r="B99" s="67" t="s">
        <v>394</v>
      </c>
      <c r="C99" s="67" t="s">
        <v>299</v>
      </c>
      <c r="D99" s="67"/>
      <c r="E99" s="67" t="s">
        <v>392</v>
      </c>
      <c r="F99" s="57">
        <v>2021</v>
      </c>
      <c r="G99" s="70">
        <f t="shared" ref="G99:G104" si="98">G93</f>
        <v>0.8</v>
      </c>
      <c r="H99" s="70"/>
      <c r="I99" s="70">
        <f t="shared" ref="I99:N99" si="99">I93</f>
        <v>0.24860663198917</v>
      </c>
      <c r="J99" s="70">
        <f t="shared" si="99"/>
        <v>116.810344827586</v>
      </c>
      <c r="K99" s="70">
        <f t="shared" si="99"/>
        <v>5.51724137931035</v>
      </c>
      <c r="L99" s="70">
        <f t="shared" si="99"/>
        <v>116.810344827586</v>
      </c>
      <c r="M99" s="70">
        <f t="shared" si="99"/>
        <v>5.51724137931035</v>
      </c>
      <c r="N99" s="70">
        <f t="shared" si="99"/>
        <v>10</v>
      </c>
      <c r="O99" s="74">
        <v>31.54</v>
      </c>
      <c r="R99" s="60">
        <v>15</v>
      </c>
      <c r="U99" s="79" t="s">
        <v>394</v>
      </c>
      <c r="W99" s="79" t="s">
        <v>106</v>
      </c>
      <c r="X99" s="79" t="s">
        <v>107</v>
      </c>
      <c r="AE99" s="40"/>
      <c r="AF99" s="40"/>
      <c r="AG99" s="89" t="s">
        <v>251</v>
      </c>
    </row>
    <row r="100" ht="175" spans="2:37">
      <c r="B100" s="67" t="s">
        <v>395</v>
      </c>
      <c r="C100" s="67" t="s">
        <v>301</v>
      </c>
      <c r="D100" s="67"/>
      <c r="E100" s="67" t="s">
        <v>392</v>
      </c>
      <c r="F100" s="57">
        <v>2021</v>
      </c>
      <c r="G100" s="70">
        <f t="shared" si="98"/>
        <v>0.8</v>
      </c>
      <c r="H100" s="70"/>
      <c r="I100" s="70">
        <f t="shared" ref="I100:N100" si="100">I94</f>
        <v>0.088560651785726</v>
      </c>
      <c r="J100" s="70">
        <f t="shared" si="100"/>
        <v>69.5454545454545</v>
      </c>
      <c r="K100" s="70">
        <f t="shared" si="100"/>
        <v>2.27272727272727</v>
      </c>
      <c r="L100" s="70">
        <f t="shared" si="100"/>
        <v>69.5454545454545</v>
      </c>
      <c r="M100" s="70">
        <f t="shared" si="100"/>
        <v>2.27272727272727</v>
      </c>
      <c r="N100" s="70">
        <f t="shared" si="100"/>
        <v>13</v>
      </c>
      <c r="O100" s="74">
        <v>31.54</v>
      </c>
      <c r="R100" s="60">
        <v>15</v>
      </c>
      <c r="U100" s="79" t="s">
        <v>395</v>
      </c>
      <c r="W100" s="79" t="s">
        <v>106</v>
      </c>
      <c r="X100" s="79" t="s">
        <v>107</v>
      </c>
      <c r="AE100" s="40" t="s">
        <v>396</v>
      </c>
      <c r="AF100" s="87" t="s">
        <v>256</v>
      </c>
      <c r="AG100" s="87"/>
      <c r="AJ100">
        <f>AJ98</f>
        <v>0.64684788903193</v>
      </c>
      <c r="AK100" s="56" t="s">
        <v>249</v>
      </c>
    </row>
    <row r="101" spans="2:33">
      <c r="B101" s="67" t="s">
        <v>397</v>
      </c>
      <c r="C101" s="67" t="s">
        <v>303</v>
      </c>
      <c r="D101" s="67"/>
      <c r="E101" s="67" t="s">
        <v>392</v>
      </c>
      <c r="F101" s="57">
        <v>2021</v>
      </c>
      <c r="G101" s="70">
        <f t="shared" si="98"/>
        <v>0.8</v>
      </c>
      <c r="H101" s="70"/>
      <c r="I101" s="70">
        <f t="shared" ref="I101:N101" si="101">I95</f>
        <v>0.088560651785726</v>
      </c>
      <c r="J101" s="70">
        <f t="shared" si="101"/>
        <v>69.5454545454545</v>
      </c>
      <c r="K101" s="70">
        <f t="shared" si="101"/>
        <v>2.27272727272727</v>
      </c>
      <c r="L101" s="70">
        <f t="shared" si="101"/>
        <v>69.5454545454545</v>
      </c>
      <c r="M101" s="70">
        <f t="shared" si="101"/>
        <v>2.27272727272727</v>
      </c>
      <c r="N101" s="70">
        <f t="shared" si="101"/>
        <v>13</v>
      </c>
      <c r="O101" s="74">
        <v>31.54</v>
      </c>
      <c r="R101" s="60">
        <v>15</v>
      </c>
      <c r="U101" s="79" t="s">
        <v>397</v>
      </c>
      <c r="W101" s="79" t="s">
        <v>106</v>
      </c>
      <c r="X101" s="79" t="s">
        <v>107</v>
      </c>
      <c r="AE101" s="40"/>
      <c r="AF101" s="40"/>
      <c r="AG101" s="89" t="s">
        <v>251</v>
      </c>
    </row>
    <row r="102" ht="175" spans="2:37">
      <c r="B102" s="67" t="s">
        <v>398</v>
      </c>
      <c r="C102" s="67" t="s">
        <v>305</v>
      </c>
      <c r="D102" s="67"/>
      <c r="E102" s="67" t="s">
        <v>392</v>
      </c>
      <c r="F102" s="57">
        <v>2021</v>
      </c>
      <c r="G102" s="70">
        <f t="shared" si="98"/>
        <v>0.98</v>
      </c>
      <c r="H102" s="70"/>
      <c r="I102" s="70">
        <f t="shared" ref="I102:N102" si="102">I96</f>
        <v>0.143923107198767</v>
      </c>
      <c r="J102" s="70">
        <f t="shared" si="102"/>
        <v>72.4242424242424</v>
      </c>
      <c r="K102" s="70">
        <f t="shared" si="102"/>
        <v>0.787878787878788</v>
      </c>
      <c r="L102" s="70">
        <f t="shared" si="102"/>
        <v>72.4242424242424</v>
      </c>
      <c r="M102" s="70">
        <f t="shared" si="102"/>
        <v>0.787878787878788</v>
      </c>
      <c r="N102" s="70">
        <f t="shared" si="102"/>
        <v>15</v>
      </c>
      <c r="O102" s="74">
        <v>31.54</v>
      </c>
      <c r="R102" s="60">
        <v>15</v>
      </c>
      <c r="U102" s="79" t="s">
        <v>398</v>
      </c>
      <c r="W102" s="79" t="s">
        <v>106</v>
      </c>
      <c r="X102" s="79" t="s">
        <v>107</v>
      </c>
      <c r="AE102" s="40" t="s">
        <v>399</v>
      </c>
      <c r="AF102" s="87" t="s">
        <v>256</v>
      </c>
      <c r="AG102" s="87"/>
      <c r="AJ102">
        <f>AJ100</f>
        <v>0.64684788903193</v>
      </c>
      <c r="AK102" s="56" t="s">
        <v>249</v>
      </c>
    </row>
    <row r="103" spans="2:33">
      <c r="B103" s="67" t="s">
        <v>400</v>
      </c>
      <c r="C103" s="67" t="s">
        <v>307</v>
      </c>
      <c r="D103" s="67"/>
      <c r="E103" s="67" t="s">
        <v>392</v>
      </c>
      <c r="F103" s="57">
        <v>2021</v>
      </c>
      <c r="G103" s="70">
        <f t="shared" si="98"/>
        <v>0.872</v>
      </c>
      <c r="H103" s="70"/>
      <c r="I103" s="70">
        <f t="shared" ref="I103:N103" si="103">I97</f>
        <v>0.281268478157475</v>
      </c>
      <c r="J103" s="70">
        <f t="shared" si="103"/>
        <v>117.776210379659</v>
      </c>
      <c r="K103" s="70">
        <f t="shared" si="103"/>
        <v>2.72567049808429</v>
      </c>
      <c r="L103" s="70">
        <f t="shared" si="103"/>
        <v>117.776210379659</v>
      </c>
      <c r="M103" s="70">
        <f t="shared" si="103"/>
        <v>2.72567049808429</v>
      </c>
      <c r="N103" s="70">
        <f t="shared" si="103"/>
        <v>12.6</v>
      </c>
      <c r="O103" s="74">
        <v>31.54</v>
      </c>
      <c r="R103" s="60">
        <v>15</v>
      </c>
      <c r="U103" s="79" t="s">
        <v>400</v>
      </c>
      <c r="W103" s="79" t="s">
        <v>106</v>
      </c>
      <c r="X103" s="79" t="s">
        <v>107</v>
      </c>
      <c r="AE103" s="40"/>
      <c r="AF103" s="40"/>
      <c r="AG103" s="89" t="s">
        <v>251</v>
      </c>
    </row>
    <row r="104" ht="175" spans="2:37">
      <c r="B104" s="67" t="s">
        <v>401</v>
      </c>
      <c r="C104" s="67" t="s">
        <v>256</v>
      </c>
      <c r="D104" s="67"/>
      <c r="E104" s="67" t="s">
        <v>402</v>
      </c>
      <c r="F104" s="57">
        <v>2021</v>
      </c>
      <c r="G104" s="70">
        <f t="shared" si="98"/>
        <v>0.98</v>
      </c>
      <c r="H104" s="70"/>
      <c r="I104" s="70">
        <f t="shared" ref="I104:N104" si="104">I98</f>
        <v>0.101179774061464</v>
      </c>
      <c r="J104" s="70">
        <f t="shared" si="104"/>
        <v>260.555555555556</v>
      </c>
      <c r="K104" s="70">
        <f t="shared" si="104"/>
        <v>2.77777777777778</v>
      </c>
      <c r="L104" s="70">
        <f t="shared" si="104"/>
        <v>260.555555555556</v>
      </c>
      <c r="M104" s="70">
        <f t="shared" si="104"/>
        <v>2.77777777777778</v>
      </c>
      <c r="N104" s="70">
        <f t="shared" si="104"/>
        <v>12</v>
      </c>
      <c r="O104" s="74">
        <v>31.54</v>
      </c>
      <c r="R104" s="60">
        <v>15</v>
      </c>
      <c r="U104" s="79" t="s">
        <v>401</v>
      </c>
      <c r="W104" s="79" t="s">
        <v>106</v>
      </c>
      <c r="X104" s="79" t="s">
        <v>107</v>
      </c>
      <c r="AE104" s="40" t="s">
        <v>403</v>
      </c>
      <c r="AF104" s="87" t="s">
        <v>256</v>
      </c>
      <c r="AG104" s="87"/>
      <c r="AJ104">
        <f>AJ102</f>
        <v>0.64684788903193</v>
      </c>
      <c r="AK104" s="56" t="s">
        <v>249</v>
      </c>
    </row>
    <row r="105" spans="2:33">
      <c r="B105" s="67" t="s">
        <v>404</v>
      </c>
      <c r="C105" s="67" t="s">
        <v>299</v>
      </c>
      <c r="D105" s="67"/>
      <c r="E105" s="67" t="s">
        <v>402</v>
      </c>
      <c r="F105" s="57">
        <v>2021</v>
      </c>
      <c r="G105" s="70">
        <f t="shared" ref="G105:G110" si="105">G99</f>
        <v>0.8</v>
      </c>
      <c r="H105" s="70"/>
      <c r="I105" s="70">
        <f t="shared" ref="I105:N105" si="106">I99</f>
        <v>0.24860663198917</v>
      </c>
      <c r="J105" s="70">
        <f t="shared" si="106"/>
        <v>116.810344827586</v>
      </c>
      <c r="K105" s="70">
        <f t="shared" si="106"/>
        <v>5.51724137931035</v>
      </c>
      <c r="L105" s="70">
        <f t="shared" si="106"/>
        <v>116.810344827586</v>
      </c>
      <c r="M105" s="70">
        <f t="shared" si="106"/>
        <v>5.51724137931035</v>
      </c>
      <c r="N105" s="70">
        <f t="shared" si="106"/>
        <v>10</v>
      </c>
      <c r="O105" s="74">
        <v>31.54</v>
      </c>
      <c r="R105" s="60">
        <v>15</v>
      </c>
      <c r="U105" s="79" t="s">
        <v>404</v>
      </c>
      <c r="W105" s="79" t="s">
        <v>106</v>
      </c>
      <c r="X105" s="79" t="s">
        <v>107</v>
      </c>
      <c r="AE105" s="40"/>
      <c r="AF105" s="40"/>
      <c r="AG105" s="89" t="s">
        <v>251</v>
      </c>
    </row>
    <row r="106" ht="137.5" spans="2:37">
      <c r="B106" s="67" t="s">
        <v>405</v>
      </c>
      <c r="C106" s="67" t="s">
        <v>301</v>
      </c>
      <c r="D106" s="67"/>
      <c r="E106" s="67" t="s">
        <v>402</v>
      </c>
      <c r="F106" s="57">
        <v>2021</v>
      </c>
      <c r="G106" s="70">
        <f t="shared" si="105"/>
        <v>0.8</v>
      </c>
      <c r="H106" s="70"/>
      <c r="I106" s="70">
        <f t="shared" ref="I106:N106" si="107">I100</f>
        <v>0.088560651785726</v>
      </c>
      <c r="J106" s="70">
        <f t="shared" si="107"/>
        <v>69.5454545454545</v>
      </c>
      <c r="K106" s="70">
        <f t="shared" si="107"/>
        <v>2.27272727272727</v>
      </c>
      <c r="L106" s="70">
        <f t="shared" si="107"/>
        <v>69.5454545454545</v>
      </c>
      <c r="M106" s="70">
        <f t="shared" si="107"/>
        <v>2.27272727272727</v>
      </c>
      <c r="N106" s="70">
        <f t="shared" si="107"/>
        <v>13</v>
      </c>
      <c r="O106" s="74">
        <v>31.54</v>
      </c>
      <c r="R106" s="60">
        <v>15</v>
      </c>
      <c r="U106" s="79" t="s">
        <v>405</v>
      </c>
      <c r="W106" s="79" t="s">
        <v>106</v>
      </c>
      <c r="X106" s="79" t="s">
        <v>107</v>
      </c>
      <c r="AE106" t="s">
        <v>406</v>
      </c>
      <c r="AF106" t="s">
        <v>256</v>
      </c>
      <c r="AH106" t="s">
        <v>407</v>
      </c>
      <c r="AJ106">
        <f>AVERAGE(AJ82,AJ83)</f>
        <v>0.0536638913770539</v>
      </c>
      <c r="AK106" s="56" t="s">
        <v>250</v>
      </c>
    </row>
    <row r="107" spans="2:33">
      <c r="B107" s="67" t="s">
        <v>408</v>
      </c>
      <c r="C107" s="67" t="s">
        <v>303</v>
      </c>
      <c r="D107" s="67"/>
      <c r="E107" s="67" t="s">
        <v>402</v>
      </c>
      <c r="F107" s="57">
        <v>2021</v>
      </c>
      <c r="G107" s="70">
        <f t="shared" si="105"/>
        <v>0.8</v>
      </c>
      <c r="H107" s="70"/>
      <c r="I107" s="70">
        <f t="shared" ref="I107:N107" si="108">I101</f>
        <v>0.088560651785726</v>
      </c>
      <c r="J107" s="70">
        <f t="shared" si="108"/>
        <v>69.5454545454545</v>
      </c>
      <c r="K107" s="70">
        <f t="shared" si="108"/>
        <v>2.27272727272727</v>
      </c>
      <c r="L107" s="70">
        <f t="shared" si="108"/>
        <v>69.5454545454545</v>
      </c>
      <c r="M107" s="70">
        <f t="shared" si="108"/>
        <v>2.27272727272727</v>
      </c>
      <c r="N107" s="70">
        <f t="shared" si="108"/>
        <v>13</v>
      </c>
      <c r="O107" s="74">
        <v>31.54</v>
      </c>
      <c r="R107" s="60">
        <v>15</v>
      </c>
      <c r="U107" s="79" t="s">
        <v>408</v>
      </c>
      <c r="W107" s="79" t="s">
        <v>106</v>
      </c>
      <c r="X107" s="79" t="s">
        <v>107</v>
      </c>
      <c r="AG107" t="s">
        <v>251</v>
      </c>
    </row>
    <row r="108" ht="137.5" spans="2:37">
      <c r="B108" s="67" t="s">
        <v>409</v>
      </c>
      <c r="C108" s="67" t="s">
        <v>305</v>
      </c>
      <c r="D108" s="67"/>
      <c r="E108" s="67" t="s">
        <v>402</v>
      </c>
      <c r="F108" s="57">
        <v>2021</v>
      </c>
      <c r="G108" s="70">
        <f t="shared" si="105"/>
        <v>0.98</v>
      </c>
      <c r="H108" s="70"/>
      <c r="I108" s="70">
        <f t="shared" ref="I108:N108" si="109">I102</f>
        <v>0.143923107198767</v>
      </c>
      <c r="J108" s="70">
        <f t="shared" si="109"/>
        <v>72.4242424242424</v>
      </c>
      <c r="K108" s="70">
        <f t="shared" si="109"/>
        <v>0.787878787878788</v>
      </c>
      <c r="L108" s="70">
        <f t="shared" si="109"/>
        <v>72.4242424242424</v>
      </c>
      <c r="M108" s="70">
        <f t="shared" si="109"/>
        <v>0.787878787878788</v>
      </c>
      <c r="N108" s="70">
        <f t="shared" si="109"/>
        <v>15</v>
      </c>
      <c r="O108" s="74">
        <v>31.54</v>
      </c>
      <c r="R108" s="60">
        <v>15</v>
      </c>
      <c r="U108" s="79" t="s">
        <v>409</v>
      </c>
      <c r="W108" s="79" t="s">
        <v>106</v>
      </c>
      <c r="X108" s="79" t="s">
        <v>107</v>
      </c>
      <c r="AE108" t="s">
        <v>410</v>
      </c>
      <c r="AF108" t="s">
        <v>256</v>
      </c>
      <c r="AH108" t="s">
        <v>411</v>
      </c>
      <c r="AJ108">
        <f t="shared" ref="AJ108:AJ112" si="110">AJ106</f>
        <v>0.0536638913770539</v>
      </c>
      <c r="AK108" s="56" t="s">
        <v>250</v>
      </c>
    </row>
    <row r="109" spans="2:33">
      <c r="B109" s="67" t="s">
        <v>412</v>
      </c>
      <c r="C109" s="67" t="s">
        <v>307</v>
      </c>
      <c r="D109" s="67"/>
      <c r="E109" s="67" t="s">
        <v>402</v>
      </c>
      <c r="F109" s="57">
        <v>2021</v>
      </c>
      <c r="G109" s="70">
        <f t="shared" si="105"/>
        <v>0.872</v>
      </c>
      <c r="H109" s="70"/>
      <c r="I109" s="70">
        <f t="shared" ref="I109:N109" si="111">I103</f>
        <v>0.281268478157475</v>
      </c>
      <c r="J109" s="70">
        <f t="shared" si="111"/>
        <v>117.776210379659</v>
      </c>
      <c r="K109" s="70">
        <f t="shared" si="111"/>
        <v>2.72567049808429</v>
      </c>
      <c r="L109" s="70">
        <f t="shared" si="111"/>
        <v>117.776210379659</v>
      </c>
      <c r="M109" s="70">
        <f t="shared" si="111"/>
        <v>2.72567049808429</v>
      </c>
      <c r="N109" s="70">
        <f t="shared" si="111"/>
        <v>12.6</v>
      </c>
      <c r="O109" s="74">
        <v>31.54</v>
      </c>
      <c r="R109" s="60">
        <v>15</v>
      </c>
      <c r="U109" s="79" t="s">
        <v>412</v>
      </c>
      <c r="W109" s="79" t="s">
        <v>106</v>
      </c>
      <c r="X109" s="79" t="s">
        <v>107</v>
      </c>
      <c r="AG109" t="s">
        <v>251</v>
      </c>
    </row>
    <row r="110" ht="137.5" spans="2:37">
      <c r="B110" s="67" t="s">
        <v>413</v>
      </c>
      <c r="C110" s="67" t="s">
        <v>256</v>
      </c>
      <c r="D110" s="67"/>
      <c r="E110" s="67" t="s">
        <v>414</v>
      </c>
      <c r="F110" s="57">
        <v>2021</v>
      </c>
      <c r="G110" s="70">
        <f t="shared" si="105"/>
        <v>0.98</v>
      </c>
      <c r="H110" s="70"/>
      <c r="I110" s="70">
        <f t="shared" ref="I110:N110" si="112">I104</f>
        <v>0.101179774061464</v>
      </c>
      <c r="J110" s="70">
        <f t="shared" si="112"/>
        <v>260.555555555556</v>
      </c>
      <c r="K110" s="70">
        <f t="shared" si="112"/>
        <v>2.77777777777778</v>
      </c>
      <c r="L110" s="70">
        <f t="shared" si="112"/>
        <v>260.555555555556</v>
      </c>
      <c r="M110" s="70">
        <f t="shared" si="112"/>
        <v>2.77777777777778</v>
      </c>
      <c r="N110" s="70">
        <f t="shared" si="112"/>
        <v>12</v>
      </c>
      <c r="O110" s="74">
        <v>31.54</v>
      </c>
      <c r="R110" s="60">
        <v>15</v>
      </c>
      <c r="U110" s="79" t="s">
        <v>413</v>
      </c>
      <c r="W110" s="79" t="s">
        <v>106</v>
      </c>
      <c r="X110" s="79" t="s">
        <v>107</v>
      </c>
      <c r="AE110" t="s">
        <v>415</v>
      </c>
      <c r="AF110" t="s">
        <v>256</v>
      </c>
      <c r="AH110" t="s">
        <v>416</v>
      </c>
      <c r="AJ110">
        <f t="shared" si="110"/>
        <v>0.0536638913770539</v>
      </c>
      <c r="AK110" s="56" t="s">
        <v>250</v>
      </c>
    </row>
    <row r="111" spans="2:33">
      <c r="B111" s="67" t="s">
        <v>417</v>
      </c>
      <c r="C111" s="67" t="s">
        <v>299</v>
      </c>
      <c r="D111" s="67"/>
      <c r="E111" s="67" t="s">
        <v>414</v>
      </c>
      <c r="F111" s="57">
        <v>2021</v>
      </c>
      <c r="G111" s="70">
        <f t="shared" ref="G111:G116" si="113">G105</f>
        <v>0.8</v>
      </c>
      <c r="H111" s="70"/>
      <c r="I111" s="70">
        <f t="shared" ref="I111:N111" si="114">I105</f>
        <v>0.24860663198917</v>
      </c>
      <c r="J111" s="70">
        <f t="shared" si="114"/>
        <v>116.810344827586</v>
      </c>
      <c r="K111" s="70">
        <f t="shared" si="114"/>
        <v>5.51724137931035</v>
      </c>
      <c r="L111" s="70">
        <f t="shared" si="114"/>
        <v>116.810344827586</v>
      </c>
      <c r="M111" s="70">
        <f t="shared" si="114"/>
        <v>5.51724137931035</v>
      </c>
      <c r="N111" s="70">
        <f t="shared" si="114"/>
        <v>10</v>
      </c>
      <c r="O111" s="74">
        <v>31.54</v>
      </c>
      <c r="R111" s="60">
        <v>15</v>
      </c>
      <c r="U111" s="79" t="s">
        <v>417</v>
      </c>
      <c r="W111" s="79" t="s">
        <v>106</v>
      </c>
      <c r="X111" s="79" t="s">
        <v>107</v>
      </c>
      <c r="AG111" t="s">
        <v>251</v>
      </c>
    </row>
    <row r="112" ht="137.5" spans="2:37">
      <c r="B112" s="67" t="s">
        <v>418</v>
      </c>
      <c r="C112" s="67" t="s">
        <v>301</v>
      </c>
      <c r="D112" s="67"/>
      <c r="E112" s="67" t="s">
        <v>414</v>
      </c>
      <c r="F112" s="57">
        <v>2021</v>
      </c>
      <c r="G112" s="70">
        <f t="shared" si="113"/>
        <v>0.8</v>
      </c>
      <c r="H112" s="70"/>
      <c r="I112" s="70">
        <f t="shared" ref="I112:N112" si="115">I106</f>
        <v>0.088560651785726</v>
      </c>
      <c r="J112" s="70">
        <f t="shared" si="115"/>
        <v>69.5454545454545</v>
      </c>
      <c r="K112" s="70">
        <f t="shared" si="115"/>
        <v>2.27272727272727</v>
      </c>
      <c r="L112" s="70">
        <f t="shared" si="115"/>
        <v>69.5454545454545</v>
      </c>
      <c r="M112" s="70">
        <f t="shared" si="115"/>
        <v>2.27272727272727</v>
      </c>
      <c r="N112" s="70">
        <f t="shared" si="115"/>
        <v>13</v>
      </c>
      <c r="O112" s="74">
        <v>31.54</v>
      </c>
      <c r="R112" s="60">
        <v>15</v>
      </c>
      <c r="U112" s="79" t="s">
        <v>418</v>
      </c>
      <c r="W112" s="79" t="s">
        <v>106</v>
      </c>
      <c r="X112" s="79" t="s">
        <v>107</v>
      </c>
      <c r="AE112" t="s">
        <v>419</v>
      </c>
      <c r="AF112" t="s">
        <v>256</v>
      </c>
      <c r="AH112" t="s">
        <v>420</v>
      </c>
      <c r="AJ112">
        <f t="shared" si="110"/>
        <v>0.0536638913770539</v>
      </c>
      <c r="AK112" s="56" t="s">
        <v>250</v>
      </c>
    </row>
    <row r="113" spans="2:33">
      <c r="B113" s="67" t="s">
        <v>421</v>
      </c>
      <c r="C113" s="67" t="s">
        <v>303</v>
      </c>
      <c r="D113" s="67"/>
      <c r="E113" s="67" t="s">
        <v>414</v>
      </c>
      <c r="F113" s="57">
        <v>2021</v>
      </c>
      <c r="G113" s="70">
        <f t="shared" si="113"/>
        <v>0.8</v>
      </c>
      <c r="H113" s="70"/>
      <c r="I113" s="70">
        <f t="shared" ref="I113:N113" si="116">I107</f>
        <v>0.088560651785726</v>
      </c>
      <c r="J113" s="70">
        <f t="shared" si="116"/>
        <v>69.5454545454545</v>
      </c>
      <c r="K113" s="70">
        <f t="shared" si="116"/>
        <v>2.27272727272727</v>
      </c>
      <c r="L113" s="70">
        <f t="shared" si="116"/>
        <v>69.5454545454545</v>
      </c>
      <c r="M113" s="70">
        <f t="shared" si="116"/>
        <v>2.27272727272727</v>
      </c>
      <c r="N113" s="70">
        <f t="shared" si="116"/>
        <v>13</v>
      </c>
      <c r="O113" s="74">
        <v>31.54</v>
      </c>
      <c r="R113" s="60">
        <v>15</v>
      </c>
      <c r="U113" s="79" t="s">
        <v>421</v>
      </c>
      <c r="W113" s="79" t="s">
        <v>106</v>
      </c>
      <c r="X113" s="79" t="s">
        <v>107</v>
      </c>
      <c r="AG113" t="s">
        <v>251</v>
      </c>
    </row>
    <row r="114" ht="137.5" spans="2:37">
      <c r="B114" s="67" t="s">
        <v>422</v>
      </c>
      <c r="C114" s="67" t="s">
        <v>305</v>
      </c>
      <c r="D114" s="67"/>
      <c r="E114" s="67" t="s">
        <v>414</v>
      </c>
      <c r="F114" s="57">
        <v>2021</v>
      </c>
      <c r="G114" s="70">
        <f t="shared" si="113"/>
        <v>0.98</v>
      </c>
      <c r="H114" s="70"/>
      <c r="I114" s="70">
        <f t="shared" ref="I114:N114" si="117">I108</f>
        <v>0.143923107198767</v>
      </c>
      <c r="J114" s="70">
        <f t="shared" si="117"/>
        <v>72.4242424242424</v>
      </c>
      <c r="K114" s="70">
        <f t="shared" si="117"/>
        <v>0.787878787878788</v>
      </c>
      <c r="L114" s="70">
        <f t="shared" si="117"/>
        <v>72.4242424242424</v>
      </c>
      <c r="M114" s="70">
        <f t="shared" si="117"/>
        <v>0.787878787878788</v>
      </c>
      <c r="N114" s="70">
        <f t="shared" si="117"/>
        <v>15</v>
      </c>
      <c r="O114" s="74">
        <v>31.54</v>
      </c>
      <c r="R114" s="60">
        <v>15</v>
      </c>
      <c r="U114" s="79" t="s">
        <v>422</v>
      </c>
      <c r="W114" s="79" t="s">
        <v>106</v>
      </c>
      <c r="X114" s="79" t="s">
        <v>107</v>
      </c>
      <c r="AE114" t="s">
        <v>423</v>
      </c>
      <c r="AF114" t="s">
        <v>256</v>
      </c>
      <c r="AH114" t="s">
        <v>424</v>
      </c>
      <c r="AJ114">
        <f t="shared" ref="AJ114:AJ118" si="118">AJ112</f>
        <v>0.0536638913770539</v>
      </c>
      <c r="AK114" s="56" t="s">
        <v>250</v>
      </c>
    </row>
    <row r="115" spans="2:33">
      <c r="B115" s="67" t="s">
        <v>425</v>
      </c>
      <c r="C115" s="67" t="s">
        <v>307</v>
      </c>
      <c r="D115" s="67"/>
      <c r="E115" s="67" t="s">
        <v>414</v>
      </c>
      <c r="F115" s="57">
        <v>2021</v>
      </c>
      <c r="G115" s="70">
        <f t="shared" si="113"/>
        <v>0.872</v>
      </c>
      <c r="H115" s="70"/>
      <c r="I115" s="70">
        <f t="shared" ref="I115:N115" si="119">I109</f>
        <v>0.281268478157475</v>
      </c>
      <c r="J115" s="70">
        <f t="shared" si="119"/>
        <v>117.776210379659</v>
      </c>
      <c r="K115" s="70">
        <f t="shared" si="119"/>
        <v>2.72567049808429</v>
      </c>
      <c r="L115" s="70">
        <f t="shared" si="119"/>
        <v>117.776210379659</v>
      </c>
      <c r="M115" s="70">
        <f t="shared" si="119"/>
        <v>2.72567049808429</v>
      </c>
      <c r="N115" s="70">
        <f t="shared" si="119"/>
        <v>12.6</v>
      </c>
      <c r="O115" s="74">
        <v>31.54</v>
      </c>
      <c r="R115" s="60">
        <v>15</v>
      </c>
      <c r="U115" s="79" t="s">
        <v>425</v>
      </c>
      <c r="W115" s="79" t="s">
        <v>106</v>
      </c>
      <c r="X115" s="79" t="s">
        <v>107</v>
      </c>
      <c r="AG115" t="s">
        <v>251</v>
      </c>
    </row>
    <row r="116" ht="137.5" spans="2:37">
      <c r="B116" s="67" t="s">
        <v>426</v>
      </c>
      <c r="C116" s="67" t="s">
        <v>256</v>
      </c>
      <c r="D116" s="67"/>
      <c r="E116" s="67" t="s">
        <v>427</v>
      </c>
      <c r="F116" s="57">
        <v>2021</v>
      </c>
      <c r="G116" s="70">
        <f t="shared" si="113"/>
        <v>0.98</v>
      </c>
      <c r="H116" s="70"/>
      <c r="I116" s="70">
        <f t="shared" ref="I116:N116" si="120">I110</f>
        <v>0.101179774061464</v>
      </c>
      <c r="J116" s="70">
        <f t="shared" si="120"/>
        <v>260.555555555556</v>
      </c>
      <c r="K116" s="70">
        <f t="shared" si="120"/>
        <v>2.77777777777778</v>
      </c>
      <c r="L116" s="70">
        <f t="shared" si="120"/>
        <v>260.555555555556</v>
      </c>
      <c r="M116" s="70">
        <f t="shared" si="120"/>
        <v>2.77777777777778</v>
      </c>
      <c r="N116" s="70">
        <f t="shared" si="120"/>
        <v>12</v>
      </c>
      <c r="O116" s="74">
        <v>31.54</v>
      </c>
      <c r="R116" s="60">
        <v>15</v>
      </c>
      <c r="U116" s="79" t="s">
        <v>426</v>
      </c>
      <c r="W116" s="79" t="s">
        <v>106</v>
      </c>
      <c r="X116" s="79" t="s">
        <v>107</v>
      </c>
      <c r="AE116" t="s">
        <v>428</v>
      </c>
      <c r="AF116" t="s">
        <v>256</v>
      </c>
      <c r="AH116" t="s">
        <v>429</v>
      </c>
      <c r="AJ116">
        <f t="shared" si="118"/>
        <v>0.0536638913770539</v>
      </c>
      <c r="AK116" s="56" t="s">
        <v>250</v>
      </c>
    </row>
    <row r="117" spans="2:33">
      <c r="B117" s="67" t="s">
        <v>430</v>
      </c>
      <c r="C117" s="67" t="s">
        <v>299</v>
      </c>
      <c r="D117" s="67"/>
      <c r="E117" s="67" t="s">
        <v>427</v>
      </c>
      <c r="F117" s="57">
        <v>2021</v>
      </c>
      <c r="G117" s="70">
        <f t="shared" ref="G117:G122" si="121">G111</f>
        <v>0.8</v>
      </c>
      <c r="H117" s="70"/>
      <c r="I117" s="70">
        <f t="shared" ref="I117:N117" si="122">I111</f>
        <v>0.24860663198917</v>
      </c>
      <c r="J117" s="70">
        <f t="shared" si="122"/>
        <v>116.810344827586</v>
      </c>
      <c r="K117" s="70">
        <f t="shared" si="122"/>
        <v>5.51724137931035</v>
      </c>
      <c r="L117" s="70">
        <f t="shared" si="122"/>
        <v>116.810344827586</v>
      </c>
      <c r="M117" s="70">
        <f t="shared" si="122"/>
        <v>5.51724137931035</v>
      </c>
      <c r="N117" s="70">
        <f t="shared" si="122"/>
        <v>10</v>
      </c>
      <c r="O117" s="74">
        <v>31.54</v>
      </c>
      <c r="R117" s="60">
        <v>15</v>
      </c>
      <c r="U117" s="79" t="s">
        <v>430</v>
      </c>
      <c r="W117" s="79" t="s">
        <v>106</v>
      </c>
      <c r="X117" s="79" t="s">
        <v>107</v>
      </c>
      <c r="AG117" t="s">
        <v>251</v>
      </c>
    </row>
    <row r="118" ht="137.5" spans="2:37">
      <c r="B118" s="67" t="s">
        <v>431</v>
      </c>
      <c r="C118" s="67" t="s">
        <v>301</v>
      </c>
      <c r="D118" s="67"/>
      <c r="E118" s="67" t="s">
        <v>427</v>
      </c>
      <c r="F118" s="57">
        <v>2021</v>
      </c>
      <c r="G118" s="70">
        <f t="shared" si="121"/>
        <v>0.8</v>
      </c>
      <c r="H118" s="70"/>
      <c r="I118" s="70">
        <f t="shared" ref="I118:N118" si="123">I112</f>
        <v>0.088560651785726</v>
      </c>
      <c r="J118" s="70">
        <f t="shared" si="123"/>
        <v>69.5454545454545</v>
      </c>
      <c r="K118" s="70">
        <f t="shared" si="123"/>
        <v>2.27272727272727</v>
      </c>
      <c r="L118" s="70">
        <f t="shared" si="123"/>
        <v>69.5454545454545</v>
      </c>
      <c r="M118" s="70">
        <f t="shared" si="123"/>
        <v>2.27272727272727</v>
      </c>
      <c r="N118" s="70">
        <f t="shared" si="123"/>
        <v>13</v>
      </c>
      <c r="O118" s="74">
        <v>31.54</v>
      </c>
      <c r="R118" s="60">
        <v>15</v>
      </c>
      <c r="U118" s="79" t="s">
        <v>431</v>
      </c>
      <c r="W118" s="79" t="s">
        <v>106</v>
      </c>
      <c r="X118" s="79" t="s">
        <v>107</v>
      </c>
      <c r="AE118" t="s">
        <v>432</v>
      </c>
      <c r="AF118" t="s">
        <v>256</v>
      </c>
      <c r="AH118" t="s">
        <v>433</v>
      </c>
      <c r="AJ118">
        <f t="shared" si="118"/>
        <v>0.0536638913770539</v>
      </c>
      <c r="AK118" s="56" t="s">
        <v>250</v>
      </c>
    </row>
    <row r="119" spans="2:33">
      <c r="B119" s="67" t="s">
        <v>434</v>
      </c>
      <c r="C119" s="67" t="s">
        <v>303</v>
      </c>
      <c r="D119" s="67"/>
      <c r="E119" s="67" t="s">
        <v>427</v>
      </c>
      <c r="F119" s="57">
        <v>2021</v>
      </c>
      <c r="G119" s="70">
        <f t="shared" si="121"/>
        <v>0.8</v>
      </c>
      <c r="H119" s="70"/>
      <c r="I119" s="70">
        <f t="shared" ref="I119:N119" si="124">I113</f>
        <v>0.088560651785726</v>
      </c>
      <c r="J119" s="70">
        <f t="shared" si="124"/>
        <v>69.5454545454545</v>
      </c>
      <c r="K119" s="70">
        <f t="shared" si="124"/>
        <v>2.27272727272727</v>
      </c>
      <c r="L119" s="70">
        <f t="shared" si="124"/>
        <v>69.5454545454545</v>
      </c>
      <c r="M119" s="70">
        <f t="shared" si="124"/>
        <v>2.27272727272727</v>
      </c>
      <c r="N119" s="70">
        <f t="shared" si="124"/>
        <v>13</v>
      </c>
      <c r="O119" s="74">
        <v>31.54</v>
      </c>
      <c r="R119" s="60">
        <v>15</v>
      </c>
      <c r="U119" s="79" t="s">
        <v>434</v>
      </c>
      <c r="W119" s="79" t="s">
        <v>106</v>
      </c>
      <c r="X119" s="79" t="s">
        <v>107</v>
      </c>
      <c r="AG119" t="s">
        <v>251</v>
      </c>
    </row>
    <row r="120" ht="137.5" spans="2:37">
      <c r="B120" s="67" t="s">
        <v>435</v>
      </c>
      <c r="C120" s="67" t="s">
        <v>305</v>
      </c>
      <c r="D120" s="67"/>
      <c r="E120" s="67" t="s">
        <v>427</v>
      </c>
      <c r="F120" s="57">
        <v>2021</v>
      </c>
      <c r="G120" s="70">
        <f t="shared" si="121"/>
        <v>0.98</v>
      </c>
      <c r="H120" s="70"/>
      <c r="I120" s="70">
        <f t="shared" ref="I120:N120" si="125">I114</f>
        <v>0.143923107198767</v>
      </c>
      <c r="J120" s="70">
        <f t="shared" si="125"/>
        <v>72.4242424242424</v>
      </c>
      <c r="K120" s="70">
        <f t="shared" si="125"/>
        <v>0.787878787878788</v>
      </c>
      <c r="L120" s="70">
        <f t="shared" si="125"/>
        <v>72.4242424242424</v>
      </c>
      <c r="M120" s="70">
        <f t="shared" si="125"/>
        <v>0.787878787878788</v>
      </c>
      <c r="N120" s="70">
        <f t="shared" si="125"/>
        <v>15</v>
      </c>
      <c r="O120" s="74">
        <v>31.54</v>
      </c>
      <c r="R120" s="60">
        <v>15</v>
      </c>
      <c r="U120" s="79" t="s">
        <v>435</v>
      </c>
      <c r="W120" s="79" t="s">
        <v>106</v>
      </c>
      <c r="X120" s="79" t="s">
        <v>107</v>
      </c>
      <c r="AE120" t="s">
        <v>436</v>
      </c>
      <c r="AF120" t="s">
        <v>256</v>
      </c>
      <c r="AH120" t="s">
        <v>437</v>
      </c>
      <c r="AJ120">
        <f t="shared" ref="AJ120:AJ124" si="126">AJ118</f>
        <v>0.0536638913770539</v>
      </c>
      <c r="AK120" s="56" t="s">
        <v>250</v>
      </c>
    </row>
    <row r="121" spans="2:33">
      <c r="B121" s="67" t="s">
        <v>438</v>
      </c>
      <c r="C121" s="67" t="s">
        <v>307</v>
      </c>
      <c r="D121" s="67"/>
      <c r="E121" s="67" t="s">
        <v>427</v>
      </c>
      <c r="F121" s="57">
        <v>2021</v>
      </c>
      <c r="G121" s="70">
        <f t="shared" si="121"/>
        <v>0.872</v>
      </c>
      <c r="H121" s="70"/>
      <c r="I121" s="70">
        <f t="shared" ref="I121:N121" si="127">I115</f>
        <v>0.281268478157475</v>
      </c>
      <c r="J121" s="70">
        <f t="shared" si="127"/>
        <v>117.776210379659</v>
      </c>
      <c r="K121" s="70">
        <f t="shared" si="127"/>
        <v>2.72567049808429</v>
      </c>
      <c r="L121" s="70">
        <f t="shared" si="127"/>
        <v>117.776210379659</v>
      </c>
      <c r="M121" s="70">
        <f t="shared" si="127"/>
        <v>2.72567049808429</v>
      </c>
      <c r="N121" s="70">
        <f t="shared" si="127"/>
        <v>12.6</v>
      </c>
      <c r="O121" s="74">
        <v>31.54</v>
      </c>
      <c r="R121" s="60">
        <v>15</v>
      </c>
      <c r="U121" s="79" t="s">
        <v>438</v>
      </c>
      <c r="W121" s="79" t="s">
        <v>106</v>
      </c>
      <c r="X121" s="79" t="s">
        <v>107</v>
      </c>
      <c r="AG121" t="s">
        <v>251</v>
      </c>
    </row>
    <row r="122" ht="137.5" spans="2:37">
      <c r="B122" s="67" t="s">
        <v>439</v>
      </c>
      <c r="C122" s="67" t="s">
        <v>256</v>
      </c>
      <c r="D122" s="67"/>
      <c r="E122" s="67" t="s">
        <v>440</v>
      </c>
      <c r="F122" s="57">
        <v>2021</v>
      </c>
      <c r="G122" s="70">
        <f t="shared" si="121"/>
        <v>0.98</v>
      </c>
      <c r="H122" s="70"/>
      <c r="I122" s="70">
        <f t="shared" ref="I122:N122" si="128">I116</f>
        <v>0.101179774061464</v>
      </c>
      <c r="J122" s="70">
        <f t="shared" si="128"/>
        <v>260.555555555556</v>
      </c>
      <c r="K122" s="70">
        <f t="shared" si="128"/>
        <v>2.77777777777778</v>
      </c>
      <c r="L122" s="70">
        <f t="shared" si="128"/>
        <v>260.555555555556</v>
      </c>
      <c r="M122" s="70">
        <f t="shared" si="128"/>
        <v>2.77777777777778</v>
      </c>
      <c r="N122" s="70">
        <f t="shared" si="128"/>
        <v>12</v>
      </c>
      <c r="O122" s="74">
        <v>31.54</v>
      </c>
      <c r="R122" s="60">
        <v>15</v>
      </c>
      <c r="U122" s="79" t="s">
        <v>439</v>
      </c>
      <c r="W122" s="79" t="s">
        <v>106</v>
      </c>
      <c r="X122" s="79" t="s">
        <v>107</v>
      </c>
      <c r="AE122" t="s">
        <v>441</v>
      </c>
      <c r="AF122" t="s">
        <v>256</v>
      </c>
      <c r="AH122" t="s">
        <v>442</v>
      </c>
      <c r="AJ122">
        <f t="shared" si="126"/>
        <v>0.0536638913770539</v>
      </c>
      <c r="AK122" s="56" t="s">
        <v>250</v>
      </c>
    </row>
    <row r="123" spans="2:33">
      <c r="B123" s="67" t="s">
        <v>443</v>
      </c>
      <c r="C123" s="67" t="s">
        <v>299</v>
      </c>
      <c r="D123" s="67"/>
      <c r="E123" s="67" t="s">
        <v>440</v>
      </c>
      <c r="F123" s="57">
        <v>2021</v>
      </c>
      <c r="G123" s="70">
        <f t="shared" ref="G123:G128" si="129">G117</f>
        <v>0.8</v>
      </c>
      <c r="H123" s="70"/>
      <c r="I123" s="70">
        <f t="shared" ref="I123:N123" si="130">I117</f>
        <v>0.24860663198917</v>
      </c>
      <c r="J123" s="70">
        <f t="shared" si="130"/>
        <v>116.810344827586</v>
      </c>
      <c r="K123" s="70">
        <f t="shared" si="130"/>
        <v>5.51724137931035</v>
      </c>
      <c r="L123" s="70">
        <f t="shared" si="130"/>
        <v>116.810344827586</v>
      </c>
      <c r="M123" s="70">
        <f t="shared" si="130"/>
        <v>5.51724137931035</v>
      </c>
      <c r="N123" s="70">
        <f t="shared" si="130"/>
        <v>10</v>
      </c>
      <c r="O123" s="74">
        <v>31.54</v>
      </c>
      <c r="R123" s="60">
        <v>15</v>
      </c>
      <c r="U123" s="79" t="s">
        <v>443</v>
      </c>
      <c r="W123" s="79" t="s">
        <v>106</v>
      </c>
      <c r="X123" s="79" t="s">
        <v>107</v>
      </c>
      <c r="AG123" t="s">
        <v>251</v>
      </c>
    </row>
    <row r="124" ht="137.5" spans="2:37">
      <c r="B124" s="67" t="s">
        <v>444</v>
      </c>
      <c r="C124" s="67" t="s">
        <v>301</v>
      </c>
      <c r="D124" s="67"/>
      <c r="E124" s="67" t="s">
        <v>440</v>
      </c>
      <c r="F124" s="57">
        <v>2021</v>
      </c>
      <c r="G124" s="70">
        <f t="shared" si="129"/>
        <v>0.8</v>
      </c>
      <c r="H124" s="70"/>
      <c r="I124" s="70">
        <f t="shared" ref="I124:N124" si="131">I118</f>
        <v>0.088560651785726</v>
      </c>
      <c r="J124" s="70">
        <f t="shared" si="131"/>
        <v>69.5454545454545</v>
      </c>
      <c r="K124" s="70">
        <f t="shared" si="131"/>
        <v>2.27272727272727</v>
      </c>
      <c r="L124" s="70">
        <f t="shared" si="131"/>
        <v>69.5454545454545</v>
      </c>
      <c r="M124" s="70">
        <f t="shared" si="131"/>
        <v>2.27272727272727</v>
      </c>
      <c r="N124" s="70">
        <f t="shared" si="131"/>
        <v>13</v>
      </c>
      <c r="O124" s="74">
        <v>31.54</v>
      </c>
      <c r="R124" s="60">
        <v>15</v>
      </c>
      <c r="U124" s="79" t="s">
        <v>444</v>
      </c>
      <c r="W124" s="79" t="s">
        <v>106</v>
      </c>
      <c r="X124" s="79" t="s">
        <v>107</v>
      </c>
      <c r="AE124" t="s">
        <v>445</v>
      </c>
      <c r="AF124" t="s">
        <v>256</v>
      </c>
      <c r="AH124" t="s">
        <v>446</v>
      </c>
      <c r="AJ124">
        <f t="shared" si="126"/>
        <v>0.0536638913770539</v>
      </c>
      <c r="AK124" s="56" t="s">
        <v>250</v>
      </c>
    </row>
    <row r="125" spans="2:33">
      <c r="B125" s="67" t="s">
        <v>447</v>
      </c>
      <c r="C125" s="67" t="s">
        <v>303</v>
      </c>
      <c r="D125" s="67"/>
      <c r="E125" s="67" t="s">
        <v>440</v>
      </c>
      <c r="F125" s="57">
        <v>2021</v>
      </c>
      <c r="G125" s="70">
        <f t="shared" si="129"/>
        <v>0.8</v>
      </c>
      <c r="H125" s="70"/>
      <c r="I125" s="70">
        <f t="shared" ref="I125:N125" si="132">I119</f>
        <v>0.088560651785726</v>
      </c>
      <c r="J125" s="70">
        <f t="shared" si="132"/>
        <v>69.5454545454545</v>
      </c>
      <c r="K125" s="70">
        <f t="shared" si="132"/>
        <v>2.27272727272727</v>
      </c>
      <c r="L125" s="70">
        <f t="shared" si="132"/>
        <v>69.5454545454545</v>
      </c>
      <c r="M125" s="70">
        <f t="shared" si="132"/>
        <v>2.27272727272727</v>
      </c>
      <c r="N125" s="70">
        <f t="shared" si="132"/>
        <v>13</v>
      </c>
      <c r="O125" s="74">
        <v>31.54</v>
      </c>
      <c r="R125" s="60">
        <v>15</v>
      </c>
      <c r="U125" s="79" t="s">
        <v>447</v>
      </c>
      <c r="W125" s="79" t="s">
        <v>106</v>
      </c>
      <c r="X125" s="79" t="s">
        <v>107</v>
      </c>
      <c r="AG125" t="s">
        <v>251</v>
      </c>
    </row>
    <row r="126" spans="2:24">
      <c r="B126" s="67" t="s">
        <v>448</v>
      </c>
      <c r="C126" s="67" t="s">
        <v>305</v>
      </c>
      <c r="D126" s="67"/>
      <c r="E126" s="67" t="s">
        <v>440</v>
      </c>
      <c r="F126" s="57">
        <v>2021</v>
      </c>
      <c r="G126" s="70">
        <f t="shared" si="129"/>
        <v>0.98</v>
      </c>
      <c r="H126" s="70"/>
      <c r="I126" s="70">
        <f t="shared" ref="I126:N126" si="133">I120</f>
        <v>0.143923107198767</v>
      </c>
      <c r="J126" s="70">
        <f t="shared" si="133"/>
        <v>72.4242424242424</v>
      </c>
      <c r="K126" s="70">
        <f t="shared" si="133"/>
        <v>0.787878787878788</v>
      </c>
      <c r="L126" s="70">
        <f t="shared" si="133"/>
        <v>72.4242424242424</v>
      </c>
      <c r="M126" s="70">
        <f t="shared" si="133"/>
        <v>0.787878787878788</v>
      </c>
      <c r="N126" s="70">
        <f t="shared" si="133"/>
        <v>15</v>
      </c>
      <c r="O126" s="74">
        <v>31.54</v>
      </c>
      <c r="R126" s="60">
        <v>15</v>
      </c>
      <c r="U126" s="79" t="s">
        <v>448</v>
      </c>
      <c r="W126" s="79" t="s">
        <v>106</v>
      </c>
      <c r="X126" s="79" t="s">
        <v>107</v>
      </c>
    </row>
    <row r="127" spans="2:24">
      <c r="B127" s="67" t="s">
        <v>449</v>
      </c>
      <c r="C127" s="67" t="s">
        <v>307</v>
      </c>
      <c r="D127" s="67"/>
      <c r="E127" s="67" t="s">
        <v>440</v>
      </c>
      <c r="F127" s="57">
        <v>2021</v>
      </c>
      <c r="G127" s="70">
        <f t="shared" si="129"/>
        <v>0.872</v>
      </c>
      <c r="H127" s="70"/>
      <c r="I127" s="70">
        <f t="shared" ref="I127:N127" si="134">I121</f>
        <v>0.281268478157475</v>
      </c>
      <c r="J127" s="70">
        <f t="shared" si="134"/>
        <v>117.776210379659</v>
      </c>
      <c r="K127" s="70">
        <f t="shared" si="134"/>
        <v>2.72567049808429</v>
      </c>
      <c r="L127" s="70">
        <f t="shared" si="134"/>
        <v>117.776210379659</v>
      </c>
      <c r="M127" s="70">
        <f t="shared" si="134"/>
        <v>2.72567049808429</v>
      </c>
      <c r="N127" s="70">
        <f t="shared" si="134"/>
        <v>12.6</v>
      </c>
      <c r="O127" s="74">
        <v>31.54</v>
      </c>
      <c r="R127" s="60">
        <v>15</v>
      </c>
      <c r="U127" s="79" t="s">
        <v>449</v>
      </c>
      <c r="W127" s="79" t="s">
        <v>106</v>
      </c>
      <c r="X127" s="79" t="s">
        <v>107</v>
      </c>
    </row>
    <row r="128" spans="2:24">
      <c r="B128" s="67" t="s">
        <v>450</v>
      </c>
      <c r="C128" s="67" t="s">
        <v>256</v>
      </c>
      <c r="D128" s="67"/>
      <c r="E128" s="67" t="s">
        <v>451</v>
      </c>
      <c r="F128" s="57">
        <v>2021</v>
      </c>
      <c r="G128" s="70">
        <f t="shared" si="129"/>
        <v>0.98</v>
      </c>
      <c r="H128" s="70"/>
      <c r="I128" s="70">
        <f t="shared" ref="I128:N128" si="135">I122</f>
        <v>0.101179774061464</v>
      </c>
      <c r="J128" s="70">
        <f t="shared" si="135"/>
        <v>260.555555555556</v>
      </c>
      <c r="K128" s="70">
        <f t="shared" si="135"/>
        <v>2.77777777777778</v>
      </c>
      <c r="L128" s="70">
        <f t="shared" si="135"/>
        <v>260.555555555556</v>
      </c>
      <c r="M128" s="70">
        <f t="shared" si="135"/>
        <v>2.77777777777778</v>
      </c>
      <c r="N128" s="70">
        <f t="shared" si="135"/>
        <v>12</v>
      </c>
      <c r="O128" s="74">
        <v>31.54</v>
      </c>
      <c r="R128" s="60">
        <v>15</v>
      </c>
      <c r="U128" s="79" t="s">
        <v>450</v>
      </c>
      <c r="W128" s="79" t="s">
        <v>106</v>
      </c>
      <c r="X128" s="79" t="s">
        <v>107</v>
      </c>
    </row>
    <row r="129" spans="2:24">
      <c r="B129" s="67" t="s">
        <v>452</v>
      </c>
      <c r="C129" s="67" t="s">
        <v>299</v>
      </c>
      <c r="D129" s="67"/>
      <c r="E129" s="67" t="s">
        <v>451</v>
      </c>
      <c r="F129" s="57">
        <v>2021</v>
      </c>
      <c r="G129" s="70">
        <f t="shared" ref="G129:G134" si="136">G123</f>
        <v>0.8</v>
      </c>
      <c r="H129" s="70"/>
      <c r="I129" s="70">
        <f t="shared" ref="I129:N129" si="137">I123</f>
        <v>0.24860663198917</v>
      </c>
      <c r="J129" s="70">
        <f t="shared" si="137"/>
        <v>116.810344827586</v>
      </c>
      <c r="K129" s="70">
        <f t="shared" si="137"/>
        <v>5.51724137931035</v>
      </c>
      <c r="L129" s="70">
        <f t="shared" si="137"/>
        <v>116.810344827586</v>
      </c>
      <c r="M129" s="70">
        <f t="shared" si="137"/>
        <v>5.51724137931035</v>
      </c>
      <c r="N129" s="70">
        <f t="shared" si="137"/>
        <v>10</v>
      </c>
      <c r="O129" s="74">
        <v>31.54</v>
      </c>
      <c r="R129" s="60">
        <v>15</v>
      </c>
      <c r="U129" s="79" t="s">
        <v>452</v>
      </c>
      <c r="W129" s="79" t="s">
        <v>106</v>
      </c>
      <c r="X129" s="79" t="s">
        <v>107</v>
      </c>
    </row>
    <row r="130" spans="2:24">
      <c r="B130" s="67" t="s">
        <v>453</v>
      </c>
      <c r="C130" s="67" t="s">
        <v>301</v>
      </c>
      <c r="D130" s="67"/>
      <c r="E130" s="67" t="s">
        <v>451</v>
      </c>
      <c r="F130" s="57">
        <v>2021</v>
      </c>
      <c r="G130" s="70">
        <f t="shared" si="136"/>
        <v>0.8</v>
      </c>
      <c r="H130" s="70"/>
      <c r="I130" s="70">
        <f t="shared" ref="I130:N130" si="138">I124</f>
        <v>0.088560651785726</v>
      </c>
      <c r="J130" s="70">
        <f t="shared" si="138"/>
        <v>69.5454545454545</v>
      </c>
      <c r="K130" s="70">
        <f t="shared" si="138"/>
        <v>2.27272727272727</v>
      </c>
      <c r="L130" s="70">
        <f t="shared" si="138"/>
        <v>69.5454545454545</v>
      </c>
      <c r="M130" s="70">
        <f t="shared" si="138"/>
        <v>2.27272727272727</v>
      </c>
      <c r="N130" s="70">
        <f t="shared" si="138"/>
        <v>13</v>
      </c>
      <c r="O130" s="74">
        <v>31.54</v>
      </c>
      <c r="R130" s="60">
        <v>15</v>
      </c>
      <c r="U130" s="79" t="s">
        <v>453</v>
      </c>
      <c r="W130" s="79" t="s">
        <v>106</v>
      </c>
      <c r="X130" s="79" t="s">
        <v>107</v>
      </c>
    </row>
    <row r="131" spans="2:24">
      <c r="B131" s="67" t="s">
        <v>454</v>
      </c>
      <c r="C131" s="67" t="s">
        <v>303</v>
      </c>
      <c r="D131" s="67"/>
      <c r="E131" s="67" t="s">
        <v>451</v>
      </c>
      <c r="F131" s="57">
        <v>2021</v>
      </c>
      <c r="G131" s="70">
        <f t="shared" si="136"/>
        <v>0.8</v>
      </c>
      <c r="H131" s="70"/>
      <c r="I131" s="70">
        <f t="shared" ref="I131:N131" si="139">I125</f>
        <v>0.088560651785726</v>
      </c>
      <c r="J131" s="70">
        <f t="shared" si="139"/>
        <v>69.5454545454545</v>
      </c>
      <c r="K131" s="70">
        <f t="shared" si="139"/>
        <v>2.27272727272727</v>
      </c>
      <c r="L131" s="70">
        <f t="shared" si="139"/>
        <v>69.5454545454545</v>
      </c>
      <c r="M131" s="70">
        <f t="shared" si="139"/>
        <v>2.27272727272727</v>
      </c>
      <c r="N131" s="70">
        <f t="shared" si="139"/>
        <v>13</v>
      </c>
      <c r="O131" s="74">
        <v>31.54</v>
      </c>
      <c r="R131" s="60">
        <v>15</v>
      </c>
      <c r="U131" s="79" t="s">
        <v>454</v>
      </c>
      <c r="W131" s="79" t="s">
        <v>106</v>
      </c>
      <c r="X131" s="79" t="s">
        <v>107</v>
      </c>
    </row>
    <row r="132" spans="2:24">
      <c r="B132" s="67" t="s">
        <v>455</v>
      </c>
      <c r="C132" s="67" t="s">
        <v>305</v>
      </c>
      <c r="D132" s="67"/>
      <c r="E132" s="67" t="s">
        <v>451</v>
      </c>
      <c r="F132" s="57">
        <v>2021</v>
      </c>
      <c r="G132" s="70">
        <f t="shared" si="136"/>
        <v>0.98</v>
      </c>
      <c r="H132" s="70"/>
      <c r="I132" s="70">
        <f t="shared" ref="I132:N132" si="140">I126</f>
        <v>0.143923107198767</v>
      </c>
      <c r="J132" s="70">
        <f t="shared" si="140"/>
        <v>72.4242424242424</v>
      </c>
      <c r="K132" s="70">
        <f t="shared" si="140"/>
        <v>0.787878787878788</v>
      </c>
      <c r="L132" s="70">
        <f t="shared" si="140"/>
        <v>72.4242424242424</v>
      </c>
      <c r="M132" s="70">
        <f t="shared" si="140"/>
        <v>0.787878787878788</v>
      </c>
      <c r="N132" s="70">
        <f t="shared" si="140"/>
        <v>15</v>
      </c>
      <c r="O132" s="74">
        <v>31.54</v>
      </c>
      <c r="R132" s="60">
        <v>15</v>
      </c>
      <c r="U132" s="79" t="s">
        <v>455</v>
      </c>
      <c r="W132" s="79" t="s">
        <v>106</v>
      </c>
      <c r="X132" s="79" t="s">
        <v>107</v>
      </c>
    </row>
    <row r="133" spans="2:24">
      <c r="B133" s="67" t="s">
        <v>456</v>
      </c>
      <c r="C133" s="67" t="s">
        <v>307</v>
      </c>
      <c r="D133" s="67"/>
      <c r="E133" s="67" t="s">
        <v>451</v>
      </c>
      <c r="F133" s="57">
        <v>2021</v>
      </c>
      <c r="G133" s="70">
        <f t="shared" si="136"/>
        <v>0.872</v>
      </c>
      <c r="H133" s="70"/>
      <c r="I133" s="70">
        <f t="shared" ref="I133:N133" si="141">I127</f>
        <v>0.281268478157475</v>
      </c>
      <c r="J133" s="70">
        <f t="shared" si="141"/>
        <v>117.776210379659</v>
      </c>
      <c r="K133" s="70">
        <f t="shared" si="141"/>
        <v>2.72567049808429</v>
      </c>
      <c r="L133" s="70">
        <f t="shared" si="141"/>
        <v>117.776210379659</v>
      </c>
      <c r="M133" s="70">
        <f t="shared" si="141"/>
        <v>2.72567049808429</v>
      </c>
      <c r="N133" s="70">
        <f t="shared" si="141"/>
        <v>12.6</v>
      </c>
      <c r="O133" s="74">
        <v>31.54</v>
      </c>
      <c r="R133" s="60">
        <v>15</v>
      </c>
      <c r="U133" s="79" t="s">
        <v>456</v>
      </c>
      <c r="W133" s="79" t="s">
        <v>106</v>
      </c>
      <c r="X133" s="79" t="s">
        <v>107</v>
      </c>
    </row>
    <row r="134" spans="2:24">
      <c r="B134" s="67" t="s">
        <v>457</v>
      </c>
      <c r="C134" s="67" t="s">
        <v>256</v>
      </c>
      <c r="D134" s="67"/>
      <c r="E134" s="67" t="s">
        <v>458</v>
      </c>
      <c r="F134" s="57">
        <v>2021</v>
      </c>
      <c r="G134" s="70">
        <f t="shared" si="136"/>
        <v>0.98</v>
      </c>
      <c r="H134" s="70"/>
      <c r="I134" s="70">
        <f t="shared" ref="I134:N134" si="142">I128</f>
        <v>0.101179774061464</v>
      </c>
      <c r="J134" s="70">
        <f t="shared" si="142"/>
        <v>260.555555555556</v>
      </c>
      <c r="K134" s="70">
        <f t="shared" si="142"/>
        <v>2.77777777777778</v>
      </c>
      <c r="L134" s="70">
        <f t="shared" si="142"/>
        <v>260.555555555556</v>
      </c>
      <c r="M134" s="70">
        <f t="shared" si="142"/>
        <v>2.77777777777778</v>
      </c>
      <c r="N134" s="70">
        <f t="shared" si="142"/>
        <v>12</v>
      </c>
      <c r="O134" s="74">
        <v>31.54</v>
      </c>
      <c r="R134" s="60">
        <v>15</v>
      </c>
      <c r="U134" s="79" t="s">
        <v>457</v>
      </c>
      <c r="W134" s="79" t="s">
        <v>106</v>
      </c>
      <c r="X134" s="79" t="s">
        <v>107</v>
      </c>
    </row>
    <row r="135" spans="2:24">
      <c r="B135" s="67" t="s">
        <v>459</v>
      </c>
      <c r="C135" s="67" t="s">
        <v>299</v>
      </c>
      <c r="D135" s="67"/>
      <c r="E135" s="67" t="s">
        <v>458</v>
      </c>
      <c r="F135" s="57">
        <v>2021</v>
      </c>
      <c r="G135" s="70">
        <f t="shared" ref="G135:G140" si="143">G129</f>
        <v>0.8</v>
      </c>
      <c r="H135" s="70"/>
      <c r="I135" s="70">
        <f t="shared" ref="I135:N135" si="144">I129</f>
        <v>0.24860663198917</v>
      </c>
      <c r="J135" s="70">
        <f t="shared" si="144"/>
        <v>116.810344827586</v>
      </c>
      <c r="K135" s="70">
        <f t="shared" si="144"/>
        <v>5.51724137931035</v>
      </c>
      <c r="L135" s="70">
        <f t="shared" si="144"/>
        <v>116.810344827586</v>
      </c>
      <c r="M135" s="70">
        <f t="shared" si="144"/>
        <v>5.51724137931035</v>
      </c>
      <c r="N135" s="70">
        <f t="shared" si="144"/>
        <v>10</v>
      </c>
      <c r="O135" s="74">
        <v>31.54</v>
      </c>
      <c r="R135" s="60">
        <v>15</v>
      </c>
      <c r="U135" s="79" t="s">
        <v>459</v>
      </c>
      <c r="W135" s="79" t="s">
        <v>106</v>
      </c>
      <c r="X135" s="79" t="s">
        <v>107</v>
      </c>
    </row>
    <row r="136" spans="2:24">
      <c r="B136" s="67" t="s">
        <v>460</v>
      </c>
      <c r="C136" s="67" t="s">
        <v>301</v>
      </c>
      <c r="D136" s="67"/>
      <c r="E136" s="67" t="s">
        <v>458</v>
      </c>
      <c r="F136" s="57">
        <v>2021</v>
      </c>
      <c r="G136" s="70">
        <f t="shared" si="143"/>
        <v>0.8</v>
      </c>
      <c r="H136" s="70"/>
      <c r="I136" s="70">
        <f t="shared" ref="I136:N136" si="145">I130</f>
        <v>0.088560651785726</v>
      </c>
      <c r="J136" s="70">
        <f t="shared" si="145"/>
        <v>69.5454545454545</v>
      </c>
      <c r="K136" s="70">
        <f t="shared" si="145"/>
        <v>2.27272727272727</v>
      </c>
      <c r="L136" s="70">
        <f t="shared" si="145"/>
        <v>69.5454545454545</v>
      </c>
      <c r="M136" s="70">
        <f t="shared" si="145"/>
        <v>2.27272727272727</v>
      </c>
      <c r="N136" s="70">
        <f t="shared" si="145"/>
        <v>13</v>
      </c>
      <c r="O136" s="74">
        <v>31.54</v>
      </c>
      <c r="R136" s="60">
        <v>15</v>
      </c>
      <c r="U136" s="79" t="s">
        <v>460</v>
      </c>
      <c r="W136" s="79" t="s">
        <v>106</v>
      </c>
      <c r="X136" s="79" t="s">
        <v>107</v>
      </c>
    </row>
    <row r="137" spans="2:24">
      <c r="B137" s="67" t="s">
        <v>461</v>
      </c>
      <c r="C137" s="67" t="s">
        <v>303</v>
      </c>
      <c r="D137" s="67"/>
      <c r="E137" s="67" t="s">
        <v>458</v>
      </c>
      <c r="F137" s="57">
        <v>2021</v>
      </c>
      <c r="G137" s="70">
        <f t="shared" si="143"/>
        <v>0.8</v>
      </c>
      <c r="H137" s="70"/>
      <c r="I137" s="70">
        <f t="shared" ref="I137:N137" si="146">I131</f>
        <v>0.088560651785726</v>
      </c>
      <c r="J137" s="70">
        <f t="shared" si="146"/>
        <v>69.5454545454545</v>
      </c>
      <c r="K137" s="70">
        <f t="shared" si="146"/>
        <v>2.27272727272727</v>
      </c>
      <c r="L137" s="70">
        <f t="shared" si="146"/>
        <v>69.5454545454545</v>
      </c>
      <c r="M137" s="70">
        <f t="shared" si="146"/>
        <v>2.27272727272727</v>
      </c>
      <c r="N137" s="70">
        <f t="shared" si="146"/>
        <v>13</v>
      </c>
      <c r="O137" s="74">
        <v>31.54</v>
      </c>
      <c r="R137" s="60">
        <v>15</v>
      </c>
      <c r="U137" s="79" t="s">
        <v>461</v>
      </c>
      <c r="W137" s="79" t="s">
        <v>106</v>
      </c>
      <c r="X137" s="79" t="s">
        <v>107</v>
      </c>
    </row>
    <row r="138" spans="2:24">
      <c r="B138" s="67" t="s">
        <v>462</v>
      </c>
      <c r="C138" s="67" t="s">
        <v>305</v>
      </c>
      <c r="D138" s="67"/>
      <c r="E138" s="67" t="s">
        <v>458</v>
      </c>
      <c r="F138" s="57">
        <v>2021</v>
      </c>
      <c r="G138" s="70">
        <f t="shared" si="143"/>
        <v>0.98</v>
      </c>
      <c r="H138" s="70"/>
      <c r="I138" s="70">
        <f t="shared" ref="I138:N138" si="147">I132</f>
        <v>0.143923107198767</v>
      </c>
      <c r="J138" s="70">
        <f t="shared" si="147"/>
        <v>72.4242424242424</v>
      </c>
      <c r="K138" s="70">
        <f t="shared" si="147"/>
        <v>0.787878787878788</v>
      </c>
      <c r="L138" s="70">
        <f t="shared" si="147"/>
        <v>72.4242424242424</v>
      </c>
      <c r="M138" s="70">
        <f t="shared" si="147"/>
        <v>0.787878787878788</v>
      </c>
      <c r="N138" s="70">
        <f t="shared" si="147"/>
        <v>15</v>
      </c>
      <c r="O138" s="74">
        <v>31.54</v>
      </c>
      <c r="R138" s="60">
        <v>15</v>
      </c>
      <c r="U138" s="79" t="s">
        <v>462</v>
      </c>
      <c r="W138" s="79" t="s">
        <v>106</v>
      </c>
      <c r="X138" s="79" t="s">
        <v>107</v>
      </c>
    </row>
    <row r="139" spans="2:24">
      <c r="B139" s="67" t="s">
        <v>463</v>
      </c>
      <c r="C139" s="67" t="s">
        <v>307</v>
      </c>
      <c r="D139" s="67"/>
      <c r="E139" s="67" t="s">
        <v>458</v>
      </c>
      <c r="F139" s="57">
        <v>2021</v>
      </c>
      <c r="G139" s="70">
        <f t="shared" si="143"/>
        <v>0.872</v>
      </c>
      <c r="H139" s="70"/>
      <c r="I139" s="70">
        <f t="shared" ref="I139:N139" si="148">I133</f>
        <v>0.281268478157475</v>
      </c>
      <c r="J139" s="70">
        <f t="shared" si="148"/>
        <v>117.776210379659</v>
      </c>
      <c r="K139" s="70">
        <f t="shared" si="148"/>
        <v>2.72567049808429</v>
      </c>
      <c r="L139" s="70">
        <f t="shared" si="148"/>
        <v>117.776210379659</v>
      </c>
      <c r="M139" s="70">
        <f t="shared" si="148"/>
        <v>2.72567049808429</v>
      </c>
      <c r="N139" s="70">
        <f t="shared" si="148"/>
        <v>12.6</v>
      </c>
      <c r="O139" s="74">
        <v>31.54</v>
      </c>
      <c r="R139" s="60">
        <v>15</v>
      </c>
      <c r="U139" s="79" t="s">
        <v>463</v>
      </c>
      <c r="W139" s="79" t="s">
        <v>106</v>
      </c>
      <c r="X139" s="79" t="s">
        <v>107</v>
      </c>
    </row>
    <row r="140" spans="2:24">
      <c r="B140" s="67" t="s">
        <v>464</v>
      </c>
      <c r="C140" s="67" t="s">
        <v>256</v>
      </c>
      <c r="D140" s="67"/>
      <c r="E140" s="67" t="s">
        <v>465</v>
      </c>
      <c r="F140" s="57">
        <v>2021</v>
      </c>
      <c r="G140" s="70">
        <f t="shared" si="143"/>
        <v>0.98</v>
      </c>
      <c r="H140" s="70"/>
      <c r="I140" s="70">
        <f t="shared" ref="I140:N140" si="149">I134</f>
        <v>0.101179774061464</v>
      </c>
      <c r="J140" s="70">
        <f t="shared" si="149"/>
        <v>260.555555555556</v>
      </c>
      <c r="K140" s="70">
        <f t="shared" si="149"/>
        <v>2.77777777777778</v>
      </c>
      <c r="L140" s="70">
        <f t="shared" si="149"/>
        <v>260.555555555556</v>
      </c>
      <c r="M140" s="70">
        <f t="shared" si="149"/>
        <v>2.77777777777778</v>
      </c>
      <c r="N140" s="70">
        <f t="shared" si="149"/>
        <v>12</v>
      </c>
      <c r="O140" s="74">
        <v>31.54</v>
      </c>
      <c r="R140" s="60">
        <v>15</v>
      </c>
      <c r="U140" s="79" t="s">
        <v>464</v>
      </c>
      <c r="W140" s="79" t="s">
        <v>106</v>
      </c>
      <c r="X140" s="79" t="s">
        <v>107</v>
      </c>
    </row>
    <row r="141" spans="2:24">
      <c r="B141" s="67" t="s">
        <v>466</v>
      </c>
      <c r="C141" s="67" t="s">
        <v>299</v>
      </c>
      <c r="D141" s="67"/>
      <c r="E141" s="67" t="s">
        <v>465</v>
      </c>
      <c r="F141" s="57">
        <v>2021</v>
      </c>
      <c r="G141" s="70">
        <f t="shared" ref="G141:G145" si="150">G135</f>
        <v>0.8</v>
      </c>
      <c r="H141" s="70"/>
      <c r="I141" s="70">
        <f t="shared" ref="I141:N141" si="151">I135</f>
        <v>0.24860663198917</v>
      </c>
      <c r="J141" s="70">
        <f t="shared" si="151"/>
        <v>116.810344827586</v>
      </c>
      <c r="K141" s="70">
        <f t="shared" si="151"/>
        <v>5.51724137931035</v>
      </c>
      <c r="L141" s="70">
        <f t="shared" si="151"/>
        <v>116.810344827586</v>
      </c>
      <c r="M141" s="70">
        <f t="shared" si="151"/>
        <v>5.51724137931035</v>
      </c>
      <c r="N141" s="70">
        <f t="shared" si="151"/>
        <v>10</v>
      </c>
      <c r="O141" s="74">
        <v>31.54</v>
      </c>
      <c r="R141" s="60">
        <v>15</v>
      </c>
      <c r="U141" s="79" t="s">
        <v>466</v>
      </c>
      <c r="W141" s="79" t="s">
        <v>106</v>
      </c>
      <c r="X141" s="79" t="s">
        <v>107</v>
      </c>
    </row>
    <row r="142" spans="2:24">
      <c r="B142" s="67" t="s">
        <v>467</v>
      </c>
      <c r="C142" s="67" t="s">
        <v>301</v>
      </c>
      <c r="D142" s="67"/>
      <c r="E142" s="67" t="s">
        <v>465</v>
      </c>
      <c r="F142" s="57">
        <v>2021</v>
      </c>
      <c r="G142" s="70">
        <f t="shared" si="150"/>
        <v>0.8</v>
      </c>
      <c r="H142" s="70"/>
      <c r="I142" s="70">
        <f t="shared" ref="I142:N142" si="152">I136</f>
        <v>0.088560651785726</v>
      </c>
      <c r="J142" s="70">
        <f t="shared" si="152"/>
        <v>69.5454545454545</v>
      </c>
      <c r="K142" s="70">
        <f t="shared" si="152"/>
        <v>2.27272727272727</v>
      </c>
      <c r="L142" s="70">
        <f t="shared" si="152"/>
        <v>69.5454545454545</v>
      </c>
      <c r="M142" s="70">
        <f t="shared" si="152"/>
        <v>2.27272727272727</v>
      </c>
      <c r="N142" s="70">
        <f t="shared" si="152"/>
        <v>13</v>
      </c>
      <c r="O142" s="74">
        <v>31.54</v>
      </c>
      <c r="R142" s="60">
        <v>15</v>
      </c>
      <c r="U142" s="79" t="s">
        <v>467</v>
      </c>
      <c r="W142" s="79" t="s">
        <v>106</v>
      </c>
      <c r="X142" s="79" t="s">
        <v>107</v>
      </c>
    </row>
    <row r="143" spans="2:24">
      <c r="B143" s="67" t="s">
        <v>468</v>
      </c>
      <c r="C143" s="67" t="s">
        <v>303</v>
      </c>
      <c r="D143" s="67"/>
      <c r="E143" s="67" t="s">
        <v>465</v>
      </c>
      <c r="F143" s="57">
        <v>2021</v>
      </c>
      <c r="G143" s="70">
        <f t="shared" si="150"/>
        <v>0.8</v>
      </c>
      <c r="H143" s="70"/>
      <c r="I143" s="70">
        <f t="shared" ref="I143:N143" si="153">I137</f>
        <v>0.088560651785726</v>
      </c>
      <c r="J143" s="70">
        <f t="shared" si="153"/>
        <v>69.5454545454545</v>
      </c>
      <c r="K143" s="70">
        <f t="shared" si="153"/>
        <v>2.27272727272727</v>
      </c>
      <c r="L143" s="70">
        <f t="shared" si="153"/>
        <v>69.5454545454545</v>
      </c>
      <c r="M143" s="70">
        <f t="shared" si="153"/>
        <v>2.27272727272727</v>
      </c>
      <c r="N143" s="70">
        <f t="shared" si="153"/>
        <v>13</v>
      </c>
      <c r="O143" s="74">
        <v>31.54</v>
      </c>
      <c r="R143" s="60">
        <v>15</v>
      </c>
      <c r="U143" s="79" t="s">
        <v>468</v>
      </c>
      <c r="W143" s="79" t="s">
        <v>106</v>
      </c>
      <c r="X143" s="79" t="s">
        <v>107</v>
      </c>
    </row>
    <row r="144" spans="2:24">
      <c r="B144" s="67" t="s">
        <v>469</v>
      </c>
      <c r="C144" s="67" t="s">
        <v>305</v>
      </c>
      <c r="D144" s="67"/>
      <c r="E144" s="67" t="s">
        <v>465</v>
      </c>
      <c r="F144" s="57">
        <v>2021</v>
      </c>
      <c r="G144" s="70">
        <f t="shared" si="150"/>
        <v>0.98</v>
      </c>
      <c r="H144" s="70"/>
      <c r="I144" s="70">
        <f t="shared" ref="I144:N144" si="154">I138</f>
        <v>0.143923107198767</v>
      </c>
      <c r="J144" s="70">
        <f t="shared" si="154"/>
        <v>72.4242424242424</v>
      </c>
      <c r="K144" s="70">
        <f t="shared" si="154"/>
        <v>0.787878787878788</v>
      </c>
      <c r="L144" s="70">
        <f t="shared" si="154"/>
        <v>72.4242424242424</v>
      </c>
      <c r="M144" s="70">
        <f t="shared" si="154"/>
        <v>0.787878787878788</v>
      </c>
      <c r="N144" s="70">
        <f t="shared" si="154"/>
        <v>15</v>
      </c>
      <c r="O144" s="74">
        <v>31.54</v>
      </c>
      <c r="R144" s="60">
        <v>15</v>
      </c>
      <c r="U144" s="79" t="s">
        <v>469</v>
      </c>
      <c r="W144" s="79" t="s">
        <v>106</v>
      </c>
      <c r="X144" s="79" t="s">
        <v>107</v>
      </c>
    </row>
    <row r="145" spans="2:24">
      <c r="B145" s="67" t="s">
        <v>470</v>
      </c>
      <c r="C145" s="67" t="s">
        <v>307</v>
      </c>
      <c r="D145" s="67"/>
      <c r="E145" s="67" t="s">
        <v>465</v>
      </c>
      <c r="F145" s="57">
        <v>2021</v>
      </c>
      <c r="G145" s="70">
        <f t="shared" si="150"/>
        <v>0.872</v>
      </c>
      <c r="H145" s="70"/>
      <c r="I145" s="70">
        <f t="shared" ref="I145:N145" si="155">I139</f>
        <v>0.281268478157475</v>
      </c>
      <c r="J145" s="70">
        <f t="shared" si="155"/>
        <v>117.776210379659</v>
      </c>
      <c r="K145" s="70">
        <f t="shared" si="155"/>
        <v>2.72567049808429</v>
      </c>
      <c r="L145" s="70">
        <f t="shared" si="155"/>
        <v>117.776210379659</v>
      </c>
      <c r="M145" s="70">
        <f t="shared" si="155"/>
        <v>2.72567049808429</v>
      </c>
      <c r="N145" s="70">
        <f t="shared" si="155"/>
        <v>12.6</v>
      </c>
      <c r="O145" s="74">
        <v>31.54</v>
      </c>
      <c r="R145" s="60">
        <v>15</v>
      </c>
      <c r="U145" s="79" t="s">
        <v>470</v>
      </c>
      <c r="W145" s="79" t="s">
        <v>106</v>
      </c>
      <c r="X145" s="79" t="s">
        <v>107</v>
      </c>
    </row>
    <row r="146" spans="2:24">
      <c r="B146" s="67" t="s">
        <v>471</v>
      </c>
      <c r="C146" s="67" t="s">
        <v>256</v>
      </c>
      <c r="D146" s="67"/>
      <c r="E146" s="67" t="s">
        <v>472</v>
      </c>
      <c r="F146" s="57">
        <v>2021</v>
      </c>
      <c r="G146" s="70">
        <v>1</v>
      </c>
      <c r="H146" s="70"/>
      <c r="I146" s="70"/>
      <c r="J146" s="70">
        <f>5470/(170/3.412)*1</f>
        <v>109.786117647059</v>
      </c>
      <c r="K146" s="70">
        <f>32/(170/3.412)*1</f>
        <v>0.642258823529412</v>
      </c>
      <c r="L146" s="70">
        <f t="shared" ref="L146:L207" si="156">J146</f>
        <v>109.786117647059</v>
      </c>
      <c r="M146" s="70">
        <f t="shared" ref="M146:M207" si="157">K146</f>
        <v>0.642258823529412</v>
      </c>
      <c r="N146" s="70">
        <v>18</v>
      </c>
      <c r="O146" s="74">
        <v>31.54</v>
      </c>
      <c r="R146" s="60">
        <v>15</v>
      </c>
      <c r="U146" s="79" t="s">
        <v>471</v>
      </c>
      <c r="W146" s="79" t="s">
        <v>106</v>
      </c>
      <c r="X146" s="79" t="s">
        <v>107</v>
      </c>
    </row>
    <row r="147" spans="2:24">
      <c r="B147" s="67" t="s">
        <v>473</v>
      </c>
      <c r="C147" s="67" t="s">
        <v>299</v>
      </c>
      <c r="D147" s="67"/>
      <c r="E147" s="67" t="s">
        <v>472</v>
      </c>
      <c r="F147" s="57">
        <v>2021</v>
      </c>
      <c r="G147" s="70">
        <v>0.8</v>
      </c>
      <c r="H147" s="70"/>
      <c r="I147" s="70"/>
      <c r="J147" s="70">
        <f>2540/73*1</f>
        <v>34.7945205479452</v>
      </c>
      <c r="K147" s="70">
        <f>200/73*1</f>
        <v>2.73972602739726</v>
      </c>
      <c r="L147" s="70">
        <f t="shared" si="156"/>
        <v>34.7945205479452</v>
      </c>
      <c r="M147" s="70">
        <f t="shared" si="157"/>
        <v>2.73972602739726</v>
      </c>
      <c r="N147" s="70">
        <v>23</v>
      </c>
      <c r="O147" s="74">
        <v>31.54</v>
      </c>
      <c r="R147" s="60">
        <v>15</v>
      </c>
      <c r="U147" s="79" t="s">
        <v>473</v>
      </c>
      <c r="W147" s="79" t="s">
        <v>106</v>
      </c>
      <c r="X147" s="79" t="s">
        <v>107</v>
      </c>
    </row>
    <row r="148" spans="2:24">
      <c r="B148" s="67" t="s">
        <v>474</v>
      </c>
      <c r="C148" s="67" t="s">
        <v>301</v>
      </c>
      <c r="D148" s="67"/>
      <c r="E148" s="67" t="s">
        <v>472</v>
      </c>
      <c r="F148" s="57">
        <v>2021</v>
      </c>
      <c r="G148" s="70">
        <v>0.81</v>
      </c>
      <c r="H148" s="70"/>
      <c r="I148" s="70"/>
      <c r="J148" s="70">
        <f>7740/73*1</f>
        <v>106.027397260274</v>
      </c>
      <c r="K148" s="70">
        <f>360/73*1</f>
        <v>4.93150684931507</v>
      </c>
      <c r="L148" s="70">
        <f t="shared" si="156"/>
        <v>106.027397260274</v>
      </c>
      <c r="M148" s="70">
        <f t="shared" si="157"/>
        <v>4.93150684931507</v>
      </c>
      <c r="N148" s="84">
        <v>23</v>
      </c>
      <c r="O148" s="74">
        <v>31.54</v>
      </c>
      <c r="R148" s="60">
        <v>15</v>
      </c>
      <c r="U148" s="79" t="s">
        <v>474</v>
      </c>
      <c r="W148" s="79" t="s">
        <v>106</v>
      </c>
      <c r="X148" s="79" t="s">
        <v>107</v>
      </c>
    </row>
    <row r="149" spans="2:24">
      <c r="B149" s="67" t="s">
        <v>475</v>
      </c>
      <c r="C149" s="67" t="s">
        <v>303</v>
      </c>
      <c r="D149" s="67"/>
      <c r="E149" s="67" t="s">
        <v>472</v>
      </c>
      <c r="F149" s="57">
        <v>2021</v>
      </c>
      <c r="G149" s="70">
        <f>G148</f>
        <v>0.81</v>
      </c>
      <c r="H149" s="70"/>
      <c r="I149" s="70"/>
      <c r="J149" s="70">
        <f t="shared" ref="J149:N149" si="158">J148</f>
        <v>106.027397260274</v>
      </c>
      <c r="K149" s="70">
        <f t="shared" si="158"/>
        <v>4.93150684931507</v>
      </c>
      <c r="L149" s="70">
        <f t="shared" si="158"/>
        <v>106.027397260274</v>
      </c>
      <c r="M149" s="70">
        <f t="shared" si="158"/>
        <v>4.93150684931507</v>
      </c>
      <c r="N149" s="70">
        <f t="shared" si="158"/>
        <v>23</v>
      </c>
      <c r="O149" s="74">
        <v>31.54</v>
      </c>
      <c r="R149" s="60">
        <v>15</v>
      </c>
      <c r="U149" s="79" t="s">
        <v>475</v>
      </c>
      <c r="W149" s="79" t="s">
        <v>106</v>
      </c>
      <c r="X149" s="79" t="s">
        <v>107</v>
      </c>
    </row>
    <row r="150" spans="2:24">
      <c r="B150" s="67" t="s">
        <v>476</v>
      </c>
      <c r="C150" s="67" t="s">
        <v>305</v>
      </c>
      <c r="D150" s="67"/>
      <c r="E150" s="67" t="s">
        <v>472</v>
      </c>
      <c r="F150" s="57">
        <v>2021</v>
      </c>
      <c r="G150" s="90">
        <f>G90</f>
        <v>0.98</v>
      </c>
      <c r="H150" s="90"/>
      <c r="I150" s="90"/>
      <c r="J150" s="90">
        <f t="shared" ref="J150:N150" si="159">J90</f>
        <v>72.4242424242424</v>
      </c>
      <c r="K150" s="90">
        <f t="shared" si="159"/>
        <v>0.787878787878788</v>
      </c>
      <c r="L150" s="90">
        <f t="shared" si="159"/>
        <v>72.4242424242424</v>
      </c>
      <c r="M150" s="90">
        <f t="shared" si="159"/>
        <v>0.787878787878788</v>
      </c>
      <c r="N150" s="90">
        <f t="shared" si="159"/>
        <v>15</v>
      </c>
      <c r="O150" s="74">
        <v>31.54</v>
      </c>
      <c r="R150" s="60">
        <v>15</v>
      </c>
      <c r="U150" s="79" t="s">
        <v>476</v>
      </c>
      <c r="W150" s="79" t="s">
        <v>106</v>
      </c>
      <c r="X150" s="79" t="s">
        <v>107</v>
      </c>
    </row>
    <row r="151" spans="2:24">
      <c r="B151" s="67" t="s">
        <v>477</v>
      </c>
      <c r="C151" s="67" t="s">
        <v>307</v>
      </c>
      <c r="D151" s="67"/>
      <c r="E151" s="67" t="s">
        <v>472</v>
      </c>
      <c r="F151" s="57">
        <v>2021</v>
      </c>
      <c r="G151" s="70">
        <f>AVERAGE(G146:G150)</f>
        <v>0.88</v>
      </c>
      <c r="H151" s="70"/>
      <c r="I151" s="70"/>
      <c r="J151" s="70">
        <f t="shared" ref="J151:N151" si="160">AVERAGE(J146:J150)</f>
        <v>85.8119350279589</v>
      </c>
      <c r="K151" s="70">
        <f t="shared" si="160"/>
        <v>2.80657546748712</v>
      </c>
      <c r="L151" s="70">
        <f t="shared" si="160"/>
        <v>85.8119350279589</v>
      </c>
      <c r="M151" s="70">
        <f t="shared" si="160"/>
        <v>2.80657546748712</v>
      </c>
      <c r="N151" s="70">
        <f t="shared" si="160"/>
        <v>20.4</v>
      </c>
      <c r="O151" s="74">
        <v>31.54</v>
      </c>
      <c r="R151" s="60">
        <v>15</v>
      </c>
      <c r="U151" s="79" t="s">
        <v>477</v>
      </c>
      <c r="W151" s="79" t="s">
        <v>106</v>
      </c>
      <c r="X151" s="79" t="s">
        <v>107</v>
      </c>
    </row>
    <row r="152" spans="2:24">
      <c r="B152" s="67" t="s">
        <v>478</v>
      </c>
      <c r="C152" s="67" t="s">
        <v>256</v>
      </c>
      <c r="D152" s="67"/>
      <c r="E152" s="67" t="s">
        <v>479</v>
      </c>
      <c r="F152" s="57">
        <v>2021</v>
      </c>
      <c r="G152" s="70">
        <f>G146</f>
        <v>1</v>
      </c>
      <c r="H152" s="70"/>
      <c r="I152" s="70"/>
      <c r="J152" s="70">
        <f t="shared" ref="I152:N152" si="161">J146</f>
        <v>109.786117647059</v>
      </c>
      <c r="K152" s="70">
        <f t="shared" si="161"/>
        <v>0.642258823529412</v>
      </c>
      <c r="L152" s="70">
        <f t="shared" si="161"/>
        <v>109.786117647059</v>
      </c>
      <c r="M152" s="70">
        <f t="shared" si="161"/>
        <v>0.642258823529412</v>
      </c>
      <c r="N152" s="70">
        <f t="shared" si="161"/>
        <v>18</v>
      </c>
      <c r="O152" s="74">
        <v>31.54</v>
      </c>
      <c r="R152" s="60">
        <v>15</v>
      </c>
      <c r="U152" s="79" t="s">
        <v>478</v>
      </c>
      <c r="W152" s="79" t="s">
        <v>106</v>
      </c>
      <c r="X152" s="79" t="s">
        <v>107</v>
      </c>
    </row>
    <row r="153" spans="2:24">
      <c r="B153" s="67" t="s">
        <v>480</v>
      </c>
      <c r="C153" s="67" t="s">
        <v>299</v>
      </c>
      <c r="D153" s="67"/>
      <c r="E153" s="67" t="s">
        <v>479</v>
      </c>
      <c r="F153" s="57">
        <v>2021</v>
      </c>
      <c r="G153" s="70">
        <f t="shared" ref="G153:N153" si="162">G147</f>
        <v>0.8</v>
      </c>
      <c r="H153" s="70"/>
      <c r="I153" s="70"/>
      <c r="J153" s="70">
        <f t="shared" si="162"/>
        <v>34.7945205479452</v>
      </c>
      <c r="K153" s="70">
        <f t="shared" si="162"/>
        <v>2.73972602739726</v>
      </c>
      <c r="L153" s="70">
        <f t="shared" si="162"/>
        <v>34.7945205479452</v>
      </c>
      <c r="M153" s="70">
        <f t="shared" si="162"/>
        <v>2.73972602739726</v>
      </c>
      <c r="N153" s="70">
        <f t="shared" si="162"/>
        <v>23</v>
      </c>
      <c r="O153" s="74">
        <v>31.54</v>
      </c>
      <c r="R153" s="60">
        <v>15</v>
      </c>
      <c r="U153" s="79" t="s">
        <v>480</v>
      </c>
      <c r="W153" s="79" t="s">
        <v>106</v>
      </c>
      <c r="X153" s="79" t="s">
        <v>107</v>
      </c>
    </row>
    <row r="154" spans="2:24">
      <c r="B154" s="67" t="s">
        <v>481</v>
      </c>
      <c r="C154" s="67" t="s">
        <v>301</v>
      </c>
      <c r="D154" s="67"/>
      <c r="E154" s="67" t="s">
        <v>479</v>
      </c>
      <c r="F154" s="57">
        <v>2021</v>
      </c>
      <c r="G154" s="70">
        <f t="shared" ref="G154:N154" si="163">G148</f>
        <v>0.81</v>
      </c>
      <c r="H154" s="70"/>
      <c r="I154" s="70"/>
      <c r="J154" s="70">
        <f t="shared" si="163"/>
        <v>106.027397260274</v>
      </c>
      <c r="K154" s="70">
        <f t="shared" si="163"/>
        <v>4.93150684931507</v>
      </c>
      <c r="L154" s="70">
        <f t="shared" si="163"/>
        <v>106.027397260274</v>
      </c>
      <c r="M154" s="70">
        <f t="shared" si="163"/>
        <v>4.93150684931507</v>
      </c>
      <c r="N154" s="70">
        <f t="shared" si="163"/>
        <v>23</v>
      </c>
      <c r="O154" s="74">
        <v>31.54</v>
      </c>
      <c r="R154" s="60">
        <v>15</v>
      </c>
      <c r="U154" s="79" t="s">
        <v>481</v>
      </c>
      <c r="W154" s="79" t="s">
        <v>106</v>
      </c>
      <c r="X154" s="79" t="s">
        <v>107</v>
      </c>
    </row>
    <row r="155" spans="2:24">
      <c r="B155" s="67" t="s">
        <v>482</v>
      </c>
      <c r="C155" s="67" t="s">
        <v>303</v>
      </c>
      <c r="D155" s="67"/>
      <c r="E155" s="67" t="s">
        <v>479</v>
      </c>
      <c r="F155" s="57">
        <v>2021</v>
      </c>
      <c r="G155" s="70">
        <f t="shared" ref="G155:N155" si="164">G149</f>
        <v>0.81</v>
      </c>
      <c r="H155" s="70"/>
      <c r="I155" s="70"/>
      <c r="J155" s="70">
        <f t="shared" si="164"/>
        <v>106.027397260274</v>
      </c>
      <c r="K155" s="70">
        <f t="shared" si="164"/>
        <v>4.93150684931507</v>
      </c>
      <c r="L155" s="70">
        <f t="shared" si="164"/>
        <v>106.027397260274</v>
      </c>
      <c r="M155" s="70">
        <f t="shared" si="164"/>
        <v>4.93150684931507</v>
      </c>
      <c r="N155" s="70">
        <f t="shared" si="164"/>
        <v>23</v>
      </c>
      <c r="O155" s="74">
        <v>31.54</v>
      </c>
      <c r="R155" s="60">
        <v>15</v>
      </c>
      <c r="U155" s="79" t="s">
        <v>482</v>
      </c>
      <c r="W155" s="79" t="s">
        <v>106</v>
      </c>
      <c r="X155" s="79" t="s">
        <v>107</v>
      </c>
    </row>
    <row r="156" spans="2:24">
      <c r="B156" s="67" t="s">
        <v>483</v>
      </c>
      <c r="C156" s="67" t="s">
        <v>305</v>
      </c>
      <c r="D156" s="67"/>
      <c r="E156" s="67" t="s">
        <v>479</v>
      </c>
      <c r="F156" s="57">
        <v>2021</v>
      </c>
      <c r="G156" s="70">
        <f t="shared" ref="G156:N156" si="165">G150</f>
        <v>0.98</v>
      </c>
      <c r="H156" s="70"/>
      <c r="I156" s="70"/>
      <c r="J156" s="70">
        <f t="shared" si="165"/>
        <v>72.4242424242424</v>
      </c>
      <c r="K156" s="70">
        <f t="shared" si="165"/>
        <v>0.787878787878788</v>
      </c>
      <c r="L156" s="70">
        <f t="shared" si="165"/>
        <v>72.4242424242424</v>
      </c>
      <c r="M156" s="70">
        <f t="shared" si="165"/>
        <v>0.787878787878788</v>
      </c>
      <c r="N156" s="70">
        <f t="shared" si="165"/>
        <v>15</v>
      </c>
      <c r="O156" s="74">
        <v>31.54</v>
      </c>
      <c r="R156" s="60">
        <v>15</v>
      </c>
      <c r="U156" s="79" t="s">
        <v>483</v>
      </c>
      <c r="W156" s="79" t="s">
        <v>106</v>
      </c>
      <c r="X156" s="79" t="s">
        <v>107</v>
      </c>
    </row>
    <row r="157" spans="2:24">
      <c r="B157" s="67" t="s">
        <v>484</v>
      </c>
      <c r="C157" s="67" t="s">
        <v>307</v>
      </c>
      <c r="D157" s="67"/>
      <c r="E157" s="67" t="s">
        <v>479</v>
      </c>
      <c r="F157" s="57">
        <v>2021</v>
      </c>
      <c r="G157" s="70">
        <f t="shared" ref="G157:N157" si="166">G151</f>
        <v>0.88</v>
      </c>
      <c r="H157" s="70"/>
      <c r="I157" s="70"/>
      <c r="J157" s="70">
        <f t="shared" si="166"/>
        <v>85.8119350279589</v>
      </c>
      <c r="K157" s="70">
        <f t="shared" si="166"/>
        <v>2.80657546748712</v>
      </c>
      <c r="L157" s="70">
        <f t="shared" si="166"/>
        <v>85.8119350279589</v>
      </c>
      <c r="M157" s="70">
        <f t="shared" si="166"/>
        <v>2.80657546748712</v>
      </c>
      <c r="N157" s="70">
        <f t="shared" si="166"/>
        <v>20.4</v>
      </c>
      <c r="O157" s="74">
        <v>31.54</v>
      </c>
      <c r="R157" s="60">
        <v>15</v>
      </c>
      <c r="U157" s="79" t="s">
        <v>484</v>
      </c>
      <c r="W157" s="79" t="s">
        <v>106</v>
      </c>
      <c r="X157" s="79" t="s">
        <v>107</v>
      </c>
    </row>
    <row r="158" spans="2:24">
      <c r="B158" s="67" t="s">
        <v>485</v>
      </c>
      <c r="C158" s="67" t="s">
        <v>256</v>
      </c>
      <c r="D158" s="67"/>
      <c r="E158" s="67" t="s">
        <v>486</v>
      </c>
      <c r="F158" s="57">
        <v>2021</v>
      </c>
      <c r="G158" s="70">
        <f>G152</f>
        <v>1</v>
      </c>
      <c r="H158" s="70"/>
      <c r="I158" s="70"/>
      <c r="J158" s="70">
        <f t="shared" ref="I158:N158" si="167">J152</f>
        <v>109.786117647059</v>
      </c>
      <c r="K158" s="70">
        <f t="shared" si="167"/>
        <v>0.642258823529412</v>
      </c>
      <c r="L158" s="70">
        <f t="shared" si="167"/>
        <v>109.786117647059</v>
      </c>
      <c r="M158" s="70">
        <f t="shared" si="167"/>
        <v>0.642258823529412</v>
      </c>
      <c r="N158" s="70">
        <f t="shared" si="167"/>
        <v>18</v>
      </c>
      <c r="O158" s="74">
        <v>31.54</v>
      </c>
      <c r="R158" s="60">
        <v>15</v>
      </c>
      <c r="U158" s="79" t="s">
        <v>485</v>
      </c>
      <c r="W158" s="79" t="s">
        <v>106</v>
      </c>
      <c r="X158" s="79" t="s">
        <v>107</v>
      </c>
    </row>
    <row r="159" spans="2:24">
      <c r="B159" s="67" t="s">
        <v>487</v>
      </c>
      <c r="C159" s="67" t="s">
        <v>299</v>
      </c>
      <c r="D159" s="67"/>
      <c r="E159" s="67" t="s">
        <v>486</v>
      </c>
      <c r="F159" s="57">
        <v>2021</v>
      </c>
      <c r="G159" s="70">
        <f t="shared" ref="G159" si="168">G153</f>
        <v>0.8</v>
      </c>
      <c r="H159" s="70"/>
      <c r="I159" s="70"/>
      <c r="J159" s="70">
        <f t="shared" ref="I159:N159" si="169">J153</f>
        <v>34.7945205479452</v>
      </c>
      <c r="K159" s="70">
        <f t="shared" si="169"/>
        <v>2.73972602739726</v>
      </c>
      <c r="L159" s="70">
        <f t="shared" si="169"/>
        <v>34.7945205479452</v>
      </c>
      <c r="M159" s="70">
        <f t="shared" si="169"/>
        <v>2.73972602739726</v>
      </c>
      <c r="N159" s="70">
        <f t="shared" si="169"/>
        <v>23</v>
      </c>
      <c r="O159" s="74">
        <v>31.54</v>
      </c>
      <c r="R159" s="60">
        <v>15</v>
      </c>
      <c r="U159" s="79" t="s">
        <v>487</v>
      </c>
      <c r="W159" s="79" t="s">
        <v>106</v>
      </c>
      <c r="X159" s="79" t="s">
        <v>107</v>
      </c>
    </row>
    <row r="160" spans="2:24">
      <c r="B160" s="67" t="s">
        <v>488</v>
      </c>
      <c r="C160" s="67" t="s">
        <v>301</v>
      </c>
      <c r="D160" s="67"/>
      <c r="E160" s="67" t="s">
        <v>486</v>
      </c>
      <c r="F160" s="57">
        <v>2021</v>
      </c>
      <c r="G160" s="70">
        <f t="shared" ref="G160" si="170">G154</f>
        <v>0.81</v>
      </c>
      <c r="H160" s="70"/>
      <c r="I160" s="70"/>
      <c r="J160" s="70">
        <f t="shared" ref="I160:N160" si="171">J154</f>
        <v>106.027397260274</v>
      </c>
      <c r="K160" s="70">
        <f t="shared" si="171"/>
        <v>4.93150684931507</v>
      </c>
      <c r="L160" s="70">
        <f t="shared" si="171"/>
        <v>106.027397260274</v>
      </c>
      <c r="M160" s="70">
        <f t="shared" si="171"/>
        <v>4.93150684931507</v>
      </c>
      <c r="N160" s="70">
        <f t="shared" si="171"/>
        <v>23</v>
      </c>
      <c r="O160" s="74">
        <v>31.54</v>
      </c>
      <c r="R160" s="60">
        <v>15</v>
      </c>
      <c r="U160" s="79" t="s">
        <v>488</v>
      </c>
      <c r="W160" s="79" t="s">
        <v>106</v>
      </c>
      <c r="X160" s="79" t="s">
        <v>107</v>
      </c>
    </row>
    <row r="161" spans="2:24">
      <c r="B161" s="67" t="s">
        <v>489</v>
      </c>
      <c r="C161" s="67" t="s">
        <v>303</v>
      </c>
      <c r="D161" s="67"/>
      <c r="E161" s="67" t="s">
        <v>486</v>
      </c>
      <c r="F161" s="57">
        <v>2021</v>
      </c>
      <c r="G161" s="70">
        <f t="shared" ref="G161" si="172">G155</f>
        <v>0.81</v>
      </c>
      <c r="H161" s="70"/>
      <c r="I161" s="70"/>
      <c r="J161" s="70">
        <f t="shared" ref="I161:N161" si="173">J155</f>
        <v>106.027397260274</v>
      </c>
      <c r="K161" s="70">
        <f t="shared" si="173"/>
        <v>4.93150684931507</v>
      </c>
      <c r="L161" s="70">
        <f t="shared" si="173"/>
        <v>106.027397260274</v>
      </c>
      <c r="M161" s="70">
        <f t="shared" si="173"/>
        <v>4.93150684931507</v>
      </c>
      <c r="N161" s="70">
        <f t="shared" si="173"/>
        <v>23</v>
      </c>
      <c r="O161" s="74">
        <v>31.54</v>
      </c>
      <c r="R161" s="60">
        <v>15</v>
      </c>
      <c r="U161" s="79" t="s">
        <v>489</v>
      </c>
      <c r="W161" s="79" t="s">
        <v>106</v>
      </c>
      <c r="X161" s="79" t="s">
        <v>107</v>
      </c>
    </row>
    <row r="162" spans="2:24">
      <c r="B162" s="67" t="s">
        <v>490</v>
      </c>
      <c r="C162" s="67" t="s">
        <v>305</v>
      </c>
      <c r="D162" s="67"/>
      <c r="E162" s="67" t="s">
        <v>486</v>
      </c>
      <c r="F162" s="57">
        <v>2021</v>
      </c>
      <c r="G162" s="70">
        <f t="shared" ref="G162" si="174">G156</f>
        <v>0.98</v>
      </c>
      <c r="H162" s="70"/>
      <c r="I162" s="70"/>
      <c r="J162" s="70">
        <f t="shared" ref="I162:N162" si="175">J156</f>
        <v>72.4242424242424</v>
      </c>
      <c r="K162" s="70">
        <f t="shared" si="175"/>
        <v>0.787878787878788</v>
      </c>
      <c r="L162" s="70">
        <f t="shared" si="175"/>
        <v>72.4242424242424</v>
      </c>
      <c r="M162" s="70">
        <f t="shared" si="175"/>
        <v>0.787878787878788</v>
      </c>
      <c r="N162" s="70">
        <f t="shared" si="175"/>
        <v>15</v>
      </c>
      <c r="O162" s="74">
        <v>31.54</v>
      </c>
      <c r="R162" s="60">
        <v>15</v>
      </c>
      <c r="U162" s="79" t="s">
        <v>490</v>
      </c>
      <c r="W162" s="79" t="s">
        <v>106</v>
      </c>
      <c r="X162" s="79" t="s">
        <v>107</v>
      </c>
    </row>
    <row r="163" spans="2:24">
      <c r="B163" s="67" t="s">
        <v>491</v>
      </c>
      <c r="C163" s="67" t="s">
        <v>307</v>
      </c>
      <c r="D163" s="67"/>
      <c r="E163" s="67" t="s">
        <v>486</v>
      </c>
      <c r="F163" s="57">
        <v>2021</v>
      </c>
      <c r="G163" s="70">
        <f t="shared" ref="G163:G164" si="176">G157</f>
        <v>0.88</v>
      </c>
      <c r="H163" s="70"/>
      <c r="I163" s="70"/>
      <c r="J163" s="70">
        <f t="shared" ref="I163:N163" si="177">J157</f>
        <v>85.8119350279589</v>
      </c>
      <c r="K163" s="70">
        <f t="shared" si="177"/>
        <v>2.80657546748712</v>
      </c>
      <c r="L163" s="70">
        <f t="shared" si="177"/>
        <v>85.8119350279589</v>
      </c>
      <c r="M163" s="70">
        <f t="shared" si="177"/>
        <v>2.80657546748712</v>
      </c>
      <c r="N163" s="70">
        <f t="shared" si="177"/>
        <v>20.4</v>
      </c>
      <c r="O163" s="74">
        <v>31.54</v>
      </c>
      <c r="R163" s="60">
        <v>15</v>
      </c>
      <c r="U163" s="79" t="s">
        <v>491</v>
      </c>
      <c r="W163" s="79" t="s">
        <v>106</v>
      </c>
      <c r="X163" s="79" t="s">
        <v>107</v>
      </c>
    </row>
    <row r="164" spans="2:24">
      <c r="B164" s="67" t="s">
        <v>492</v>
      </c>
      <c r="C164" s="67" t="s">
        <v>256</v>
      </c>
      <c r="D164" s="67"/>
      <c r="E164" s="67" t="s">
        <v>493</v>
      </c>
      <c r="F164" s="57">
        <v>2021</v>
      </c>
      <c r="G164" s="70">
        <f t="shared" si="176"/>
        <v>1</v>
      </c>
      <c r="H164" s="70"/>
      <c r="I164" s="70"/>
      <c r="J164" s="70">
        <f t="shared" ref="I164:N164" si="178">J158</f>
        <v>109.786117647059</v>
      </c>
      <c r="K164" s="70">
        <f t="shared" si="178"/>
        <v>0.642258823529412</v>
      </c>
      <c r="L164" s="70">
        <f t="shared" si="178"/>
        <v>109.786117647059</v>
      </c>
      <c r="M164" s="70">
        <f t="shared" si="178"/>
        <v>0.642258823529412</v>
      </c>
      <c r="N164" s="70">
        <f t="shared" si="178"/>
        <v>18</v>
      </c>
      <c r="O164" s="74">
        <v>31.54</v>
      </c>
      <c r="R164" s="60">
        <v>15</v>
      </c>
      <c r="U164" s="79" t="s">
        <v>492</v>
      </c>
      <c r="W164" s="79" t="s">
        <v>106</v>
      </c>
      <c r="X164" s="79" t="s">
        <v>107</v>
      </c>
    </row>
    <row r="165" spans="2:24">
      <c r="B165" s="67" t="s">
        <v>494</v>
      </c>
      <c r="C165" s="67" t="s">
        <v>299</v>
      </c>
      <c r="D165" s="67"/>
      <c r="E165" s="67" t="s">
        <v>493</v>
      </c>
      <c r="F165" s="57">
        <v>2021</v>
      </c>
      <c r="G165" s="70">
        <f t="shared" ref="G165" si="179">G159</f>
        <v>0.8</v>
      </c>
      <c r="H165" s="70"/>
      <c r="I165" s="70"/>
      <c r="J165" s="70">
        <f t="shared" ref="I165:N165" si="180">J159</f>
        <v>34.7945205479452</v>
      </c>
      <c r="K165" s="70">
        <f t="shared" si="180"/>
        <v>2.73972602739726</v>
      </c>
      <c r="L165" s="70">
        <f t="shared" si="180"/>
        <v>34.7945205479452</v>
      </c>
      <c r="M165" s="70">
        <f t="shared" si="180"/>
        <v>2.73972602739726</v>
      </c>
      <c r="N165" s="70">
        <f t="shared" si="180"/>
        <v>23</v>
      </c>
      <c r="O165" s="74">
        <v>31.54</v>
      </c>
      <c r="R165" s="60">
        <v>15</v>
      </c>
      <c r="U165" s="79" t="s">
        <v>494</v>
      </c>
      <c r="W165" s="79" t="s">
        <v>106</v>
      </c>
      <c r="X165" s="79" t="s">
        <v>107</v>
      </c>
    </row>
    <row r="166" spans="2:24">
      <c r="B166" s="67" t="s">
        <v>495</v>
      </c>
      <c r="C166" s="67" t="s">
        <v>301</v>
      </c>
      <c r="D166" s="67"/>
      <c r="E166" s="67" t="s">
        <v>493</v>
      </c>
      <c r="F166" s="57">
        <v>2021</v>
      </c>
      <c r="G166" s="70">
        <f t="shared" ref="G166" si="181">G160</f>
        <v>0.81</v>
      </c>
      <c r="H166" s="70"/>
      <c r="I166" s="70"/>
      <c r="J166" s="70">
        <f t="shared" ref="I166:N166" si="182">J160</f>
        <v>106.027397260274</v>
      </c>
      <c r="K166" s="70">
        <f t="shared" si="182"/>
        <v>4.93150684931507</v>
      </c>
      <c r="L166" s="70">
        <f t="shared" si="182"/>
        <v>106.027397260274</v>
      </c>
      <c r="M166" s="70">
        <f t="shared" si="182"/>
        <v>4.93150684931507</v>
      </c>
      <c r="N166" s="70">
        <f t="shared" si="182"/>
        <v>23</v>
      </c>
      <c r="O166" s="74">
        <v>31.54</v>
      </c>
      <c r="R166" s="60">
        <v>15</v>
      </c>
      <c r="U166" s="79" t="s">
        <v>495</v>
      </c>
      <c r="W166" s="79" t="s">
        <v>106</v>
      </c>
      <c r="X166" s="79" t="s">
        <v>107</v>
      </c>
    </row>
    <row r="167" spans="2:24">
      <c r="B167" s="67" t="s">
        <v>496</v>
      </c>
      <c r="C167" s="67" t="s">
        <v>303</v>
      </c>
      <c r="D167" s="67"/>
      <c r="E167" s="67" t="s">
        <v>493</v>
      </c>
      <c r="F167" s="57">
        <v>2021</v>
      </c>
      <c r="G167" s="70">
        <f t="shared" ref="G167" si="183">G161</f>
        <v>0.81</v>
      </c>
      <c r="H167" s="70"/>
      <c r="I167" s="70"/>
      <c r="J167" s="70">
        <f t="shared" ref="I167:N167" si="184">J161</f>
        <v>106.027397260274</v>
      </c>
      <c r="K167" s="70">
        <f t="shared" si="184"/>
        <v>4.93150684931507</v>
      </c>
      <c r="L167" s="70">
        <f t="shared" si="184"/>
        <v>106.027397260274</v>
      </c>
      <c r="M167" s="70">
        <f t="shared" si="184"/>
        <v>4.93150684931507</v>
      </c>
      <c r="N167" s="70">
        <f t="shared" si="184"/>
        <v>23</v>
      </c>
      <c r="O167" s="74">
        <v>31.54</v>
      </c>
      <c r="R167" s="60">
        <v>15</v>
      </c>
      <c r="U167" s="79" t="s">
        <v>496</v>
      </c>
      <c r="W167" s="79" t="s">
        <v>106</v>
      </c>
      <c r="X167" s="79" t="s">
        <v>107</v>
      </c>
    </row>
    <row r="168" spans="2:24">
      <c r="B168" s="67" t="s">
        <v>497</v>
      </c>
      <c r="C168" s="67" t="s">
        <v>305</v>
      </c>
      <c r="D168" s="67"/>
      <c r="E168" s="67" t="s">
        <v>493</v>
      </c>
      <c r="F168" s="57">
        <v>2021</v>
      </c>
      <c r="G168" s="70">
        <f t="shared" ref="G168" si="185">G162</f>
        <v>0.98</v>
      </c>
      <c r="H168" s="70"/>
      <c r="I168" s="70"/>
      <c r="J168" s="70">
        <f t="shared" ref="I168:N168" si="186">J162</f>
        <v>72.4242424242424</v>
      </c>
      <c r="K168" s="70">
        <f t="shared" si="186"/>
        <v>0.787878787878788</v>
      </c>
      <c r="L168" s="70">
        <f t="shared" si="186"/>
        <v>72.4242424242424</v>
      </c>
      <c r="M168" s="70">
        <f t="shared" si="186"/>
        <v>0.787878787878788</v>
      </c>
      <c r="N168" s="70">
        <f t="shared" si="186"/>
        <v>15</v>
      </c>
      <c r="O168" s="74">
        <v>31.54</v>
      </c>
      <c r="R168" s="60">
        <v>15</v>
      </c>
      <c r="U168" s="79" t="s">
        <v>497</v>
      </c>
      <c r="W168" s="79" t="s">
        <v>106</v>
      </c>
      <c r="X168" s="79" t="s">
        <v>107</v>
      </c>
    </row>
    <row r="169" spans="2:24">
      <c r="B169" s="67" t="s">
        <v>498</v>
      </c>
      <c r="C169" s="67" t="s">
        <v>307</v>
      </c>
      <c r="D169" s="67"/>
      <c r="E169" s="67" t="s">
        <v>493</v>
      </c>
      <c r="F169" s="57">
        <v>2021</v>
      </c>
      <c r="G169" s="70">
        <f t="shared" ref="G169:G170" si="187">G163</f>
        <v>0.88</v>
      </c>
      <c r="H169" s="70"/>
      <c r="I169" s="70"/>
      <c r="J169" s="70">
        <f t="shared" ref="I169:N169" si="188">J163</f>
        <v>85.8119350279589</v>
      </c>
      <c r="K169" s="70">
        <f t="shared" si="188"/>
        <v>2.80657546748712</v>
      </c>
      <c r="L169" s="70">
        <f t="shared" si="188"/>
        <v>85.8119350279589</v>
      </c>
      <c r="M169" s="70">
        <f t="shared" si="188"/>
        <v>2.80657546748712</v>
      </c>
      <c r="N169" s="70">
        <f t="shared" si="188"/>
        <v>20.4</v>
      </c>
      <c r="O169" s="74">
        <v>31.54</v>
      </c>
      <c r="R169" s="60">
        <v>15</v>
      </c>
      <c r="U169" s="79" t="s">
        <v>498</v>
      </c>
      <c r="W169" s="79" t="s">
        <v>106</v>
      </c>
      <c r="X169" s="79" t="s">
        <v>107</v>
      </c>
    </row>
    <row r="170" spans="2:24">
      <c r="B170" s="67" t="s">
        <v>499</v>
      </c>
      <c r="C170" s="67" t="s">
        <v>256</v>
      </c>
      <c r="D170" s="67"/>
      <c r="E170" s="67" t="s">
        <v>500</v>
      </c>
      <c r="F170" s="57">
        <v>2021</v>
      </c>
      <c r="G170" s="70">
        <f t="shared" si="187"/>
        <v>1</v>
      </c>
      <c r="H170" s="70"/>
      <c r="I170" s="70"/>
      <c r="J170" s="70">
        <f t="shared" ref="I170:N170" si="189">J164</f>
        <v>109.786117647059</v>
      </c>
      <c r="K170" s="70">
        <f t="shared" si="189"/>
        <v>0.642258823529412</v>
      </c>
      <c r="L170" s="70">
        <f t="shared" si="189"/>
        <v>109.786117647059</v>
      </c>
      <c r="M170" s="70">
        <f t="shared" si="189"/>
        <v>0.642258823529412</v>
      </c>
      <c r="N170" s="70">
        <f t="shared" si="189"/>
        <v>18</v>
      </c>
      <c r="O170" s="74">
        <v>31.54</v>
      </c>
      <c r="R170" s="60">
        <v>15</v>
      </c>
      <c r="U170" s="79" t="s">
        <v>499</v>
      </c>
      <c r="W170" s="79" t="s">
        <v>106</v>
      </c>
      <c r="X170" s="79" t="s">
        <v>107</v>
      </c>
    </row>
    <row r="171" spans="2:24">
      <c r="B171" s="67" t="s">
        <v>501</v>
      </c>
      <c r="C171" s="67" t="s">
        <v>299</v>
      </c>
      <c r="D171" s="67"/>
      <c r="E171" s="67" t="s">
        <v>500</v>
      </c>
      <c r="F171" s="57">
        <v>2021</v>
      </c>
      <c r="G171" s="70">
        <f t="shared" ref="G171" si="190">G165</f>
        <v>0.8</v>
      </c>
      <c r="H171" s="70"/>
      <c r="I171" s="70"/>
      <c r="J171" s="70">
        <f t="shared" ref="I171:N171" si="191">J165</f>
        <v>34.7945205479452</v>
      </c>
      <c r="K171" s="70">
        <f t="shared" si="191"/>
        <v>2.73972602739726</v>
      </c>
      <c r="L171" s="70">
        <f t="shared" si="191"/>
        <v>34.7945205479452</v>
      </c>
      <c r="M171" s="70">
        <f t="shared" si="191"/>
        <v>2.73972602739726</v>
      </c>
      <c r="N171" s="70">
        <f t="shared" si="191"/>
        <v>23</v>
      </c>
      <c r="O171" s="74">
        <v>31.54</v>
      </c>
      <c r="R171" s="60">
        <v>15</v>
      </c>
      <c r="U171" s="79" t="s">
        <v>501</v>
      </c>
      <c r="W171" s="79" t="s">
        <v>106</v>
      </c>
      <c r="X171" s="79" t="s">
        <v>107</v>
      </c>
    </row>
    <row r="172" spans="2:24">
      <c r="B172" s="67" t="s">
        <v>502</v>
      </c>
      <c r="C172" s="67" t="s">
        <v>301</v>
      </c>
      <c r="D172" s="67"/>
      <c r="E172" s="67" t="s">
        <v>500</v>
      </c>
      <c r="F172" s="57">
        <v>2021</v>
      </c>
      <c r="G172" s="70">
        <f t="shared" ref="G172" si="192">G166</f>
        <v>0.81</v>
      </c>
      <c r="H172" s="70"/>
      <c r="I172" s="70"/>
      <c r="J172" s="70">
        <f t="shared" ref="I172:N172" si="193">J166</f>
        <v>106.027397260274</v>
      </c>
      <c r="K172" s="70">
        <f t="shared" si="193"/>
        <v>4.93150684931507</v>
      </c>
      <c r="L172" s="70">
        <f t="shared" si="193"/>
        <v>106.027397260274</v>
      </c>
      <c r="M172" s="70">
        <f t="shared" si="193"/>
        <v>4.93150684931507</v>
      </c>
      <c r="N172" s="70">
        <f t="shared" si="193"/>
        <v>23</v>
      </c>
      <c r="O172" s="74">
        <v>31.54</v>
      </c>
      <c r="R172" s="60">
        <v>15</v>
      </c>
      <c r="U172" s="79" t="s">
        <v>502</v>
      </c>
      <c r="W172" s="79" t="s">
        <v>106</v>
      </c>
      <c r="X172" s="79" t="s">
        <v>107</v>
      </c>
    </row>
    <row r="173" spans="2:24">
      <c r="B173" s="67" t="s">
        <v>503</v>
      </c>
      <c r="C173" s="67" t="s">
        <v>303</v>
      </c>
      <c r="D173" s="67"/>
      <c r="E173" s="67" t="s">
        <v>500</v>
      </c>
      <c r="F173" s="57">
        <v>2021</v>
      </c>
      <c r="G173" s="70">
        <f t="shared" ref="G173" si="194">G167</f>
        <v>0.81</v>
      </c>
      <c r="H173" s="70"/>
      <c r="I173" s="70"/>
      <c r="J173" s="70">
        <f t="shared" ref="I173:N173" si="195">J167</f>
        <v>106.027397260274</v>
      </c>
      <c r="K173" s="70">
        <f t="shared" si="195"/>
        <v>4.93150684931507</v>
      </c>
      <c r="L173" s="70">
        <f t="shared" si="195"/>
        <v>106.027397260274</v>
      </c>
      <c r="M173" s="70">
        <f t="shared" si="195"/>
        <v>4.93150684931507</v>
      </c>
      <c r="N173" s="70">
        <f t="shared" si="195"/>
        <v>23</v>
      </c>
      <c r="O173" s="74">
        <v>31.54</v>
      </c>
      <c r="R173" s="60">
        <v>15</v>
      </c>
      <c r="U173" s="79" t="s">
        <v>503</v>
      </c>
      <c r="W173" s="79" t="s">
        <v>106</v>
      </c>
      <c r="X173" s="79" t="s">
        <v>107</v>
      </c>
    </row>
    <row r="174" spans="2:24">
      <c r="B174" s="67" t="s">
        <v>504</v>
      </c>
      <c r="C174" s="67" t="s">
        <v>305</v>
      </c>
      <c r="D174" s="67"/>
      <c r="E174" s="67" t="s">
        <v>500</v>
      </c>
      <c r="F174" s="57">
        <v>2021</v>
      </c>
      <c r="G174" s="70">
        <f t="shared" ref="G174" si="196">G168</f>
        <v>0.98</v>
      </c>
      <c r="H174" s="70"/>
      <c r="I174" s="70"/>
      <c r="J174" s="70">
        <f t="shared" ref="I174:N174" si="197">J168</f>
        <v>72.4242424242424</v>
      </c>
      <c r="K174" s="70">
        <f t="shared" si="197"/>
        <v>0.787878787878788</v>
      </c>
      <c r="L174" s="70">
        <f t="shared" si="197"/>
        <v>72.4242424242424</v>
      </c>
      <c r="M174" s="70">
        <f t="shared" si="197"/>
        <v>0.787878787878788</v>
      </c>
      <c r="N174" s="70">
        <f t="shared" si="197"/>
        <v>15</v>
      </c>
      <c r="O174" s="74">
        <v>31.54</v>
      </c>
      <c r="R174" s="60">
        <v>15</v>
      </c>
      <c r="U174" s="79" t="s">
        <v>504</v>
      </c>
      <c r="W174" s="79" t="s">
        <v>106</v>
      </c>
      <c r="X174" s="79" t="s">
        <v>107</v>
      </c>
    </row>
    <row r="175" spans="2:24">
      <c r="B175" s="67" t="s">
        <v>505</v>
      </c>
      <c r="C175" s="67" t="s">
        <v>307</v>
      </c>
      <c r="D175" s="67"/>
      <c r="E175" s="67" t="s">
        <v>500</v>
      </c>
      <c r="F175" s="57">
        <v>2021</v>
      </c>
      <c r="G175" s="70">
        <f t="shared" ref="G175:G176" si="198">G169</f>
        <v>0.88</v>
      </c>
      <c r="H175" s="70"/>
      <c r="I175" s="70"/>
      <c r="J175" s="70">
        <f t="shared" ref="I175:N175" si="199">J169</f>
        <v>85.8119350279589</v>
      </c>
      <c r="K175" s="70">
        <f t="shared" si="199"/>
        <v>2.80657546748712</v>
      </c>
      <c r="L175" s="70">
        <f t="shared" si="199"/>
        <v>85.8119350279589</v>
      </c>
      <c r="M175" s="70">
        <f t="shared" si="199"/>
        <v>2.80657546748712</v>
      </c>
      <c r="N175" s="70">
        <f t="shared" si="199"/>
        <v>20.4</v>
      </c>
      <c r="O175" s="74">
        <v>31.54</v>
      </c>
      <c r="R175" s="60">
        <v>15</v>
      </c>
      <c r="U175" s="79" t="s">
        <v>505</v>
      </c>
      <c r="W175" s="79" t="s">
        <v>106</v>
      </c>
      <c r="X175" s="79" t="s">
        <v>107</v>
      </c>
    </row>
    <row r="176" spans="2:24">
      <c r="B176" s="67" t="s">
        <v>506</v>
      </c>
      <c r="C176" s="67" t="s">
        <v>256</v>
      </c>
      <c r="D176" s="67"/>
      <c r="E176" s="67" t="s">
        <v>507</v>
      </c>
      <c r="F176" s="57">
        <v>2021</v>
      </c>
      <c r="G176" s="70">
        <f t="shared" si="198"/>
        <v>1</v>
      </c>
      <c r="H176" s="70"/>
      <c r="I176" s="70"/>
      <c r="J176" s="70">
        <f t="shared" ref="I176:N176" si="200">J170</f>
        <v>109.786117647059</v>
      </c>
      <c r="K176" s="70">
        <f t="shared" si="200"/>
        <v>0.642258823529412</v>
      </c>
      <c r="L176" s="70">
        <f t="shared" si="200"/>
        <v>109.786117647059</v>
      </c>
      <c r="M176" s="70">
        <f t="shared" si="200"/>
        <v>0.642258823529412</v>
      </c>
      <c r="N176" s="70">
        <f t="shared" si="200"/>
        <v>18</v>
      </c>
      <c r="O176" s="74">
        <v>31.54</v>
      </c>
      <c r="R176" s="60">
        <v>15</v>
      </c>
      <c r="U176" s="79" t="s">
        <v>506</v>
      </c>
      <c r="W176" s="79" t="s">
        <v>106</v>
      </c>
      <c r="X176" s="79" t="s">
        <v>107</v>
      </c>
    </row>
    <row r="177" spans="2:24">
      <c r="B177" s="67" t="s">
        <v>508</v>
      </c>
      <c r="C177" s="67" t="s">
        <v>299</v>
      </c>
      <c r="D177" s="67"/>
      <c r="E177" s="67" t="s">
        <v>507</v>
      </c>
      <c r="F177" s="57">
        <v>2021</v>
      </c>
      <c r="G177" s="70">
        <f t="shared" ref="G177" si="201">G171</f>
        <v>0.8</v>
      </c>
      <c r="H177" s="70"/>
      <c r="I177" s="70"/>
      <c r="J177" s="70">
        <f t="shared" ref="I177:N177" si="202">J171</f>
        <v>34.7945205479452</v>
      </c>
      <c r="K177" s="70">
        <f t="shared" si="202"/>
        <v>2.73972602739726</v>
      </c>
      <c r="L177" s="70">
        <f t="shared" si="202"/>
        <v>34.7945205479452</v>
      </c>
      <c r="M177" s="70">
        <f t="shared" si="202"/>
        <v>2.73972602739726</v>
      </c>
      <c r="N177" s="70">
        <f t="shared" si="202"/>
        <v>23</v>
      </c>
      <c r="O177" s="74">
        <v>31.54</v>
      </c>
      <c r="R177" s="60">
        <v>15</v>
      </c>
      <c r="U177" s="79" t="s">
        <v>508</v>
      </c>
      <c r="W177" s="79" t="s">
        <v>106</v>
      </c>
      <c r="X177" s="79" t="s">
        <v>107</v>
      </c>
    </row>
    <row r="178" spans="2:24">
      <c r="B178" s="67" t="s">
        <v>509</v>
      </c>
      <c r="C178" s="67" t="s">
        <v>301</v>
      </c>
      <c r="D178" s="67"/>
      <c r="E178" s="67" t="s">
        <v>507</v>
      </c>
      <c r="F178" s="57">
        <v>2021</v>
      </c>
      <c r="G178" s="70">
        <f t="shared" ref="G178" si="203">G172</f>
        <v>0.81</v>
      </c>
      <c r="H178" s="70"/>
      <c r="I178" s="70"/>
      <c r="J178" s="70">
        <f t="shared" ref="I178:N178" si="204">J172</f>
        <v>106.027397260274</v>
      </c>
      <c r="K178" s="70">
        <f t="shared" si="204"/>
        <v>4.93150684931507</v>
      </c>
      <c r="L178" s="70">
        <f t="shared" si="204"/>
        <v>106.027397260274</v>
      </c>
      <c r="M178" s="70">
        <f t="shared" si="204"/>
        <v>4.93150684931507</v>
      </c>
      <c r="N178" s="70">
        <f t="shared" si="204"/>
        <v>23</v>
      </c>
      <c r="O178" s="74">
        <v>31.54</v>
      </c>
      <c r="R178" s="60">
        <v>15</v>
      </c>
      <c r="U178" s="79" t="s">
        <v>509</v>
      </c>
      <c r="W178" s="79" t="s">
        <v>106</v>
      </c>
      <c r="X178" s="79" t="s">
        <v>107</v>
      </c>
    </row>
    <row r="179" spans="2:24">
      <c r="B179" s="67" t="s">
        <v>510</v>
      </c>
      <c r="C179" s="67" t="s">
        <v>303</v>
      </c>
      <c r="D179" s="67"/>
      <c r="E179" s="67" t="s">
        <v>507</v>
      </c>
      <c r="F179" s="57">
        <v>2021</v>
      </c>
      <c r="G179" s="70">
        <f t="shared" ref="G179" si="205">G173</f>
        <v>0.81</v>
      </c>
      <c r="H179" s="70"/>
      <c r="I179" s="70"/>
      <c r="J179" s="70">
        <f t="shared" ref="I179:N179" si="206">J173</f>
        <v>106.027397260274</v>
      </c>
      <c r="K179" s="70">
        <f t="shared" si="206"/>
        <v>4.93150684931507</v>
      </c>
      <c r="L179" s="70">
        <f t="shared" si="206"/>
        <v>106.027397260274</v>
      </c>
      <c r="M179" s="70">
        <f t="shared" si="206"/>
        <v>4.93150684931507</v>
      </c>
      <c r="N179" s="70">
        <f t="shared" si="206"/>
        <v>23</v>
      </c>
      <c r="O179" s="74">
        <v>31.54</v>
      </c>
      <c r="R179" s="60">
        <v>15</v>
      </c>
      <c r="U179" s="79" t="s">
        <v>510</v>
      </c>
      <c r="W179" s="79" t="s">
        <v>106</v>
      </c>
      <c r="X179" s="79" t="s">
        <v>107</v>
      </c>
    </row>
    <row r="180" spans="2:24">
      <c r="B180" s="67" t="s">
        <v>511</v>
      </c>
      <c r="C180" s="67" t="s">
        <v>305</v>
      </c>
      <c r="D180" s="67"/>
      <c r="E180" s="67" t="s">
        <v>507</v>
      </c>
      <c r="F180" s="57">
        <v>2021</v>
      </c>
      <c r="G180" s="70">
        <f t="shared" ref="G180" si="207">G174</f>
        <v>0.98</v>
      </c>
      <c r="H180" s="70"/>
      <c r="I180" s="70"/>
      <c r="J180" s="70">
        <f t="shared" ref="I180:N180" si="208">J174</f>
        <v>72.4242424242424</v>
      </c>
      <c r="K180" s="70">
        <f t="shared" si="208"/>
        <v>0.787878787878788</v>
      </c>
      <c r="L180" s="70">
        <f t="shared" si="208"/>
        <v>72.4242424242424</v>
      </c>
      <c r="M180" s="70">
        <f t="shared" si="208"/>
        <v>0.787878787878788</v>
      </c>
      <c r="N180" s="70">
        <f t="shared" si="208"/>
        <v>15</v>
      </c>
      <c r="O180" s="74">
        <v>31.54</v>
      </c>
      <c r="R180" s="60">
        <v>15</v>
      </c>
      <c r="U180" s="79" t="s">
        <v>511</v>
      </c>
      <c r="W180" s="79" t="s">
        <v>106</v>
      </c>
      <c r="X180" s="79" t="s">
        <v>107</v>
      </c>
    </row>
    <row r="181" spans="2:24">
      <c r="B181" s="67" t="s">
        <v>512</v>
      </c>
      <c r="C181" s="67" t="s">
        <v>307</v>
      </c>
      <c r="D181" s="67"/>
      <c r="E181" s="67" t="s">
        <v>507</v>
      </c>
      <c r="F181" s="57">
        <v>2021</v>
      </c>
      <c r="G181" s="70">
        <f t="shared" ref="G181:G182" si="209">G175</f>
        <v>0.88</v>
      </c>
      <c r="H181" s="70"/>
      <c r="I181" s="70"/>
      <c r="J181" s="70">
        <f t="shared" ref="I181:N181" si="210">J175</f>
        <v>85.8119350279589</v>
      </c>
      <c r="K181" s="70">
        <f t="shared" si="210"/>
        <v>2.80657546748712</v>
      </c>
      <c r="L181" s="70">
        <f t="shared" si="210"/>
        <v>85.8119350279589</v>
      </c>
      <c r="M181" s="70">
        <f t="shared" si="210"/>
        <v>2.80657546748712</v>
      </c>
      <c r="N181" s="70">
        <f t="shared" si="210"/>
        <v>20.4</v>
      </c>
      <c r="O181" s="74">
        <v>31.54</v>
      </c>
      <c r="R181" s="60">
        <v>15</v>
      </c>
      <c r="U181" s="79" t="s">
        <v>512</v>
      </c>
      <c r="W181" s="79" t="s">
        <v>106</v>
      </c>
      <c r="X181" s="79" t="s">
        <v>107</v>
      </c>
    </row>
    <row r="182" spans="2:24">
      <c r="B182" s="67" t="s">
        <v>513</v>
      </c>
      <c r="C182" s="67" t="s">
        <v>256</v>
      </c>
      <c r="D182" s="67"/>
      <c r="E182" s="67" t="s">
        <v>514</v>
      </c>
      <c r="F182" s="57">
        <v>2021</v>
      </c>
      <c r="G182" s="70">
        <f t="shared" si="209"/>
        <v>1</v>
      </c>
      <c r="H182" s="70"/>
      <c r="I182" s="70"/>
      <c r="J182" s="70">
        <f t="shared" ref="I182:N182" si="211">J176</f>
        <v>109.786117647059</v>
      </c>
      <c r="K182" s="70">
        <f t="shared" si="211"/>
        <v>0.642258823529412</v>
      </c>
      <c r="L182" s="70">
        <f t="shared" si="211"/>
        <v>109.786117647059</v>
      </c>
      <c r="M182" s="70">
        <f t="shared" si="211"/>
        <v>0.642258823529412</v>
      </c>
      <c r="N182" s="70">
        <f t="shared" si="211"/>
        <v>18</v>
      </c>
      <c r="O182" s="74">
        <v>31.54</v>
      </c>
      <c r="R182" s="60">
        <v>15</v>
      </c>
      <c r="U182" s="79" t="s">
        <v>513</v>
      </c>
      <c r="W182" s="79" t="s">
        <v>106</v>
      </c>
      <c r="X182" s="79" t="s">
        <v>107</v>
      </c>
    </row>
    <row r="183" spans="2:24">
      <c r="B183" s="67" t="s">
        <v>515</v>
      </c>
      <c r="C183" s="67" t="s">
        <v>299</v>
      </c>
      <c r="D183" s="67"/>
      <c r="E183" s="67" t="s">
        <v>514</v>
      </c>
      <c r="F183" s="57">
        <v>2021</v>
      </c>
      <c r="G183" s="70">
        <f t="shared" ref="G183" si="212">G177</f>
        <v>0.8</v>
      </c>
      <c r="H183" s="70"/>
      <c r="I183" s="70"/>
      <c r="J183" s="70">
        <f t="shared" ref="I183:N183" si="213">J177</f>
        <v>34.7945205479452</v>
      </c>
      <c r="K183" s="70">
        <f t="shared" si="213"/>
        <v>2.73972602739726</v>
      </c>
      <c r="L183" s="70">
        <f t="shared" si="213"/>
        <v>34.7945205479452</v>
      </c>
      <c r="M183" s="70">
        <f t="shared" si="213"/>
        <v>2.73972602739726</v>
      </c>
      <c r="N183" s="70">
        <f t="shared" si="213"/>
        <v>23</v>
      </c>
      <c r="O183" s="74">
        <v>31.54</v>
      </c>
      <c r="R183" s="60">
        <v>15</v>
      </c>
      <c r="U183" s="79" t="s">
        <v>515</v>
      </c>
      <c r="W183" s="79" t="s">
        <v>106</v>
      </c>
      <c r="X183" s="79" t="s">
        <v>107</v>
      </c>
    </row>
    <row r="184" spans="2:24">
      <c r="B184" s="67" t="s">
        <v>516</v>
      </c>
      <c r="C184" s="67" t="s">
        <v>301</v>
      </c>
      <c r="D184" s="67"/>
      <c r="E184" s="67" t="s">
        <v>514</v>
      </c>
      <c r="F184" s="57">
        <v>2021</v>
      </c>
      <c r="G184" s="70">
        <f t="shared" ref="G184" si="214">G178</f>
        <v>0.81</v>
      </c>
      <c r="H184" s="70"/>
      <c r="I184" s="70"/>
      <c r="J184" s="70">
        <f t="shared" ref="I184:N184" si="215">J178</f>
        <v>106.027397260274</v>
      </c>
      <c r="K184" s="70">
        <f t="shared" si="215"/>
        <v>4.93150684931507</v>
      </c>
      <c r="L184" s="70">
        <f t="shared" si="215"/>
        <v>106.027397260274</v>
      </c>
      <c r="M184" s="70">
        <f t="shared" si="215"/>
        <v>4.93150684931507</v>
      </c>
      <c r="N184" s="70">
        <f t="shared" si="215"/>
        <v>23</v>
      </c>
      <c r="O184" s="74">
        <v>31.54</v>
      </c>
      <c r="R184" s="60">
        <v>15</v>
      </c>
      <c r="U184" s="79" t="s">
        <v>516</v>
      </c>
      <c r="W184" s="79" t="s">
        <v>106</v>
      </c>
      <c r="X184" s="79" t="s">
        <v>107</v>
      </c>
    </row>
    <row r="185" spans="2:24">
      <c r="B185" s="67" t="s">
        <v>517</v>
      </c>
      <c r="C185" s="67" t="s">
        <v>303</v>
      </c>
      <c r="D185" s="67"/>
      <c r="E185" s="67" t="s">
        <v>514</v>
      </c>
      <c r="F185" s="57">
        <v>2021</v>
      </c>
      <c r="G185" s="70">
        <f t="shared" ref="G185" si="216">G179</f>
        <v>0.81</v>
      </c>
      <c r="H185" s="70"/>
      <c r="I185" s="70"/>
      <c r="J185" s="70">
        <f t="shared" ref="I185:N185" si="217">J179</f>
        <v>106.027397260274</v>
      </c>
      <c r="K185" s="70">
        <f t="shared" si="217"/>
        <v>4.93150684931507</v>
      </c>
      <c r="L185" s="70">
        <f t="shared" si="217"/>
        <v>106.027397260274</v>
      </c>
      <c r="M185" s="70">
        <f t="shared" si="217"/>
        <v>4.93150684931507</v>
      </c>
      <c r="N185" s="70">
        <f t="shared" si="217"/>
        <v>23</v>
      </c>
      <c r="O185" s="74">
        <v>31.54</v>
      </c>
      <c r="R185" s="60">
        <v>15</v>
      </c>
      <c r="U185" s="79" t="s">
        <v>517</v>
      </c>
      <c r="W185" s="79" t="s">
        <v>106</v>
      </c>
      <c r="X185" s="79" t="s">
        <v>107</v>
      </c>
    </row>
    <row r="186" spans="2:24">
      <c r="B186" s="67" t="s">
        <v>518</v>
      </c>
      <c r="C186" s="67" t="s">
        <v>305</v>
      </c>
      <c r="D186" s="67"/>
      <c r="E186" s="67" t="s">
        <v>514</v>
      </c>
      <c r="F186" s="57">
        <v>2021</v>
      </c>
      <c r="G186" s="70">
        <f t="shared" ref="G186" si="218">G180</f>
        <v>0.98</v>
      </c>
      <c r="H186" s="70"/>
      <c r="I186" s="70"/>
      <c r="J186" s="70">
        <f t="shared" ref="I186:N186" si="219">J180</f>
        <v>72.4242424242424</v>
      </c>
      <c r="K186" s="70">
        <f t="shared" si="219"/>
        <v>0.787878787878788</v>
      </c>
      <c r="L186" s="70">
        <f t="shared" si="219"/>
        <v>72.4242424242424</v>
      </c>
      <c r="M186" s="70">
        <f t="shared" si="219"/>
        <v>0.787878787878788</v>
      </c>
      <c r="N186" s="70">
        <f t="shared" si="219"/>
        <v>15</v>
      </c>
      <c r="O186" s="74">
        <v>31.54</v>
      </c>
      <c r="R186" s="60">
        <v>15</v>
      </c>
      <c r="U186" s="79" t="s">
        <v>518</v>
      </c>
      <c r="W186" s="79" t="s">
        <v>106</v>
      </c>
      <c r="X186" s="79" t="s">
        <v>107</v>
      </c>
    </row>
    <row r="187" spans="2:24">
      <c r="B187" s="67" t="s">
        <v>519</v>
      </c>
      <c r="C187" s="67" t="s">
        <v>307</v>
      </c>
      <c r="D187" s="67"/>
      <c r="E187" s="67" t="s">
        <v>514</v>
      </c>
      <c r="F187" s="57">
        <v>2021</v>
      </c>
      <c r="G187" s="70">
        <f t="shared" ref="G187:G188" si="220">G181</f>
        <v>0.88</v>
      </c>
      <c r="H187" s="70"/>
      <c r="I187" s="70"/>
      <c r="J187" s="70">
        <f t="shared" ref="I187:N187" si="221">J181</f>
        <v>85.8119350279589</v>
      </c>
      <c r="K187" s="70">
        <f t="shared" si="221"/>
        <v>2.80657546748712</v>
      </c>
      <c r="L187" s="70">
        <f t="shared" si="221"/>
        <v>85.8119350279589</v>
      </c>
      <c r="M187" s="70">
        <f t="shared" si="221"/>
        <v>2.80657546748712</v>
      </c>
      <c r="N187" s="70">
        <f t="shared" si="221"/>
        <v>20.4</v>
      </c>
      <c r="O187" s="74">
        <v>31.54</v>
      </c>
      <c r="R187" s="60">
        <v>15</v>
      </c>
      <c r="U187" s="79" t="s">
        <v>519</v>
      </c>
      <c r="W187" s="79" t="s">
        <v>106</v>
      </c>
      <c r="X187" s="79" t="s">
        <v>107</v>
      </c>
    </row>
    <row r="188" spans="2:24">
      <c r="B188" s="67" t="s">
        <v>520</v>
      </c>
      <c r="C188" s="67" t="s">
        <v>256</v>
      </c>
      <c r="D188" s="67"/>
      <c r="E188" s="67" t="s">
        <v>521</v>
      </c>
      <c r="F188" s="57">
        <v>2021</v>
      </c>
      <c r="G188" s="70">
        <f t="shared" si="220"/>
        <v>1</v>
      </c>
      <c r="H188" s="70"/>
      <c r="I188" s="70"/>
      <c r="J188" s="70">
        <f t="shared" ref="I188:N188" si="222">J182</f>
        <v>109.786117647059</v>
      </c>
      <c r="K188" s="70">
        <f t="shared" si="222"/>
        <v>0.642258823529412</v>
      </c>
      <c r="L188" s="70">
        <f t="shared" si="222"/>
        <v>109.786117647059</v>
      </c>
      <c r="M188" s="70">
        <f t="shared" si="222"/>
        <v>0.642258823529412</v>
      </c>
      <c r="N188" s="70">
        <f t="shared" si="222"/>
        <v>18</v>
      </c>
      <c r="O188" s="74">
        <v>31.54</v>
      </c>
      <c r="R188" s="60">
        <v>15</v>
      </c>
      <c r="U188" s="79" t="s">
        <v>520</v>
      </c>
      <c r="W188" s="79" t="s">
        <v>106</v>
      </c>
      <c r="X188" s="79" t="s">
        <v>107</v>
      </c>
    </row>
    <row r="189" spans="2:24">
      <c r="B189" s="67" t="s">
        <v>522</v>
      </c>
      <c r="C189" s="67" t="s">
        <v>299</v>
      </c>
      <c r="D189" s="67"/>
      <c r="E189" s="67" t="s">
        <v>521</v>
      </c>
      <c r="F189" s="57">
        <v>2021</v>
      </c>
      <c r="G189" s="70">
        <f t="shared" ref="G189" si="223">G183</f>
        <v>0.8</v>
      </c>
      <c r="H189" s="70"/>
      <c r="I189" s="70"/>
      <c r="J189" s="70">
        <f t="shared" ref="I189:N189" si="224">J183</f>
        <v>34.7945205479452</v>
      </c>
      <c r="K189" s="70">
        <f t="shared" si="224"/>
        <v>2.73972602739726</v>
      </c>
      <c r="L189" s="70">
        <f t="shared" si="224"/>
        <v>34.7945205479452</v>
      </c>
      <c r="M189" s="70">
        <f t="shared" si="224"/>
        <v>2.73972602739726</v>
      </c>
      <c r="N189" s="70">
        <f t="shared" si="224"/>
        <v>23</v>
      </c>
      <c r="O189" s="74">
        <v>31.54</v>
      </c>
      <c r="R189" s="60">
        <v>15</v>
      </c>
      <c r="U189" s="79" t="s">
        <v>522</v>
      </c>
      <c r="W189" s="79" t="s">
        <v>106</v>
      </c>
      <c r="X189" s="79" t="s">
        <v>107</v>
      </c>
    </row>
    <row r="190" spans="2:24">
      <c r="B190" s="67" t="s">
        <v>523</v>
      </c>
      <c r="C190" s="67" t="s">
        <v>301</v>
      </c>
      <c r="D190" s="67"/>
      <c r="E190" s="67" t="s">
        <v>521</v>
      </c>
      <c r="F190" s="57">
        <v>2021</v>
      </c>
      <c r="G190" s="70">
        <f t="shared" ref="G190" si="225">G184</f>
        <v>0.81</v>
      </c>
      <c r="H190" s="70"/>
      <c r="I190" s="70"/>
      <c r="J190" s="70">
        <f t="shared" ref="I190:N190" si="226">J184</f>
        <v>106.027397260274</v>
      </c>
      <c r="K190" s="70">
        <f t="shared" si="226"/>
        <v>4.93150684931507</v>
      </c>
      <c r="L190" s="70">
        <f t="shared" si="226"/>
        <v>106.027397260274</v>
      </c>
      <c r="M190" s="70">
        <f t="shared" si="226"/>
        <v>4.93150684931507</v>
      </c>
      <c r="N190" s="70">
        <f t="shared" si="226"/>
        <v>23</v>
      </c>
      <c r="O190" s="74">
        <v>31.54</v>
      </c>
      <c r="R190" s="60">
        <v>15</v>
      </c>
      <c r="U190" s="79" t="s">
        <v>523</v>
      </c>
      <c r="W190" s="79" t="s">
        <v>106</v>
      </c>
      <c r="X190" s="79" t="s">
        <v>107</v>
      </c>
    </row>
    <row r="191" spans="2:24">
      <c r="B191" s="67" t="s">
        <v>524</v>
      </c>
      <c r="C191" s="67" t="s">
        <v>303</v>
      </c>
      <c r="D191" s="67"/>
      <c r="E191" s="67" t="s">
        <v>521</v>
      </c>
      <c r="F191" s="57">
        <v>2021</v>
      </c>
      <c r="G191" s="70">
        <f t="shared" ref="G191" si="227">G185</f>
        <v>0.81</v>
      </c>
      <c r="H191" s="70"/>
      <c r="I191" s="70"/>
      <c r="J191" s="70">
        <f t="shared" ref="I191:N191" si="228">J185</f>
        <v>106.027397260274</v>
      </c>
      <c r="K191" s="70">
        <f t="shared" si="228"/>
        <v>4.93150684931507</v>
      </c>
      <c r="L191" s="70">
        <f t="shared" si="228"/>
        <v>106.027397260274</v>
      </c>
      <c r="M191" s="70">
        <f t="shared" si="228"/>
        <v>4.93150684931507</v>
      </c>
      <c r="N191" s="70">
        <f t="shared" si="228"/>
        <v>23</v>
      </c>
      <c r="O191" s="74">
        <v>31.54</v>
      </c>
      <c r="R191" s="60">
        <v>15</v>
      </c>
      <c r="U191" s="79" t="s">
        <v>524</v>
      </c>
      <c r="W191" s="79" t="s">
        <v>106</v>
      </c>
      <c r="X191" s="79" t="s">
        <v>107</v>
      </c>
    </row>
    <row r="192" spans="2:24">
      <c r="B192" s="67" t="s">
        <v>525</v>
      </c>
      <c r="C192" s="67" t="s">
        <v>305</v>
      </c>
      <c r="D192" s="67"/>
      <c r="E192" s="67" t="s">
        <v>521</v>
      </c>
      <c r="F192" s="57">
        <v>2021</v>
      </c>
      <c r="G192" s="70">
        <f t="shared" ref="G192" si="229">G186</f>
        <v>0.98</v>
      </c>
      <c r="H192" s="70"/>
      <c r="I192" s="70"/>
      <c r="J192" s="70">
        <f t="shared" ref="I192:N192" si="230">J186</f>
        <v>72.4242424242424</v>
      </c>
      <c r="K192" s="70">
        <f t="shared" si="230"/>
        <v>0.787878787878788</v>
      </c>
      <c r="L192" s="70">
        <f t="shared" si="230"/>
        <v>72.4242424242424</v>
      </c>
      <c r="M192" s="70">
        <f t="shared" si="230"/>
        <v>0.787878787878788</v>
      </c>
      <c r="N192" s="70">
        <f t="shared" si="230"/>
        <v>15</v>
      </c>
      <c r="O192" s="74">
        <v>31.54</v>
      </c>
      <c r="R192" s="60">
        <v>15</v>
      </c>
      <c r="U192" s="79" t="s">
        <v>525</v>
      </c>
      <c r="W192" s="79" t="s">
        <v>106</v>
      </c>
      <c r="X192" s="79" t="s">
        <v>107</v>
      </c>
    </row>
    <row r="193" spans="2:24">
      <c r="B193" s="67" t="s">
        <v>526</v>
      </c>
      <c r="C193" s="67" t="s">
        <v>307</v>
      </c>
      <c r="D193" s="67"/>
      <c r="E193" s="67" t="s">
        <v>521</v>
      </c>
      <c r="F193" s="57">
        <v>2021</v>
      </c>
      <c r="G193" s="70">
        <f t="shared" ref="G193:G194" si="231">G187</f>
        <v>0.88</v>
      </c>
      <c r="H193" s="70"/>
      <c r="I193" s="70"/>
      <c r="J193" s="70">
        <f t="shared" ref="I193:N193" si="232">J187</f>
        <v>85.8119350279589</v>
      </c>
      <c r="K193" s="70">
        <f t="shared" si="232"/>
        <v>2.80657546748712</v>
      </c>
      <c r="L193" s="70">
        <f t="shared" si="232"/>
        <v>85.8119350279589</v>
      </c>
      <c r="M193" s="70">
        <f t="shared" si="232"/>
        <v>2.80657546748712</v>
      </c>
      <c r="N193" s="70">
        <f t="shared" si="232"/>
        <v>20.4</v>
      </c>
      <c r="O193" s="74">
        <v>31.54</v>
      </c>
      <c r="R193" s="60">
        <v>15</v>
      </c>
      <c r="U193" s="79" t="s">
        <v>526</v>
      </c>
      <c r="W193" s="79" t="s">
        <v>106</v>
      </c>
      <c r="X193" s="79" t="s">
        <v>107</v>
      </c>
    </row>
    <row r="194" spans="2:24">
      <c r="B194" s="67" t="s">
        <v>527</v>
      </c>
      <c r="C194" s="67" t="s">
        <v>256</v>
      </c>
      <c r="D194" s="67"/>
      <c r="E194" s="67" t="s">
        <v>528</v>
      </c>
      <c r="F194" s="57">
        <v>2021</v>
      </c>
      <c r="G194" s="70">
        <f t="shared" si="231"/>
        <v>1</v>
      </c>
      <c r="H194" s="70"/>
      <c r="I194" s="70"/>
      <c r="J194" s="70">
        <f t="shared" ref="I194:N194" si="233">J188</f>
        <v>109.786117647059</v>
      </c>
      <c r="K194" s="70">
        <f t="shared" si="233"/>
        <v>0.642258823529412</v>
      </c>
      <c r="L194" s="70">
        <f t="shared" si="233"/>
        <v>109.786117647059</v>
      </c>
      <c r="M194" s="70">
        <f t="shared" si="233"/>
        <v>0.642258823529412</v>
      </c>
      <c r="N194" s="70">
        <f t="shared" si="233"/>
        <v>18</v>
      </c>
      <c r="O194" s="74">
        <v>31.54</v>
      </c>
      <c r="R194" s="60">
        <v>15</v>
      </c>
      <c r="U194" s="79" t="s">
        <v>527</v>
      </c>
      <c r="W194" s="79" t="s">
        <v>106</v>
      </c>
      <c r="X194" s="79" t="s">
        <v>107</v>
      </c>
    </row>
    <row r="195" spans="2:24">
      <c r="B195" s="67" t="s">
        <v>529</v>
      </c>
      <c r="C195" s="67" t="s">
        <v>299</v>
      </c>
      <c r="D195" s="67"/>
      <c r="E195" s="67" t="s">
        <v>528</v>
      </c>
      <c r="F195" s="57">
        <v>2021</v>
      </c>
      <c r="G195" s="70">
        <f t="shared" ref="G195" si="234">G189</f>
        <v>0.8</v>
      </c>
      <c r="H195" s="70"/>
      <c r="I195" s="70"/>
      <c r="J195" s="70">
        <f t="shared" ref="I195:N195" si="235">J189</f>
        <v>34.7945205479452</v>
      </c>
      <c r="K195" s="70">
        <f t="shared" si="235"/>
        <v>2.73972602739726</v>
      </c>
      <c r="L195" s="70">
        <f t="shared" si="235"/>
        <v>34.7945205479452</v>
      </c>
      <c r="M195" s="70">
        <f t="shared" si="235"/>
        <v>2.73972602739726</v>
      </c>
      <c r="N195" s="70">
        <f t="shared" si="235"/>
        <v>23</v>
      </c>
      <c r="O195" s="74">
        <v>31.54</v>
      </c>
      <c r="R195" s="60">
        <v>15</v>
      </c>
      <c r="U195" s="79" t="s">
        <v>529</v>
      </c>
      <c r="W195" s="79" t="s">
        <v>106</v>
      </c>
      <c r="X195" s="79" t="s">
        <v>107</v>
      </c>
    </row>
    <row r="196" spans="2:24">
      <c r="B196" s="67" t="s">
        <v>530</v>
      </c>
      <c r="C196" s="67" t="s">
        <v>301</v>
      </c>
      <c r="D196" s="67"/>
      <c r="E196" s="67" t="s">
        <v>528</v>
      </c>
      <c r="F196" s="57">
        <v>2021</v>
      </c>
      <c r="G196" s="70">
        <f t="shared" ref="G196" si="236">G190</f>
        <v>0.81</v>
      </c>
      <c r="H196" s="70"/>
      <c r="I196" s="70"/>
      <c r="J196" s="70">
        <f t="shared" ref="I196:N196" si="237">J190</f>
        <v>106.027397260274</v>
      </c>
      <c r="K196" s="70">
        <f t="shared" si="237"/>
        <v>4.93150684931507</v>
      </c>
      <c r="L196" s="70">
        <f t="shared" si="237"/>
        <v>106.027397260274</v>
      </c>
      <c r="M196" s="70">
        <f t="shared" si="237"/>
        <v>4.93150684931507</v>
      </c>
      <c r="N196" s="70">
        <f t="shared" si="237"/>
        <v>23</v>
      </c>
      <c r="O196" s="74">
        <v>31.54</v>
      </c>
      <c r="R196" s="60">
        <v>15</v>
      </c>
      <c r="U196" s="79" t="s">
        <v>530</v>
      </c>
      <c r="W196" s="79" t="s">
        <v>106</v>
      </c>
      <c r="X196" s="79" t="s">
        <v>107</v>
      </c>
    </row>
    <row r="197" spans="2:24">
      <c r="B197" s="67" t="s">
        <v>531</v>
      </c>
      <c r="C197" s="67" t="s">
        <v>303</v>
      </c>
      <c r="D197" s="67"/>
      <c r="E197" s="67" t="s">
        <v>528</v>
      </c>
      <c r="F197" s="57">
        <v>2021</v>
      </c>
      <c r="G197" s="70">
        <f t="shared" ref="G197" si="238">G191</f>
        <v>0.81</v>
      </c>
      <c r="H197" s="70"/>
      <c r="I197" s="70"/>
      <c r="J197" s="70">
        <f t="shared" ref="I197:N197" si="239">J191</f>
        <v>106.027397260274</v>
      </c>
      <c r="K197" s="70">
        <f t="shared" si="239"/>
        <v>4.93150684931507</v>
      </c>
      <c r="L197" s="70">
        <f t="shared" si="239"/>
        <v>106.027397260274</v>
      </c>
      <c r="M197" s="70">
        <f t="shared" si="239"/>
        <v>4.93150684931507</v>
      </c>
      <c r="N197" s="70">
        <f t="shared" si="239"/>
        <v>23</v>
      </c>
      <c r="O197" s="74">
        <v>31.54</v>
      </c>
      <c r="R197" s="60">
        <v>15</v>
      </c>
      <c r="U197" s="79" t="s">
        <v>531</v>
      </c>
      <c r="W197" s="79" t="s">
        <v>106</v>
      </c>
      <c r="X197" s="79" t="s">
        <v>107</v>
      </c>
    </row>
    <row r="198" spans="2:24">
      <c r="B198" s="67" t="s">
        <v>532</v>
      </c>
      <c r="C198" s="67" t="s">
        <v>305</v>
      </c>
      <c r="D198" s="67"/>
      <c r="E198" s="67" t="s">
        <v>528</v>
      </c>
      <c r="F198" s="57">
        <v>2021</v>
      </c>
      <c r="G198" s="70">
        <f t="shared" ref="G198" si="240">G192</f>
        <v>0.98</v>
      </c>
      <c r="H198" s="70"/>
      <c r="I198" s="70"/>
      <c r="J198" s="70">
        <f t="shared" ref="I198:N198" si="241">J192</f>
        <v>72.4242424242424</v>
      </c>
      <c r="K198" s="70">
        <f t="shared" si="241"/>
        <v>0.787878787878788</v>
      </c>
      <c r="L198" s="70">
        <f t="shared" si="241"/>
        <v>72.4242424242424</v>
      </c>
      <c r="M198" s="70">
        <f t="shared" si="241"/>
        <v>0.787878787878788</v>
      </c>
      <c r="N198" s="70">
        <f t="shared" si="241"/>
        <v>15</v>
      </c>
      <c r="O198" s="74">
        <v>31.54</v>
      </c>
      <c r="R198" s="60">
        <v>15</v>
      </c>
      <c r="U198" s="79" t="s">
        <v>532</v>
      </c>
      <c r="W198" s="79" t="s">
        <v>106</v>
      </c>
      <c r="X198" s="79" t="s">
        <v>107</v>
      </c>
    </row>
    <row r="199" spans="2:24">
      <c r="B199" s="67" t="s">
        <v>533</v>
      </c>
      <c r="C199" s="67" t="s">
        <v>307</v>
      </c>
      <c r="D199" s="67"/>
      <c r="E199" s="67" t="s">
        <v>528</v>
      </c>
      <c r="F199" s="57">
        <v>2021</v>
      </c>
      <c r="G199" s="70">
        <f t="shared" ref="G199:G200" si="242">G193</f>
        <v>0.88</v>
      </c>
      <c r="H199" s="70"/>
      <c r="I199" s="70"/>
      <c r="J199" s="70">
        <f t="shared" ref="I199:N199" si="243">J193</f>
        <v>85.8119350279589</v>
      </c>
      <c r="K199" s="70">
        <f t="shared" si="243"/>
        <v>2.80657546748712</v>
      </c>
      <c r="L199" s="70">
        <f t="shared" si="243"/>
        <v>85.8119350279589</v>
      </c>
      <c r="M199" s="70">
        <f t="shared" si="243"/>
        <v>2.80657546748712</v>
      </c>
      <c r="N199" s="70">
        <f t="shared" si="243"/>
        <v>20.4</v>
      </c>
      <c r="O199" s="74">
        <v>31.54</v>
      </c>
      <c r="R199" s="60">
        <v>15</v>
      </c>
      <c r="U199" s="79" t="s">
        <v>533</v>
      </c>
      <c r="W199" s="79" t="s">
        <v>106</v>
      </c>
      <c r="X199" s="79" t="s">
        <v>107</v>
      </c>
    </row>
    <row r="200" spans="2:24">
      <c r="B200" s="67" t="s">
        <v>534</v>
      </c>
      <c r="C200" s="67" t="s">
        <v>256</v>
      </c>
      <c r="D200" s="67"/>
      <c r="E200" s="67" t="s">
        <v>535</v>
      </c>
      <c r="F200" s="57">
        <v>2021</v>
      </c>
      <c r="G200" s="70">
        <f t="shared" si="242"/>
        <v>1</v>
      </c>
      <c r="H200" s="70"/>
      <c r="I200" s="70"/>
      <c r="J200" s="70">
        <f t="shared" ref="I200:N200" si="244">J194</f>
        <v>109.786117647059</v>
      </c>
      <c r="K200" s="70">
        <f t="shared" si="244"/>
        <v>0.642258823529412</v>
      </c>
      <c r="L200" s="70">
        <f t="shared" si="244"/>
        <v>109.786117647059</v>
      </c>
      <c r="M200" s="70">
        <f t="shared" si="244"/>
        <v>0.642258823529412</v>
      </c>
      <c r="N200" s="70">
        <f t="shared" si="244"/>
        <v>18</v>
      </c>
      <c r="O200" s="74">
        <v>31.54</v>
      </c>
      <c r="R200" s="60">
        <v>15</v>
      </c>
      <c r="U200" s="79" t="s">
        <v>534</v>
      </c>
      <c r="W200" s="79" t="s">
        <v>106</v>
      </c>
      <c r="X200" s="79" t="s">
        <v>107</v>
      </c>
    </row>
    <row r="201" spans="2:24">
      <c r="B201" s="67" t="s">
        <v>536</v>
      </c>
      <c r="C201" s="67" t="s">
        <v>299</v>
      </c>
      <c r="D201" s="67"/>
      <c r="E201" s="67" t="s">
        <v>535</v>
      </c>
      <c r="F201" s="57">
        <v>2021</v>
      </c>
      <c r="G201" s="70">
        <f t="shared" ref="G201" si="245">G195</f>
        <v>0.8</v>
      </c>
      <c r="H201" s="70"/>
      <c r="I201" s="70"/>
      <c r="J201" s="70">
        <f t="shared" ref="I201:N201" si="246">J195</f>
        <v>34.7945205479452</v>
      </c>
      <c r="K201" s="70">
        <f t="shared" si="246"/>
        <v>2.73972602739726</v>
      </c>
      <c r="L201" s="70">
        <f t="shared" si="246"/>
        <v>34.7945205479452</v>
      </c>
      <c r="M201" s="70">
        <f t="shared" si="246"/>
        <v>2.73972602739726</v>
      </c>
      <c r="N201" s="70">
        <f t="shared" si="246"/>
        <v>23</v>
      </c>
      <c r="O201" s="74">
        <v>31.54</v>
      </c>
      <c r="R201" s="60">
        <v>15</v>
      </c>
      <c r="U201" s="79" t="s">
        <v>536</v>
      </c>
      <c r="W201" s="79" t="s">
        <v>106</v>
      </c>
      <c r="X201" s="79" t="s">
        <v>107</v>
      </c>
    </row>
    <row r="202" spans="2:24">
      <c r="B202" s="67" t="s">
        <v>537</v>
      </c>
      <c r="C202" s="67" t="s">
        <v>301</v>
      </c>
      <c r="D202" s="67"/>
      <c r="E202" s="67" t="s">
        <v>535</v>
      </c>
      <c r="F202" s="57">
        <v>2021</v>
      </c>
      <c r="G202" s="70">
        <f t="shared" ref="G202" si="247">G196</f>
        <v>0.81</v>
      </c>
      <c r="H202" s="70"/>
      <c r="I202" s="70"/>
      <c r="J202" s="70">
        <f t="shared" ref="I202:N202" si="248">J196</f>
        <v>106.027397260274</v>
      </c>
      <c r="K202" s="70">
        <f t="shared" si="248"/>
        <v>4.93150684931507</v>
      </c>
      <c r="L202" s="70">
        <f t="shared" si="248"/>
        <v>106.027397260274</v>
      </c>
      <c r="M202" s="70">
        <f t="shared" si="248"/>
        <v>4.93150684931507</v>
      </c>
      <c r="N202" s="70">
        <f t="shared" si="248"/>
        <v>23</v>
      </c>
      <c r="O202" s="74">
        <v>31.54</v>
      </c>
      <c r="R202" s="60">
        <v>15</v>
      </c>
      <c r="U202" s="79" t="s">
        <v>537</v>
      </c>
      <c r="W202" s="79" t="s">
        <v>106</v>
      </c>
      <c r="X202" s="79" t="s">
        <v>107</v>
      </c>
    </row>
    <row r="203" spans="2:24">
      <c r="B203" s="67" t="s">
        <v>538</v>
      </c>
      <c r="C203" s="67" t="s">
        <v>303</v>
      </c>
      <c r="D203" s="67"/>
      <c r="E203" s="67" t="s">
        <v>535</v>
      </c>
      <c r="F203" s="57">
        <v>2021</v>
      </c>
      <c r="G203" s="70">
        <f t="shared" ref="G203" si="249">G197</f>
        <v>0.81</v>
      </c>
      <c r="H203" s="70"/>
      <c r="I203" s="70"/>
      <c r="J203" s="70">
        <f t="shared" ref="I203:N203" si="250">J197</f>
        <v>106.027397260274</v>
      </c>
      <c r="K203" s="70">
        <f t="shared" si="250"/>
        <v>4.93150684931507</v>
      </c>
      <c r="L203" s="70">
        <f t="shared" si="250"/>
        <v>106.027397260274</v>
      </c>
      <c r="M203" s="70">
        <f t="shared" si="250"/>
        <v>4.93150684931507</v>
      </c>
      <c r="N203" s="70">
        <f t="shared" si="250"/>
        <v>23</v>
      </c>
      <c r="O203" s="74">
        <v>31.54</v>
      </c>
      <c r="R203" s="60">
        <v>15</v>
      </c>
      <c r="U203" s="79" t="s">
        <v>538</v>
      </c>
      <c r="W203" s="79" t="s">
        <v>106</v>
      </c>
      <c r="X203" s="79" t="s">
        <v>107</v>
      </c>
    </row>
    <row r="204" spans="2:24">
      <c r="B204" s="67" t="s">
        <v>539</v>
      </c>
      <c r="C204" s="67" t="s">
        <v>305</v>
      </c>
      <c r="D204" s="67"/>
      <c r="E204" s="67" t="s">
        <v>535</v>
      </c>
      <c r="F204" s="57">
        <v>2021</v>
      </c>
      <c r="G204" s="70">
        <f t="shared" ref="G204" si="251">G198</f>
        <v>0.98</v>
      </c>
      <c r="H204" s="70"/>
      <c r="I204" s="70"/>
      <c r="J204" s="70">
        <f t="shared" ref="I204:N204" si="252">J198</f>
        <v>72.4242424242424</v>
      </c>
      <c r="K204" s="70">
        <f t="shared" si="252"/>
        <v>0.787878787878788</v>
      </c>
      <c r="L204" s="70">
        <f t="shared" si="252"/>
        <v>72.4242424242424</v>
      </c>
      <c r="M204" s="70">
        <f t="shared" si="252"/>
        <v>0.787878787878788</v>
      </c>
      <c r="N204" s="70">
        <f t="shared" si="252"/>
        <v>15</v>
      </c>
      <c r="O204" s="74">
        <v>31.54</v>
      </c>
      <c r="R204" s="60">
        <v>15</v>
      </c>
      <c r="U204" s="79" t="s">
        <v>539</v>
      </c>
      <c r="W204" s="79" t="s">
        <v>106</v>
      </c>
      <c r="X204" s="79" t="s">
        <v>107</v>
      </c>
    </row>
    <row r="205" spans="2:24">
      <c r="B205" s="67" t="s">
        <v>540</v>
      </c>
      <c r="C205" s="67" t="s">
        <v>307</v>
      </c>
      <c r="D205" s="67"/>
      <c r="E205" s="67" t="s">
        <v>535</v>
      </c>
      <c r="F205" s="57">
        <v>2021</v>
      </c>
      <c r="G205" s="70">
        <f t="shared" ref="G205" si="253">G199</f>
        <v>0.88</v>
      </c>
      <c r="H205" s="70"/>
      <c r="I205" s="70"/>
      <c r="J205" s="70">
        <f t="shared" ref="I205:N205" si="254">J199</f>
        <v>85.8119350279589</v>
      </c>
      <c r="K205" s="70">
        <f t="shared" si="254"/>
        <v>2.80657546748712</v>
      </c>
      <c r="L205" s="70">
        <f t="shared" si="254"/>
        <v>85.8119350279589</v>
      </c>
      <c r="M205" s="70">
        <f t="shared" si="254"/>
        <v>2.80657546748712</v>
      </c>
      <c r="N205" s="70">
        <f t="shared" si="254"/>
        <v>20.4</v>
      </c>
      <c r="O205" s="74">
        <v>31.54</v>
      </c>
      <c r="R205" s="60">
        <v>15</v>
      </c>
      <c r="U205" s="79" t="s">
        <v>540</v>
      </c>
      <c r="W205" s="79" t="s">
        <v>106</v>
      </c>
      <c r="X205" s="79" t="s">
        <v>107</v>
      </c>
    </row>
    <row r="206" spans="2:24">
      <c r="B206" s="67" t="s">
        <v>541</v>
      </c>
      <c r="C206" s="67" t="s">
        <v>256</v>
      </c>
      <c r="D206" s="67"/>
      <c r="E206" s="67" t="s">
        <v>407</v>
      </c>
      <c r="F206" s="57">
        <v>2021</v>
      </c>
      <c r="G206" s="70">
        <f>3.8</f>
        <v>3.8</v>
      </c>
      <c r="H206" s="70"/>
      <c r="I206" s="70"/>
      <c r="J206" s="70">
        <f>11870/(90/3.412)</f>
        <v>450.004888888889</v>
      </c>
      <c r="K206" s="70">
        <f>370/(90/3.412)</f>
        <v>14.0271111111111</v>
      </c>
      <c r="L206" s="70">
        <f t="shared" si="156"/>
        <v>450.004888888889</v>
      </c>
      <c r="M206" s="70">
        <f t="shared" si="157"/>
        <v>14.0271111111111</v>
      </c>
      <c r="N206" s="70">
        <v>21</v>
      </c>
      <c r="O206" s="74">
        <v>31.54</v>
      </c>
      <c r="R206" s="60">
        <v>10</v>
      </c>
      <c r="U206" s="79" t="s">
        <v>541</v>
      </c>
      <c r="W206" s="79" t="s">
        <v>106</v>
      </c>
      <c r="X206" s="79" t="s">
        <v>107</v>
      </c>
    </row>
    <row r="207" spans="2:24">
      <c r="B207" s="67" t="s">
        <v>542</v>
      </c>
      <c r="C207" s="67" t="s">
        <v>299</v>
      </c>
      <c r="D207" s="67"/>
      <c r="E207" s="67" t="s">
        <v>407</v>
      </c>
      <c r="F207" s="57">
        <v>2021</v>
      </c>
      <c r="G207" s="70">
        <v>1.2</v>
      </c>
      <c r="H207" s="70"/>
      <c r="I207" s="70"/>
      <c r="J207" s="70">
        <f>4110/3.517*1</f>
        <v>1168.60961046346</v>
      </c>
      <c r="K207" s="70">
        <f>70/(11*3.517)</f>
        <v>1.80939333626283</v>
      </c>
      <c r="L207" s="70">
        <f t="shared" si="156"/>
        <v>1168.60961046346</v>
      </c>
      <c r="M207" s="70">
        <f t="shared" si="157"/>
        <v>1.80939333626283</v>
      </c>
      <c r="N207" s="70">
        <v>15</v>
      </c>
      <c r="O207" s="74">
        <v>31.54</v>
      </c>
      <c r="R207" s="60">
        <v>10</v>
      </c>
      <c r="U207" s="79" t="s">
        <v>542</v>
      </c>
      <c r="W207" s="79" t="s">
        <v>106</v>
      </c>
      <c r="X207" s="79" t="s">
        <v>107</v>
      </c>
    </row>
    <row r="208" spans="2:24">
      <c r="B208" s="67" t="s">
        <v>543</v>
      </c>
      <c r="C208" s="67" t="s">
        <v>256</v>
      </c>
      <c r="D208" s="67"/>
      <c r="E208" s="67" t="s">
        <v>411</v>
      </c>
      <c r="F208" s="57">
        <v>2021</v>
      </c>
      <c r="G208" s="91">
        <f>G206</f>
        <v>3.8</v>
      </c>
      <c r="H208" s="91"/>
      <c r="I208" s="91"/>
      <c r="J208" s="91">
        <f t="shared" ref="I208:N209" si="255">J206</f>
        <v>450.004888888889</v>
      </c>
      <c r="K208" s="91">
        <f t="shared" si="255"/>
        <v>14.0271111111111</v>
      </c>
      <c r="L208" s="91">
        <f t="shared" si="255"/>
        <v>450.004888888889</v>
      </c>
      <c r="M208" s="91">
        <f t="shared" si="255"/>
        <v>14.0271111111111</v>
      </c>
      <c r="N208" s="91">
        <f t="shared" si="255"/>
        <v>21</v>
      </c>
      <c r="O208" s="74">
        <v>31.54</v>
      </c>
      <c r="R208" s="60">
        <v>10</v>
      </c>
      <c r="U208" s="79" t="s">
        <v>543</v>
      </c>
      <c r="W208" s="79" t="s">
        <v>106</v>
      </c>
      <c r="X208" s="79" t="s">
        <v>107</v>
      </c>
    </row>
    <row r="209" spans="2:24">
      <c r="B209" s="67" t="s">
        <v>544</v>
      </c>
      <c r="C209" s="67" t="s">
        <v>299</v>
      </c>
      <c r="D209" s="67"/>
      <c r="E209" s="67" t="s">
        <v>411</v>
      </c>
      <c r="F209" s="57">
        <v>2021</v>
      </c>
      <c r="G209" s="91">
        <f>G207</f>
        <v>1.2</v>
      </c>
      <c r="H209" s="91"/>
      <c r="I209" s="91"/>
      <c r="J209" s="91">
        <f t="shared" si="255"/>
        <v>1168.60961046346</v>
      </c>
      <c r="K209" s="91">
        <f t="shared" si="255"/>
        <v>1.80939333626283</v>
      </c>
      <c r="L209" s="91">
        <f t="shared" si="255"/>
        <v>1168.60961046346</v>
      </c>
      <c r="M209" s="91">
        <f t="shared" si="255"/>
        <v>1.80939333626283</v>
      </c>
      <c r="N209" s="91">
        <f t="shared" si="255"/>
        <v>15</v>
      </c>
      <c r="O209" s="74">
        <v>31.54</v>
      </c>
      <c r="R209" s="60">
        <v>10</v>
      </c>
      <c r="U209" s="79" t="s">
        <v>544</v>
      </c>
      <c r="W209" s="79" t="s">
        <v>106</v>
      </c>
      <c r="X209" s="79" t="s">
        <v>107</v>
      </c>
    </row>
    <row r="210" spans="2:24">
      <c r="B210" s="67" t="s">
        <v>545</v>
      </c>
      <c r="C210" s="67" t="s">
        <v>256</v>
      </c>
      <c r="D210" s="67"/>
      <c r="E210" s="67" t="s">
        <v>416</v>
      </c>
      <c r="F210" s="57">
        <v>2021</v>
      </c>
      <c r="G210" s="91">
        <f>G208</f>
        <v>3.8</v>
      </c>
      <c r="H210" s="91"/>
      <c r="I210" s="91"/>
      <c r="J210" s="91">
        <f t="shared" ref="I210:N210" si="256">J208</f>
        <v>450.004888888889</v>
      </c>
      <c r="K210" s="91">
        <f t="shared" si="256"/>
        <v>14.0271111111111</v>
      </c>
      <c r="L210" s="91">
        <f t="shared" si="256"/>
        <v>450.004888888889</v>
      </c>
      <c r="M210" s="91">
        <f t="shared" si="256"/>
        <v>14.0271111111111</v>
      </c>
      <c r="N210" s="91">
        <f t="shared" si="256"/>
        <v>21</v>
      </c>
      <c r="O210" s="74">
        <v>31.54</v>
      </c>
      <c r="R210" s="60">
        <v>10</v>
      </c>
      <c r="U210" s="79" t="s">
        <v>545</v>
      </c>
      <c r="W210" s="79" t="s">
        <v>106</v>
      </c>
      <c r="X210" s="79" t="s">
        <v>107</v>
      </c>
    </row>
    <row r="211" spans="2:24">
      <c r="B211" s="67" t="s">
        <v>546</v>
      </c>
      <c r="C211" s="67" t="s">
        <v>299</v>
      </c>
      <c r="D211" s="67"/>
      <c r="E211" s="67" t="s">
        <v>416</v>
      </c>
      <c r="F211" s="57">
        <v>2021</v>
      </c>
      <c r="G211" s="91">
        <f>G209</f>
        <v>1.2</v>
      </c>
      <c r="H211" s="91"/>
      <c r="I211" s="91"/>
      <c r="J211" s="91">
        <f t="shared" ref="I211:N211" si="257">J209</f>
        <v>1168.60961046346</v>
      </c>
      <c r="K211" s="91">
        <f t="shared" si="257"/>
        <v>1.80939333626283</v>
      </c>
      <c r="L211" s="91">
        <f t="shared" si="257"/>
        <v>1168.60961046346</v>
      </c>
      <c r="M211" s="91">
        <f t="shared" si="257"/>
        <v>1.80939333626283</v>
      </c>
      <c r="N211" s="91">
        <f t="shared" si="257"/>
        <v>15</v>
      </c>
      <c r="O211" s="74">
        <v>31.54</v>
      </c>
      <c r="R211" s="60">
        <v>10</v>
      </c>
      <c r="U211" s="79" t="s">
        <v>546</v>
      </c>
      <c r="W211" s="79" t="s">
        <v>106</v>
      </c>
      <c r="X211" s="79" t="s">
        <v>107</v>
      </c>
    </row>
    <row r="212" spans="2:24">
      <c r="B212" s="67" t="s">
        <v>547</v>
      </c>
      <c r="C212" s="67" t="s">
        <v>256</v>
      </c>
      <c r="D212" s="67"/>
      <c r="E212" s="67" t="s">
        <v>420</v>
      </c>
      <c r="F212" s="57">
        <v>2021</v>
      </c>
      <c r="G212" s="91">
        <f t="shared" ref="G212:G225" si="258">G210</f>
        <v>3.8</v>
      </c>
      <c r="H212" s="91"/>
      <c r="I212" s="91"/>
      <c r="J212" s="91">
        <f t="shared" ref="I212:N212" si="259">J210</f>
        <v>450.004888888889</v>
      </c>
      <c r="K212" s="91">
        <f t="shared" si="259"/>
        <v>14.0271111111111</v>
      </c>
      <c r="L212" s="91">
        <f t="shared" si="259"/>
        <v>450.004888888889</v>
      </c>
      <c r="M212" s="91">
        <f t="shared" si="259"/>
        <v>14.0271111111111</v>
      </c>
      <c r="N212" s="91">
        <f t="shared" si="259"/>
        <v>21</v>
      </c>
      <c r="O212" s="74">
        <v>31.54</v>
      </c>
      <c r="R212" s="60">
        <v>10</v>
      </c>
      <c r="U212" s="79" t="s">
        <v>547</v>
      </c>
      <c r="W212" s="79" t="s">
        <v>106</v>
      </c>
      <c r="X212" s="79" t="s">
        <v>107</v>
      </c>
    </row>
    <row r="213" spans="2:24">
      <c r="B213" s="67" t="s">
        <v>548</v>
      </c>
      <c r="C213" s="67" t="s">
        <v>299</v>
      </c>
      <c r="D213" s="67"/>
      <c r="E213" s="67" t="s">
        <v>420</v>
      </c>
      <c r="F213" s="57">
        <v>2021</v>
      </c>
      <c r="G213" s="91">
        <f t="shared" si="258"/>
        <v>1.2</v>
      </c>
      <c r="H213" s="91"/>
      <c r="I213" s="91"/>
      <c r="J213" s="91">
        <f t="shared" ref="I213:N213" si="260">J211</f>
        <v>1168.60961046346</v>
      </c>
      <c r="K213" s="91">
        <f t="shared" si="260"/>
        <v>1.80939333626283</v>
      </c>
      <c r="L213" s="91">
        <f t="shared" si="260"/>
        <v>1168.60961046346</v>
      </c>
      <c r="M213" s="91">
        <f t="shared" si="260"/>
        <v>1.80939333626283</v>
      </c>
      <c r="N213" s="91">
        <f t="shared" si="260"/>
        <v>15</v>
      </c>
      <c r="O213" s="74">
        <v>31.54</v>
      </c>
      <c r="R213" s="60">
        <v>10</v>
      </c>
      <c r="U213" s="79" t="s">
        <v>548</v>
      </c>
      <c r="W213" s="79" t="s">
        <v>106</v>
      </c>
      <c r="X213" s="79" t="s">
        <v>107</v>
      </c>
    </row>
    <row r="214" spans="2:24">
      <c r="B214" s="67" t="s">
        <v>549</v>
      </c>
      <c r="C214" s="67" t="s">
        <v>256</v>
      </c>
      <c r="D214" s="67"/>
      <c r="E214" s="67" t="s">
        <v>424</v>
      </c>
      <c r="F214" s="57">
        <v>2021</v>
      </c>
      <c r="G214" s="91">
        <f t="shared" si="258"/>
        <v>3.8</v>
      </c>
      <c r="H214" s="91"/>
      <c r="I214" s="91"/>
      <c r="J214" s="91">
        <f t="shared" ref="I214:N214" si="261">J212</f>
        <v>450.004888888889</v>
      </c>
      <c r="K214" s="91">
        <f t="shared" si="261"/>
        <v>14.0271111111111</v>
      </c>
      <c r="L214" s="91">
        <f t="shared" si="261"/>
        <v>450.004888888889</v>
      </c>
      <c r="M214" s="91">
        <f t="shared" si="261"/>
        <v>14.0271111111111</v>
      </c>
      <c r="N214" s="91">
        <f t="shared" si="261"/>
        <v>21</v>
      </c>
      <c r="O214" s="74">
        <v>31.54</v>
      </c>
      <c r="R214" s="60">
        <v>10</v>
      </c>
      <c r="U214" s="79" t="s">
        <v>549</v>
      </c>
      <c r="W214" s="79" t="s">
        <v>106</v>
      </c>
      <c r="X214" s="79" t="s">
        <v>107</v>
      </c>
    </row>
    <row r="215" spans="2:24">
      <c r="B215" s="67" t="s">
        <v>550</v>
      </c>
      <c r="C215" s="67" t="s">
        <v>299</v>
      </c>
      <c r="D215" s="67"/>
      <c r="E215" s="67" t="s">
        <v>424</v>
      </c>
      <c r="F215" s="57">
        <v>2021</v>
      </c>
      <c r="G215" s="91">
        <f t="shared" si="258"/>
        <v>1.2</v>
      </c>
      <c r="H215" s="91"/>
      <c r="I215" s="91"/>
      <c r="J215" s="91">
        <f t="shared" ref="I215:N215" si="262">J213</f>
        <v>1168.60961046346</v>
      </c>
      <c r="K215" s="91">
        <f t="shared" si="262"/>
        <v>1.80939333626283</v>
      </c>
      <c r="L215" s="91">
        <f t="shared" si="262"/>
        <v>1168.60961046346</v>
      </c>
      <c r="M215" s="91">
        <f t="shared" si="262"/>
        <v>1.80939333626283</v>
      </c>
      <c r="N215" s="91">
        <f t="shared" si="262"/>
        <v>15</v>
      </c>
      <c r="O215" s="74">
        <v>31.54</v>
      </c>
      <c r="R215" s="60">
        <v>10</v>
      </c>
      <c r="U215" s="79" t="s">
        <v>550</v>
      </c>
      <c r="W215" s="79" t="s">
        <v>106</v>
      </c>
      <c r="X215" s="79" t="s">
        <v>107</v>
      </c>
    </row>
    <row r="216" spans="2:24">
      <c r="B216" s="67" t="s">
        <v>551</v>
      </c>
      <c r="C216" s="67" t="s">
        <v>256</v>
      </c>
      <c r="D216" s="67"/>
      <c r="E216" s="67" t="s">
        <v>429</v>
      </c>
      <c r="F216" s="57">
        <v>2021</v>
      </c>
      <c r="G216" s="91">
        <f t="shared" si="258"/>
        <v>3.8</v>
      </c>
      <c r="H216" s="91"/>
      <c r="I216" s="91"/>
      <c r="J216" s="91">
        <f t="shared" ref="I216:N216" si="263">J214</f>
        <v>450.004888888889</v>
      </c>
      <c r="K216" s="91">
        <f t="shared" si="263"/>
        <v>14.0271111111111</v>
      </c>
      <c r="L216" s="91">
        <f t="shared" si="263"/>
        <v>450.004888888889</v>
      </c>
      <c r="M216" s="91">
        <f t="shared" si="263"/>
        <v>14.0271111111111</v>
      </c>
      <c r="N216" s="91">
        <f t="shared" si="263"/>
        <v>21</v>
      </c>
      <c r="O216" s="74">
        <v>31.54</v>
      </c>
      <c r="R216" s="60">
        <v>10</v>
      </c>
      <c r="U216" s="79" t="s">
        <v>551</v>
      </c>
      <c r="W216" s="79" t="s">
        <v>106</v>
      </c>
      <c r="X216" s="79" t="s">
        <v>107</v>
      </c>
    </row>
    <row r="217" spans="2:24">
      <c r="B217" s="67" t="s">
        <v>552</v>
      </c>
      <c r="C217" s="67" t="s">
        <v>299</v>
      </c>
      <c r="D217" s="67"/>
      <c r="E217" s="67" t="s">
        <v>429</v>
      </c>
      <c r="F217" s="57">
        <v>2021</v>
      </c>
      <c r="G217" s="91">
        <f t="shared" si="258"/>
        <v>1.2</v>
      </c>
      <c r="H217" s="91"/>
      <c r="I217" s="91"/>
      <c r="J217" s="91">
        <f t="shared" ref="I217:N217" si="264">J215</f>
        <v>1168.60961046346</v>
      </c>
      <c r="K217" s="91">
        <f t="shared" si="264"/>
        <v>1.80939333626283</v>
      </c>
      <c r="L217" s="91">
        <f t="shared" si="264"/>
        <v>1168.60961046346</v>
      </c>
      <c r="M217" s="91">
        <f t="shared" si="264"/>
        <v>1.80939333626283</v>
      </c>
      <c r="N217" s="91">
        <f t="shared" si="264"/>
        <v>15</v>
      </c>
      <c r="O217" s="74">
        <v>31.54</v>
      </c>
      <c r="R217" s="60">
        <v>10</v>
      </c>
      <c r="U217" s="79" t="s">
        <v>552</v>
      </c>
      <c r="W217" s="79" t="s">
        <v>106</v>
      </c>
      <c r="X217" s="79" t="s">
        <v>107</v>
      </c>
    </row>
    <row r="218" spans="2:24">
      <c r="B218" s="67" t="s">
        <v>553</v>
      </c>
      <c r="C218" s="67" t="s">
        <v>256</v>
      </c>
      <c r="D218" s="67"/>
      <c r="E218" s="67" t="s">
        <v>433</v>
      </c>
      <c r="F218" s="57">
        <v>2021</v>
      </c>
      <c r="G218" s="91">
        <f t="shared" si="258"/>
        <v>3.8</v>
      </c>
      <c r="H218" s="91"/>
      <c r="I218" s="91"/>
      <c r="J218" s="91">
        <f t="shared" ref="I218:N218" si="265">J216</f>
        <v>450.004888888889</v>
      </c>
      <c r="K218" s="91">
        <f t="shared" si="265"/>
        <v>14.0271111111111</v>
      </c>
      <c r="L218" s="91">
        <f t="shared" si="265"/>
        <v>450.004888888889</v>
      </c>
      <c r="M218" s="91">
        <f t="shared" si="265"/>
        <v>14.0271111111111</v>
      </c>
      <c r="N218" s="91">
        <f t="shared" si="265"/>
        <v>21</v>
      </c>
      <c r="O218" s="74">
        <v>31.54</v>
      </c>
      <c r="R218" s="60">
        <v>10</v>
      </c>
      <c r="U218" s="79" t="s">
        <v>553</v>
      </c>
      <c r="W218" s="79" t="s">
        <v>106</v>
      </c>
      <c r="X218" s="79" t="s">
        <v>107</v>
      </c>
    </row>
    <row r="219" spans="2:24">
      <c r="B219" s="67" t="s">
        <v>554</v>
      </c>
      <c r="C219" s="67" t="s">
        <v>299</v>
      </c>
      <c r="D219" s="67"/>
      <c r="E219" s="67" t="s">
        <v>433</v>
      </c>
      <c r="F219" s="57">
        <v>2021</v>
      </c>
      <c r="G219" s="91">
        <f t="shared" si="258"/>
        <v>1.2</v>
      </c>
      <c r="H219" s="91"/>
      <c r="I219" s="91"/>
      <c r="J219" s="91">
        <f t="shared" ref="I219:N219" si="266">J217</f>
        <v>1168.60961046346</v>
      </c>
      <c r="K219" s="91">
        <f t="shared" si="266"/>
        <v>1.80939333626283</v>
      </c>
      <c r="L219" s="91">
        <f t="shared" si="266"/>
        <v>1168.60961046346</v>
      </c>
      <c r="M219" s="91">
        <f t="shared" si="266"/>
        <v>1.80939333626283</v>
      </c>
      <c r="N219" s="91">
        <f t="shared" si="266"/>
        <v>15</v>
      </c>
      <c r="O219" s="74">
        <v>31.54</v>
      </c>
      <c r="R219" s="60">
        <v>10</v>
      </c>
      <c r="U219" s="79" t="s">
        <v>554</v>
      </c>
      <c r="W219" s="79" t="s">
        <v>106</v>
      </c>
      <c r="X219" s="79" t="s">
        <v>107</v>
      </c>
    </row>
    <row r="220" spans="2:24">
      <c r="B220" s="67" t="s">
        <v>555</v>
      </c>
      <c r="C220" s="67" t="s">
        <v>256</v>
      </c>
      <c r="D220" s="67"/>
      <c r="E220" s="67" t="s">
        <v>437</v>
      </c>
      <c r="F220" s="57">
        <v>2021</v>
      </c>
      <c r="G220" s="91">
        <f t="shared" si="258"/>
        <v>3.8</v>
      </c>
      <c r="H220" s="91"/>
      <c r="I220" s="91"/>
      <c r="J220" s="91">
        <f t="shared" ref="I220:N220" si="267">J218</f>
        <v>450.004888888889</v>
      </c>
      <c r="K220" s="91">
        <f t="shared" si="267"/>
        <v>14.0271111111111</v>
      </c>
      <c r="L220" s="91">
        <f t="shared" si="267"/>
        <v>450.004888888889</v>
      </c>
      <c r="M220" s="91">
        <f t="shared" si="267"/>
        <v>14.0271111111111</v>
      </c>
      <c r="N220" s="91">
        <f t="shared" si="267"/>
        <v>21</v>
      </c>
      <c r="O220" s="74">
        <v>31.54</v>
      </c>
      <c r="R220" s="60">
        <v>10</v>
      </c>
      <c r="U220" s="79" t="s">
        <v>555</v>
      </c>
      <c r="W220" s="79" t="s">
        <v>106</v>
      </c>
      <c r="X220" s="79" t="s">
        <v>107</v>
      </c>
    </row>
    <row r="221" spans="2:24">
      <c r="B221" s="67" t="s">
        <v>556</v>
      </c>
      <c r="C221" s="67" t="s">
        <v>299</v>
      </c>
      <c r="D221" s="67"/>
      <c r="E221" s="67" t="s">
        <v>437</v>
      </c>
      <c r="F221" s="57">
        <v>2021</v>
      </c>
      <c r="G221" s="91">
        <f t="shared" si="258"/>
        <v>1.2</v>
      </c>
      <c r="H221" s="91"/>
      <c r="I221" s="91"/>
      <c r="J221" s="91">
        <f t="shared" ref="I221:N221" si="268">J219</f>
        <v>1168.60961046346</v>
      </c>
      <c r="K221" s="91">
        <f t="shared" si="268"/>
        <v>1.80939333626283</v>
      </c>
      <c r="L221" s="91">
        <f t="shared" si="268"/>
        <v>1168.60961046346</v>
      </c>
      <c r="M221" s="91">
        <f t="shared" si="268"/>
        <v>1.80939333626283</v>
      </c>
      <c r="N221" s="91">
        <f t="shared" si="268"/>
        <v>15</v>
      </c>
      <c r="O221" s="74">
        <v>31.54</v>
      </c>
      <c r="R221" s="60">
        <v>10</v>
      </c>
      <c r="U221" s="79" t="s">
        <v>556</v>
      </c>
      <c r="W221" s="79" t="s">
        <v>106</v>
      </c>
      <c r="X221" s="79" t="s">
        <v>107</v>
      </c>
    </row>
    <row r="222" spans="2:24">
      <c r="B222" s="67" t="s">
        <v>557</v>
      </c>
      <c r="C222" s="67" t="s">
        <v>256</v>
      </c>
      <c r="D222" s="67"/>
      <c r="E222" s="67" t="s">
        <v>442</v>
      </c>
      <c r="F222" s="57">
        <v>2021</v>
      </c>
      <c r="G222" s="91">
        <f t="shared" si="258"/>
        <v>3.8</v>
      </c>
      <c r="H222" s="91"/>
      <c r="I222" s="91"/>
      <c r="J222" s="91">
        <f t="shared" ref="I222:N222" si="269">J220</f>
        <v>450.004888888889</v>
      </c>
      <c r="K222" s="91">
        <f t="shared" si="269"/>
        <v>14.0271111111111</v>
      </c>
      <c r="L222" s="91">
        <f t="shared" si="269"/>
        <v>450.004888888889</v>
      </c>
      <c r="M222" s="91">
        <f t="shared" si="269"/>
        <v>14.0271111111111</v>
      </c>
      <c r="N222" s="91">
        <f t="shared" si="269"/>
        <v>21</v>
      </c>
      <c r="O222" s="74">
        <v>31.54</v>
      </c>
      <c r="R222" s="60">
        <v>10</v>
      </c>
      <c r="U222" s="79" t="s">
        <v>557</v>
      </c>
      <c r="W222" s="79" t="s">
        <v>106</v>
      </c>
      <c r="X222" s="79" t="s">
        <v>107</v>
      </c>
    </row>
    <row r="223" spans="2:24">
      <c r="B223" s="67" t="s">
        <v>558</v>
      </c>
      <c r="C223" s="67" t="s">
        <v>299</v>
      </c>
      <c r="D223" s="67"/>
      <c r="E223" s="67" t="s">
        <v>442</v>
      </c>
      <c r="F223" s="57">
        <v>2021</v>
      </c>
      <c r="G223" s="91">
        <f t="shared" si="258"/>
        <v>1.2</v>
      </c>
      <c r="H223" s="91"/>
      <c r="I223" s="91"/>
      <c r="J223" s="91">
        <f t="shared" ref="I223:N223" si="270">J221</f>
        <v>1168.60961046346</v>
      </c>
      <c r="K223" s="91">
        <f t="shared" si="270"/>
        <v>1.80939333626283</v>
      </c>
      <c r="L223" s="91">
        <f t="shared" si="270"/>
        <v>1168.60961046346</v>
      </c>
      <c r="M223" s="91">
        <f t="shared" si="270"/>
        <v>1.80939333626283</v>
      </c>
      <c r="N223" s="91">
        <f t="shared" si="270"/>
        <v>15</v>
      </c>
      <c r="O223" s="74">
        <v>31.54</v>
      </c>
      <c r="R223" s="60">
        <v>10</v>
      </c>
      <c r="U223" s="79" t="s">
        <v>558</v>
      </c>
      <c r="W223" s="79" t="s">
        <v>106</v>
      </c>
      <c r="X223" s="79" t="s">
        <v>107</v>
      </c>
    </row>
    <row r="224" spans="2:24">
      <c r="B224" s="67" t="s">
        <v>559</v>
      </c>
      <c r="C224" s="67" t="s">
        <v>256</v>
      </c>
      <c r="D224" s="67"/>
      <c r="E224" s="67" t="s">
        <v>446</v>
      </c>
      <c r="F224" s="57">
        <v>2021</v>
      </c>
      <c r="G224" s="91">
        <f t="shared" si="258"/>
        <v>3.8</v>
      </c>
      <c r="H224" s="91"/>
      <c r="I224" s="91"/>
      <c r="J224" s="91">
        <f t="shared" ref="I224:N224" si="271">J222</f>
        <v>450.004888888889</v>
      </c>
      <c r="K224" s="91">
        <f t="shared" si="271"/>
        <v>14.0271111111111</v>
      </c>
      <c r="L224" s="91">
        <f t="shared" si="271"/>
        <v>450.004888888889</v>
      </c>
      <c r="M224" s="91">
        <f t="shared" si="271"/>
        <v>14.0271111111111</v>
      </c>
      <c r="N224" s="91">
        <f t="shared" si="271"/>
        <v>21</v>
      </c>
      <c r="O224" s="74">
        <v>31.54</v>
      </c>
      <c r="R224" s="60">
        <v>10</v>
      </c>
      <c r="U224" s="79" t="s">
        <v>559</v>
      </c>
      <c r="W224" s="79" t="s">
        <v>106</v>
      </c>
      <c r="X224" s="79" t="s">
        <v>107</v>
      </c>
    </row>
    <row r="225" spans="2:24">
      <c r="B225" s="67" t="s">
        <v>560</v>
      </c>
      <c r="C225" s="67" t="s">
        <v>299</v>
      </c>
      <c r="D225" s="67"/>
      <c r="E225" s="67" t="s">
        <v>446</v>
      </c>
      <c r="F225" s="57">
        <v>2021</v>
      </c>
      <c r="G225" s="91">
        <f t="shared" si="258"/>
        <v>1.2</v>
      </c>
      <c r="H225" s="91"/>
      <c r="I225" s="91"/>
      <c r="J225" s="91">
        <f t="shared" ref="I225:N225" si="272">J223</f>
        <v>1168.60961046346</v>
      </c>
      <c r="K225" s="91">
        <f t="shared" si="272"/>
        <v>1.80939333626283</v>
      </c>
      <c r="L225" s="91">
        <f t="shared" si="272"/>
        <v>1168.60961046346</v>
      </c>
      <c r="M225" s="91">
        <f t="shared" si="272"/>
        <v>1.80939333626283</v>
      </c>
      <c r="N225" s="91">
        <f t="shared" si="272"/>
        <v>15</v>
      </c>
      <c r="O225" s="74">
        <v>31.54</v>
      </c>
      <c r="R225" s="60">
        <v>10</v>
      </c>
      <c r="U225" s="79" t="s">
        <v>560</v>
      </c>
      <c r="W225" s="79" t="s">
        <v>106</v>
      </c>
      <c r="X225" s="79" t="s">
        <v>107</v>
      </c>
    </row>
    <row r="226" spans="2:24">
      <c r="B226" s="91" t="str">
        <f>U226</f>
        <v>WST-SpHeat_HET1</v>
      </c>
      <c r="C226" s="92" t="s">
        <v>256</v>
      </c>
      <c r="D226" s="92"/>
      <c r="E226" s="92" t="s">
        <v>472</v>
      </c>
      <c r="F226" s="91">
        <v>2021</v>
      </c>
      <c r="G226" s="91">
        <v>1</v>
      </c>
      <c r="H226" s="91"/>
      <c r="I226" s="91">
        <v>1</v>
      </c>
      <c r="J226" s="70">
        <f>AVERAGE(17350,25580)/(48/3.412)*1</f>
        <v>1525.80375</v>
      </c>
      <c r="K226" s="70">
        <f>180/(48/3.412)*1</f>
        <v>12.795</v>
      </c>
      <c r="L226" s="70">
        <f>J226</f>
        <v>1525.80375</v>
      </c>
      <c r="M226" s="70">
        <f>K226</f>
        <v>12.795</v>
      </c>
      <c r="N226" s="70">
        <f>AVERAGE(21,8)</f>
        <v>14.5</v>
      </c>
      <c r="O226" s="74">
        <v>31.54</v>
      </c>
      <c r="P226" s="97">
        <v>0.33</v>
      </c>
      <c r="R226" s="60">
        <v>15</v>
      </c>
      <c r="S226" s="80"/>
      <c r="T226" s="40"/>
      <c r="U226" s="87" t="s">
        <v>373</v>
      </c>
      <c r="V226" s="40"/>
      <c r="W226" s="87" t="s">
        <v>106</v>
      </c>
      <c r="X226" s="87" t="s">
        <v>107</v>
      </c>
    </row>
    <row r="227" spans="2:24">
      <c r="B227" s="91"/>
      <c r="C227" s="93" t="str">
        <f>[3]COMM!$E$19</f>
        <v>RSDAHT</v>
      </c>
      <c r="E227" s="91"/>
      <c r="F227" s="91"/>
      <c r="G227" s="91"/>
      <c r="H227" s="91">
        <f>1/3</f>
        <v>0.333333333333333</v>
      </c>
      <c r="I227" s="91"/>
      <c r="J227" s="91"/>
      <c r="K227" s="91"/>
      <c r="N227" s="94"/>
      <c r="O227" s="94"/>
      <c r="P227" s="94">
        <f>1-P226</f>
        <v>0.67</v>
      </c>
      <c r="S227" s="80"/>
      <c r="T227" s="40"/>
      <c r="U227" s="87" t="s">
        <v>376</v>
      </c>
      <c r="V227" s="40"/>
      <c r="W227" s="87" t="s">
        <v>106</v>
      </c>
      <c r="X227" s="87" t="s">
        <v>107</v>
      </c>
    </row>
    <row r="228" spans="2:24">
      <c r="B228" s="94" t="str">
        <f>U227</f>
        <v>RTS-SpHeat_HET1</v>
      </c>
      <c r="C228" s="95" t="s">
        <v>256</v>
      </c>
      <c r="D228" s="95"/>
      <c r="E228" s="95" t="s">
        <v>479</v>
      </c>
      <c r="F228" s="94">
        <v>2021</v>
      </c>
      <c r="G228" s="59">
        <v>1</v>
      </c>
      <c r="H228" s="59"/>
      <c r="I228" s="91">
        <f>I226</f>
        <v>1</v>
      </c>
      <c r="J228" s="91">
        <f t="shared" ref="J228:N244" si="273">J226</f>
        <v>1525.80375</v>
      </c>
      <c r="K228" s="91">
        <f t="shared" si="273"/>
        <v>12.795</v>
      </c>
      <c r="L228" s="91">
        <f t="shared" si="273"/>
        <v>1525.80375</v>
      </c>
      <c r="M228" s="91">
        <f t="shared" si="273"/>
        <v>12.795</v>
      </c>
      <c r="N228" s="91">
        <f t="shared" si="273"/>
        <v>14.5</v>
      </c>
      <c r="O228" s="98">
        <v>31.54</v>
      </c>
      <c r="P228" s="57">
        <f>P226</f>
        <v>0.33</v>
      </c>
      <c r="R228" s="60">
        <v>15</v>
      </c>
      <c r="S228" s="80"/>
      <c r="T228" s="40"/>
      <c r="U228" s="87" t="s">
        <v>379</v>
      </c>
      <c r="V228" s="40"/>
      <c r="W228" s="87" t="s">
        <v>106</v>
      </c>
      <c r="X228" s="87" t="s">
        <v>107</v>
      </c>
    </row>
    <row r="229" spans="2:24">
      <c r="B229" s="94"/>
      <c r="C229" s="94" t="s">
        <v>251</v>
      </c>
      <c r="D229" s="96" t="str">
        <f>[3]COMM!$E$19</f>
        <v>RSDAHT</v>
      </c>
      <c r="E229" s="94"/>
      <c r="F229" s="94"/>
      <c r="G229" s="59"/>
      <c r="H229" s="59">
        <f>1/3</f>
        <v>0.333333333333333</v>
      </c>
      <c r="I229" s="59"/>
      <c r="N229" s="94"/>
      <c r="O229" s="94"/>
      <c r="P229" s="57">
        <f t="shared" ref="P229:P260" si="274">P227</f>
        <v>0.67</v>
      </c>
      <c r="S229" s="80"/>
      <c r="T229" s="40"/>
      <c r="U229" s="87" t="s">
        <v>383</v>
      </c>
      <c r="V229" s="40"/>
      <c r="W229" s="87" t="s">
        <v>106</v>
      </c>
      <c r="X229" s="87" t="s">
        <v>107</v>
      </c>
    </row>
    <row r="230" spans="2:24">
      <c r="B230" s="94" t="str">
        <f>U228</f>
        <v>TWS-SpHeat_HET1</v>
      </c>
      <c r="C230" s="95" t="str">
        <f>C228</f>
        <v>COMELC</v>
      </c>
      <c r="D230" s="95"/>
      <c r="E230" s="95" t="s">
        <v>486</v>
      </c>
      <c r="F230" s="94">
        <v>2021</v>
      </c>
      <c r="G230" s="59">
        <v>1</v>
      </c>
      <c r="H230" s="59"/>
      <c r="I230" s="91">
        <f>I228</f>
        <v>1</v>
      </c>
      <c r="J230" s="91">
        <f t="shared" si="273"/>
        <v>1525.80375</v>
      </c>
      <c r="K230" s="91">
        <f t="shared" si="273"/>
        <v>12.795</v>
      </c>
      <c r="L230" s="91">
        <f t="shared" si="273"/>
        <v>1525.80375</v>
      </c>
      <c r="M230" s="91">
        <f t="shared" si="273"/>
        <v>12.795</v>
      </c>
      <c r="N230" s="91">
        <f t="shared" si="273"/>
        <v>14.5</v>
      </c>
      <c r="O230" s="98">
        <v>31.54</v>
      </c>
      <c r="P230" s="57">
        <f t="shared" si="274"/>
        <v>0.33</v>
      </c>
      <c r="R230" s="60">
        <v>15</v>
      </c>
      <c r="S230" s="80"/>
      <c r="T230" s="40"/>
      <c r="U230" s="87" t="s">
        <v>386</v>
      </c>
      <c r="V230" s="40"/>
      <c r="W230" s="87" t="s">
        <v>106</v>
      </c>
      <c r="X230" s="87" t="s">
        <v>107</v>
      </c>
    </row>
    <row r="231" spans="2:24">
      <c r="B231" s="94"/>
      <c r="C231" s="95" t="str">
        <f t="shared" ref="C231:C262" si="275">C229</f>
        <v>RSDAHT</v>
      </c>
      <c r="D231" s="96" t="str">
        <f>[3]COMM!$E$19</f>
        <v>RSDAHT</v>
      </c>
      <c r="E231" s="94"/>
      <c r="F231" s="94"/>
      <c r="G231" s="59"/>
      <c r="H231" s="59">
        <f>1/3</f>
        <v>0.333333333333333</v>
      </c>
      <c r="I231" s="59"/>
      <c r="N231" s="94"/>
      <c r="O231" s="94"/>
      <c r="P231" s="57">
        <f t="shared" si="274"/>
        <v>0.67</v>
      </c>
      <c r="S231" s="80"/>
      <c r="T231" s="40"/>
      <c r="U231" s="40" t="s">
        <v>389</v>
      </c>
      <c r="V231" s="40"/>
      <c r="W231" s="87" t="s">
        <v>106</v>
      </c>
      <c r="X231" s="87" t="s">
        <v>107</v>
      </c>
    </row>
    <row r="232" spans="2:24">
      <c r="B232" s="94" t="str">
        <f>U229</f>
        <v>ICS-SpHeat_HET1</v>
      </c>
      <c r="C232" s="95" t="str">
        <f t="shared" si="275"/>
        <v>COMELC</v>
      </c>
      <c r="D232" s="95"/>
      <c r="E232" s="95" t="s">
        <v>493</v>
      </c>
      <c r="F232" s="94">
        <v>2021</v>
      </c>
      <c r="G232" s="59">
        <v>1</v>
      </c>
      <c r="H232" s="59"/>
      <c r="I232" s="91">
        <f>I230</f>
        <v>1</v>
      </c>
      <c r="J232" s="91">
        <f t="shared" si="273"/>
        <v>1525.80375</v>
      </c>
      <c r="K232" s="91">
        <f t="shared" si="273"/>
        <v>12.795</v>
      </c>
      <c r="L232" s="91">
        <f t="shared" si="273"/>
        <v>1525.80375</v>
      </c>
      <c r="M232" s="91">
        <f t="shared" si="273"/>
        <v>12.795</v>
      </c>
      <c r="N232" s="91">
        <f t="shared" si="273"/>
        <v>14.5</v>
      </c>
      <c r="O232" s="98">
        <v>31.54</v>
      </c>
      <c r="P232" s="57">
        <f t="shared" si="274"/>
        <v>0.33</v>
      </c>
      <c r="R232" s="60">
        <v>15</v>
      </c>
      <c r="S232" s="80"/>
      <c r="T232" s="40"/>
      <c r="U232" s="40" t="s">
        <v>393</v>
      </c>
      <c r="V232" s="40"/>
      <c r="W232" s="87" t="s">
        <v>106</v>
      </c>
      <c r="X232" s="87" t="s">
        <v>107</v>
      </c>
    </row>
    <row r="233" spans="2:24">
      <c r="B233" s="94"/>
      <c r="C233" s="95" t="str">
        <f t="shared" si="275"/>
        <v>RSDAHT</v>
      </c>
      <c r="D233" s="96" t="str">
        <f>[3]COMM!$E$19</f>
        <v>RSDAHT</v>
      </c>
      <c r="E233" s="94"/>
      <c r="F233" s="94"/>
      <c r="G233" s="59"/>
      <c r="H233" s="59">
        <f>1/3</f>
        <v>0.333333333333333</v>
      </c>
      <c r="I233" s="59"/>
      <c r="N233" s="94"/>
      <c r="O233" s="94"/>
      <c r="P233" s="57">
        <f t="shared" si="274"/>
        <v>0.67</v>
      </c>
      <c r="S233" s="80"/>
      <c r="T233" s="40"/>
      <c r="U233" s="40" t="s">
        <v>396</v>
      </c>
      <c r="V233" s="40"/>
      <c r="W233" s="87" t="s">
        <v>106</v>
      </c>
      <c r="X233" s="87" t="s">
        <v>107</v>
      </c>
    </row>
    <row r="234" spans="2:24">
      <c r="B234" s="94" t="str">
        <f>U230</f>
        <v>OS-SpHeat_HET1</v>
      </c>
      <c r="C234" s="95" t="str">
        <f t="shared" si="275"/>
        <v>COMELC</v>
      </c>
      <c r="D234" s="95"/>
      <c r="E234" s="95" t="s">
        <v>500</v>
      </c>
      <c r="F234" s="94">
        <v>2021</v>
      </c>
      <c r="G234" s="59">
        <v>1</v>
      </c>
      <c r="H234" s="59"/>
      <c r="I234" s="91">
        <f>I232</f>
        <v>1</v>
      </c>
      <c r="J234" s="91">
        <f t="shared" si="273"/>
        <v>1525.80375</v>
      </c>
      <c r="K234" s="91">
        <f t="shared" si="273"/>
        <v>12.795</v>
      </c>
      <c r="L234" s="91">
        <f t="shared" si="273"/>
        <v>1525.80375</v>
      </c>
      <c r="M234" s="91">
        <f t="shared" si="273"/>
        <v>12.795</v>
      </c>
      <c r="N234" s="91">
        <f t="shared" si="273"/>
        <v>14.5</v>
      </c>
      <c r="O234" s="98">
        <v>31.54</v>
      </c>
      <c r="P234" s="57">
        <f t="shared" si="274"/>
        <v>0.33</v>
      </c>
      <c r="R234" s="60">
        <v>15</v>
      </c>
      <c r="S234" s="80"/>
      <c r="T234" s="40"/>
      <c r="U234" s="40" t="s">
        <v>399</v>
      </c>
      <c r="V234" s="40"/>
      <c r="W234" s="87" t="s">
        <v>106</v>
      </c>
      <c r="X234" s="87" t="s">
        <v>107</v>
      </c>
    </row>
    <row r="235" spans="2:24">
      <c r="B235" s="94"/>
      <c r="C235" s="95" t="str">
        <f t="shared" si="275"/>
        <v>RSDAHT</v>
      </c>
      <c r="D235" s="96" t="str">
        <f>[3]COMM!$E$19</f>
        <v>RSDAHT</v>
      </c>
      <c r="E235" s="94"/>
      <c r="F235" s="94"/>
      <c r="G235" s="59"/>
      <c r="H235" s="59">
        <f>1/3</f>
        <v>0.333333333333333</v>
      </c>
      <c r="I235" s="59"/>
      <c r="N235" s="94"/>
      <c r="O235" s="94"/>
      <c r="P235" s="57">
        <f t="shared" si="274"/>
        <v>0.67</v>
      </c>
      <c r="S235" s="80"/>
      <c r="T235" s="40"/>
      <c r="U235" s="40" t="s">
        <v>403</v>
      </c>
      <c r="V235" s="40"/>
      <c r="W235" s="87" t="s">
        <v>106</v>
      </c>
      <c r="X235" s="87" t="s">
        <v>107</v>
      </c>
    </row>
    <row r="236" spans="2:24">
      <c r="B236" s="94" t="str">
        <f>U231</f>
        <v>EDU-SpHeat_HET1</v>
      </c>
      <c r="C236" s="95" t="str">
        <f t="shared" si="275"/>
        <v>COMELC</v>
      </c>
      <c r="D236" s="95"/>
      <c r="E236" s="95" t="s">
        <v>507</v>
      </c>
      <c r="F236" s="94">
        <v>2021</v>
      </c>
      <c r="G236" s="59">
        <v>1</v>
      </c>
      <c r="H236" s="59"/>
      <c r="I236" s="91">
        <f>I234</f>
        <v>1</v>
      </c>
      <c r="J236" s="91">
        <f t="shared" si="273"/>
        <v>1525.80375</v>
      </c>
      <c r="K236" s="91">
        <f t="shared" si="273"/>
        <v>12.795</v>
      </c>
      <c r="L236" s="91">
        <f t="shared" si="273"/>
        <v>1525.80375</v>
      </c>
      <c r="M236" s="91">
        <f t="shared" si="273"/>
        <v>12.795</v>
      </c>
      <c r="N236" s="91">
        <f t="shared" si="273"/>
        <v>14.5</v>
      </c>
      <c r="O236" s="98">
        <v>31.54</v>
      </c>
      <c r="P236" s="57">
        <f t="shared" si="274"/>
        <v>0.33</v>
      </c>
      <c r="R236" s="60">
        <v>15</v>
      </c>
      <c r="S236" s="80"/>
      <c r="T236" s="40"/>
      <c r="U236" s="87" t="s">
        <v>406</v>
      </c>
      <c r="V236" s="40"/>
      <c r="W236" s="87" t="s">
        <v>106</v>
      </c>
      <c r="X236" s="87" t="s">
        <v>107</v>
      </c>
    </row>
    <row r="237" spans="2:24">
      <c r="B237" s="94"/>
      <c r="C237" s="95" t="str">
        <f t="shared" si="275"/>
        <v>RSDAHT</v>
      </c>
      <c r="D237" s="96" t="str">
        <f>[3]COMM!$E$19</f>
        <v>RSDAHT</v>
      </c>
      <c r="E237" s="94"/>
      <c r="F237" s="94"/>
      <c r="G237" s="59"/>
      <c r="H237" s="59">
        <f>1/3</f>
        <v>0.333333333333333</v>
      </c>
      <c r="I237" s="59"/>
      <c r="N237" s="94"/>
      <c r="O237" s="94"/>
      <c r="P237" s="57">
        <f t="shared" si="274"/>
        <v>0.67</v>
      </c>
      <c r="S237" s="80"/>
      <c r="T237" s="40"/>
      <c r="U237" s="87" t="s">
        <v>410</v>
      </c>
      <c r="V237" s="40"/>
      <c r="W237" s="87" t="s">
        <v>106</v>
      </c>
      <c r="X237" s="87" t="s">
        <v>107</v>
      </c>
    </row>
    <row r="238" spans="2:24">
      <c r="B238" s="94" t="str">
        <f>U232</f>
        <v>HSS-SpHeat_HET1</v>
      </c>
      <c r="C238" s="95" t="str">
        <f t="shared" si="275"/>
        <v>COMELC</v>
      </c>
      <c r="D238" s="95"/>
      <c r="E238" s="95" t="s">
        <v>514</v>
      </c>
      <c r="F238" s="94">
        <v>2021</v>
      </c>
      <c r="G238" s="59">
        <v>1</v>
      </c>
      <c r="H238" s="59"/>
      <c r="I238" s="91">
        <f>I236</f>
        <v>1</v>
      </c>
      <c r="J238" s="91">
        <f t="shared" si="273"/>
        <v>1525.80375</v>
      </c>
      <c r="K238" s="91">
        <f t="shared" si="273"/>
        <v>12.795</v>
      </c>
      <c r="L238" s="91">
        <f t="shared" si="273"/>
        <v>1525.80375</v>
      </c>
      <c r="M238" s="91">
        <f t="shared" si="273"/>
        <v>12.795</v>
      </c>
      <c r="N238" s="91">
        <f t="shared" si="273"/>
        <v>14.5</v>
      </c>
      <c r="O238" s="98">
        <v>31.54</v>
      </c>
      <c r="P238" s="57">
        <f t="shared" si="274"/>
        <v>0.33</v>
      </c>
      <c r="R238" s="60">
        <v>15</v>
      </c>
      <c r="S238" s="80"/>
      <c r="T238" s="40"/>
      <c r="U238" s="87" t="s">
        <v>415</v>
      </c>
      <c r="V238" s="40"/>
      <c r="W238" s="87" t="s">
        <v>106</v>
      </c>
      <c r="X238" s="87" t="s">
        <v>107</v>
      </c>
    </row>
    <row r="239" spans="2:24">
      <c r="B239" s="94"/>
      <c r="C239" s="95" t="str">
        <f t="shared" si="275"/>
        <v>RSDAHT</v>
      </c>
      <c r="D239" s="96" t="str">
        <f>[3]COMM!$E$19</f>
        <v>RSDAHT</v>
      </c>
      <c r="E239" s="94"/>
      <c r="F239" s="94"/>
      <c r="G239" s="59"/>
      <c r="H239" s="59">
        <f>1/3</f>
        <v>0.333333333333333</v>
      </c>
      <c r="I239" s="59"/>
      <c r="N239" s="94"/>
      <c r="O239" s="94"/>
      <c r="P239" s="57">
        <f t="shared" si="274"/>
        <v>0.67</v>
      </c>
      <c r="S239" s="80"/>
      <c r="T239" s="40"/>
      <c r="U239" s="87" t="s">
        <v>419</v>
      </c>
      <c r="V239" s="40"/>
      <c r="W239" s="87" t="s">
        <v>106</v>
      </c>
      <c r="X239" s="87" t="s">
        <v>107</v>
      </c>
    </row>
    <row r="240" spans="2:24">
      <c r="B240" s="94" t="str">
        <f>U233</f>
        <v>ART-SpHeat_HET1</v>
      </c>
      <c r="C240" s="95" t="str">
        <f t="shared" si="275"/>
        <v>COMELC</v>
      </c>
      <c r="D240" s="95"/>
      <c r="E240" s="95" t="s">
        <v>521</v>
      </c>
      <c r="F240" s="94">
        <v>2021</v>
      </c>
      <c r="G240" s="59">
        <v>1</v>
      </c>
      <c r="H240" s="59"/>
      <c r="I240" s="91">
        <f>I238</f>
        <v>1</v>
      </c>
      <c r="J240" s="91">
        <f t="shared" si="273"/>
        <v>1525.80375</v>
      </c>
      <c r="K240" s="91">
        <f t="shared" si="273"/>
        <v>12.795</v>
      </c>
      <c r="L240" s="91">
        <f t="shared" si="273"/>
        <v>1525.80375</v>
      </c>
      <c r="M240" s="91">
        <f t="shared" si="273"/>
        <v>12.795</v>
      </c>
      <c r="N240" s="91">
        <f t="shared" si="273"/>
        <v>14.5</v>
      </c>
      <c r="O240" s="98">
        <v>31.54</v>
      </c>
      <c r="P240" s="57">
        <f t="shared" si="274"/>
        <v>0.33</v>
      </c>
      <c r="R240" s="60">
        <v>15</v>
      </c>
      <c r="S240" s="80"/>
      <c r="T240" s="40"/>
      <c r="U240" s="87" t="s">
        <v>423</v>
      </c>
      <c r="V240" s="40"/>
      <c r="W240" s="87" t="s">
        <v>106</v>
      </c>
      <c r="X240" s="87" t="s">
        <v>107</v>
      </c>
    </row>
    <row r="241" spans="2:24">
      <c r="B241" s="94"/>
      <c r="C241" s="95" t="str">
        <f t="shared" si="275"/>
        <v>RSDAHT</v>
      </c>
      <c r="D241" s="96" t="str">
        <f>[3]COMM!$E$19</f>
        <v>RSDAHT</v>
      </c>
      <c r="E241" s="94"/>
      <c r="F241" s="94"/>
      <c r="G241" s="59"/>
      <c r="H241" s="59">
        <f>1/3</f>
        <v>0.333333333333333</v>
      </c>
      <c r="I241" s="59"/>
      <c r="N241" s="94"/>
      <c r="O241" s="94"/>
      <c r="P241" s="57">
        <f t="shared" si="274"/>
        <v>0.67</v>
      </c>
      <c r="S241" s="80"/>
      <c r="T241" s="40"/>
      <c r="U241" s="40" t="s">
        <v>428</v>
      </c>
      <c r="V241" s="40"/>
      <c r="W241" s="87" t="s">
        <v>106</v>
      </c>
      <c r="X241" s="87" t="s">
        <v>107</v>
      </c>
    </row>
    <row r="242" spans="2:24">
      <c r="B242" s="94" t="str">
        <f>U234</f>
        <v>AFM-SpHeat_HET1</v>
      </c>
      <c r="C242" s="95" t="str">
        <f t="shared" si="275"/>
        <v>COMELC</v>
      </c>
      <c r="D242" s="95"/>
      <c r="E242" s="95" t="s">
        <v>528</v>
      </c>
      <c r="F242" s="94">
        <v>2021</v>
      </c>
      <c r="G242" s="59">
        <v>1</v>
      </c>
      <c r="H242" s="59"/>
      <c r="I242" s="91">
        <f>I240</f>
        <v>1</v>
      </c>
      <c r="J242" s="91">
        <f t="shared" si="273"/>
        <v>1525.80375</v>
      </c>
      <c r="K242" s="91">
        <f t="shared" si="273"/>
        <v>12.795</v>
      </c>
      <c r="L242" s="91">
        <f t="shared" si="273"/>
        <v>1525.80375</v>
      </c>
      <c r="M242" s="91">
        <f t="shared" si="273"/>
        <v>12.795</v>
      </c>
      <c r="N242" s="91">
        <f t="shared" si="273"/>
        <v>14.5</v>
      </c>
      <c r="O242" s="98">
        <v>31.54</v>
      </c>
      <c r="P242" s="57">
        <f t="shared" si="274"/>
        <v>0.33</v>
      </c>
      <c r="R242" s="60">
        <v>15</v>
      </c>
      <c r="S242" s="80"/>
      <c r="T242" s="40"/>
      <c r="U242" s="40" t="s">
        <v>432</v>
      </c>
      <c r="V242" s="40"/>
      <c r="W242" s="87" t="s">
        <v>106</v>
      </c>
      <c r="X242" s="87" t="s">
        <v>107</v>
      </c>
    </row>
    <row r="243" spans="2:24">
      <c r="B243" s="94"/>
      <c r="C243" s="95" t="str">
        <f t="shared" si="275"/>
        <v>RSDAHT</v>
      </c>
      <c r="D243" s="96" t="str">
        <f>[3]COMM!$E$19</f>
        <v>RSDAHT</v>
      </c>
      <c r="E243" s="94"/>
      <c r="F243" s="94"/>
      <c r="G243" s="59"/>
      <c r="H243" s="59">
        <f>1/3</f>
        <v>0.333333333333333</v>
      </c>
      <c r="I243" s="59"/>
      <c r="N243" s="94"/>
      <c r="O243" s="94"/>
      <c r="P243" s="57">
        <f t="shared" si="274"/>
        <v>0.67</v>
      </c>
      <c r="S243" s="80"/>
      <c r="T243" s="40"/>
      <c r="U243" s="40" t="s">
        <v>436</v>
      </c>
      <c r="V243" s="40"/>
      <c r="W243" s="87" t="s">
        <v>106</v>
      </c>
      <c r="X243" s="87" t="s">
        <v>107</v>
      </c>
    </row>
    <row r="244" spans="2:24">
      <c r="B244" s="94" t="str">
        <f>U235</f>
        <v>OTH-SpHeat_HET1</v>
      </c>
      <c r="C244" s="95" t="str">
        <f t="shared" si="275"/>
        <v>COMELC</v>
      </c>
      <c r="D244" s="95"/>
      <c r="E244" s="95" t="s">
        <v>535</v>
      </c>
      <c r="F244" s="94">
        <v>2021</v>
      </c>
      <c r="G244" s="59">
        <v>1</v>
      </c>
      <c r="H244" s="59"/>
      <c r="I244" s="91">
        <f>I242</f>
        <v>1</v>
      </c>
      <c r="J244" s="91">
        <f t="shared" si="273"/>
        <v>1525.80375</v>
      </c>
      <c r="K244" s="91">
        <f t="shared" si="273"/>
        <v>12.795</v>
      </c>
      <c r="L244" s="91">
        <f t="shared" si="273"/>
        <v>1525.80375</v>
      </c>
      <c r="M244" s="91">
        <f t="shared" si="273"/>
        <v>12.795</v>
      </c>
      <c r="N244" s="91">
        <f t="shared" si="273"/>
        <v>14.5</v>
      </c>
      <c r="O244" s="98">
        <v>31.54</v>
      </c>
      <c r="P244" s="57">
        <f t="shared" si="274"/>
        <v>0.33</v>
      </c>
      <c r="R244" s="60">
        <v>15</v>
      </c>
      <c r="S244" s="80"/>
      <c r="T244" s="40"/>
      <c r="U244" s="40" t="s">
        <v>441</v>
      </c>
      <c r="V244" s="40"/>
      <c r="W244" s="87" t="s">
        <v>106</v>
      </c>
      <c r="X244" s="87" t="s">
        <v>107</v>
      </c>
    </row>
    <row r="245" spans="2:24">
      <c r="B245" s="94"/>
      <c r="C245" s="95" t="str">
        <f t="shared" si="275"/>
        <v>RSDAHT</v>
      </c>
      <c r="D245" s="96" t="str">
        <f>[3]COMM!$E$19</f>
        <v>RSDAHT</v>
      </c>
      <c r="E245" s="94"/>
      <c r="F245" s="94"/>
      <c r="G245" s="59"/>
      <c r="H245" s="59">
        <f>1/3</f>
        <v>0.333333333333333</v>
      </c>
      <c r="I245" s="59"/>
      <c r="N245" s="94"/>
      <c r="O245" s="94"/>
      <c r="P245" s="57">
        <f t="shared" si="274"/>
        <v>0.67</v>
      </c>
      <c r="S245" s="80"/>
      <c r="T245" s="40"/>
      <c r="U245" s="40" t="s">
        <v>445</v>
      </c>
      <c r="V245" s="40"/>
      <c r="W245" s="87" t="s">
        <v>106</v>
      </c>
      <c r="X245" s="87" t="s">
        <v>107</v>
      </c>
    </row>
    <row r="246" s="40" customFormat="1" spans="2:25">
      <c r="B246" s="94" t="str">
        <f>U246</f>
        <v>WST-WaterHeat_HET1</v>
      </c>
      <c r="C246" s="95" t="str">
        <f t="shared" si="275"/>
        <v>COMELC</v>
      </c>
      <c r="D246" s="95"/>
      <c r="E246" s="95" t="s">
        <v>372</v>
      </c>
      <c r="F246" s="94">
        <v>2021</v>
      </c>
      <c r="G246" s="91">
        <v>1</v>
      </c>
      <c r="H246" s="91"/>
      <c r="I246" s="91">
        <v>1</v>
      </c>
      <c r="J246" s="91">
        <f>59940/50*1</f>
        <v>1198.8</v>
      </c>
      <c r="K246" s="91">
        <f>120/50*1</f>
        <v>2.4</v>
      </c>
      <c r="L246" s="91">
        <f>J246</f>
        <v>1198.8</v>
      </c>
      <c r="M246" s="91">
        <f>K246</f>
        <v>2.4</v>
      </c>
      <c r="N246" s="91">
        <v>15</v>
      </c>
      <c r="O246" s="99">
        <v>31.54</v>
      </c>
      <c r="P246" s="57">
        <f t="shared" si="274"/>
        <v>0.33</v>
      </c>
      <c r="R246" s="41">
        <v>15</v>
      </c>
      <c r="S246" s="80"/>
      <c r="U246" s="87" t="s">
        <v>561</v>
      </c>
      <c r="W246" s="87" t="s">
        <v>106</v>
      </c>
      <c r="X246" s="87" t="s">
        <v>107</v>
      </c>
      <c r="Y246"/>
    </row>
    <row r="247" s="40" customFormat="1" spans="2:25">
      <c r="B247" s="94"/>
      <c r="C247" s="95" t="str">
        <f t="shared" si="275"/>
        <v>RSDAHT</v>
      </c>
      <c r="D247" s="96" t="str">
        <f>[3]COMM!$E$19</f>
        <v>RSDAHT</v>
      </c>
      <c r="E247" s="94"/>
      <c r="F247" s="94"/>
      <c r="G247" s="59"/>
      <c r="H247" s="91">
        <f>1/3</f>
        <v>0.333333333333333</v>
      </c>
      <c r="I247" s="59"/>
      <c r="J247" s="59"/>
      <c r="K247" s="59"/>
      <c r="L247" s="59"/>
      <c r="M247" s="59"/>
      <c r="N247" s="94"/>
      <c r="O247" s="94"/>
      <c r="P247" s="57">
        <f t="shared" si="274"/>
        <v>0.67</v>
      </c>
      <c r="R247" s="80"/>
      <c r="S247" s="80"/>
      <c r="U247" s="87" t="s">
        <v>562</v>
      </c>
      <c r="W247" s="87" t="s">
        <v>106</v>
      </c>
      <c r="X247" s="87" t="s">
        <v>107</v>
      </c>
      <c r="Y247"/>
    </row>
    <row r="248" spans="2:24">
      <c r="B248" s="94" t="str">
        <f>U247</f>
        <v>RTS-WaterHeat_HET1</v>
      </c>
      <c r="C248" s="95" t="str">
        <f t="shared" si="275"/>
        <v>COMELC</v>
      </c>
      <c r="D248" s="95"/>
      <c r="E248" s="95" t="s">
        <v>382</v>
      </c>
      <c r="F248" s="94">
        <v>2021</v>
      </c>
      <c r="G248" s="91">
        <v>1</v>
      </c>
      <c r="H248" s="91"/>
      <c r="I248" s="91">
        <v>1</v>
      </c>
      <c r="J248" s="91">
        <f>59940/50*1</f>
        <v>1198.8</v>
      </c>
      <c r="K248" s="91">
        <f>120/50*1</f>
        <v>2.4</v>
      </c>
      <c r="L248" s="91">
        <f>J248</f>
        <v>1198.8</v>
      </c>
      <c r="M248" s="91">
        <f>K248</f>
        <v>2.4</v>
      </c>
      <c r="N248" s="91">
        <v>15</v>
      </c>
      <c r="O248" s="99">
        <v>31.54</v>
      </c>
      <c r="P248" s="57">
        <f t="shared" si="274"/>
        <v>0.33</v>
      </c>
      <c r="Q248" s="40"/>
      <c r="R248" s="41">
        <v>15</v>
      </c>
      <c r="S248" s="80"/>
      <c r="T248" s="40"/>
      <c r="U248" s="87" t="s">
        <v>563</v>
      </c>
      <c r="V248" s="40"/>
      <c r="W248" s="87" t="s">
        <v>106</v>
      </c>
      <c r="X248" s="87" t="s">
        <v>107</v>
      </c>
    </row>
    <row r="249" spans="2:24">
      <c r="B249" s="94"/>
      <c r="C249" s="95" t="str">
        <f t="shared" si="275"/>
        <v>RSDAHT</v>
      </c>
      <c r="D249" s="96" t="str">
        <f>[3]COMM!$E$19</f>
        <v>RSDAHT</v>
      </c>
      <c r="E249" s="94"/>
      <c r="F249" s="94"/>
      <c r="G249" s="59"/>
      <c r="H249" s="91">
        <f>1/3</f>
        <v>0.333333333333333</v>
      </c>
      <c r="I249" s="59"/>
      <c r="N249" s="94"/>
      <c r="O249" s="94"/>
      <c r="P249" s="57">
        <f t="shared" si="274"/>
        <v>0.67</v>
      </c>
      <c r="Q249" s="40"/>
      <c r="R249" s="80"/>
      <c r="S249" s="80"/>
      <c r="T249" s="40"/>
      <c r="U249" s="87" t="s">
        <v>564</v>
      </c>
      <c r="V249" s="40"/>
      <c r="W249" s="87" t="s">
        <v>106</v>
      </c>
      <c r="X249" s="87" t="s">
        <v>107</v>
      </c>
    </row>
    <row r="250" spans="2:24">
      <c r="B250" s="94" t="str">
        <f>U248</f>
        <v>TWS-WaterHeat_HET1</v>
      </c>
      <c r="C250" s="95" t="str">
        <f t="shared" si="275"/>
        <v>COMELC</v>
      </c>
      <c r="D250" s="95"/>
      <c r="E250" s="95" t="s">
        <v>392</v>
      </c>
      <c r="F250" s="94">
        <v>2021</v>
      </c>
      <c r="G250" s="91">
        <v>1</v>
      </c>
      <c r="H250" s="91"/>
      <c r="I250" s="91">
        <v>1</v>
      </c>
      <c r="J250" s="91">
        <f>59940/50*1</f>
        <v>1198.8</v>
      </c>
      <c r="K250" s="91">
        <f>120/50*1</f>
        <v>2.4</v>
      </c>
      <c r="L250" s="91">
        <f>J250</f>
        <v>1198.8</v>
      </c>
      <c r="M250" s="91">
        <f>K250</f>
        <v>2.4</v>
      </c>
      <c r="N250" s="91">
        <v>15</v>
      </c>
      <c r="O250" s="99">
        <v>31.54</v>
      </c>
      <c r="P250" s="57">
        <f t="shared" si="274"/>
        <v>0.33</v>
      </c>
      <c r="Q250" s="40"/>
      <c r="R250" s="41">
        <v>15</v>
      </c>
      <c r="S250" s="80"/>
      <c r="T250" s="40"/>
      <c r="U250" s="87" t="s">
        <v>565</v>
      </c>
      <c r="V250" s="40"/>
      <c r="W250" s="87" t="s">
        <v>106</v>
      </c>
      <c r="X250" s="87" t="s">
        <v>107</v>
      </c>
    </row>
    <row r="251" spans="2:24">
      <c r="B251" s="94"/>
      <c r="C251" s="95" t="str">
        <f t="shared" si="275"/>
        <v>RSDAHT</v>
      </c>
      <c r="D251" s="96" t="str">
        <f>[3]COMM!$E$19</f>
        <v>RSDAHT</v>
      </c>
      <c r="E251" s="94"/>
      <c r="F251" s="94"/>
      <c r="G251" s="59"/>
      <c r="H251" s="91">
        <f>1/3</f>
        <v>0.333333333333333</v>
      </c>
      <c r="I251" s="59"/>
      <c r="N251" s="94"/>
      <c r="O251" s="94"/>
      <c r="P251" s="57">
        <f t="shared" si="274"/>
        <v>0.67</v>
      </c>
      <c r="Q251" s="40"/>
      <c r="R251" s="80"/>
      <c r="S251" s="80"/>
      <c r="T251" s="40"/>
      <c r="U251" s="40" t="s">
        <v>566</v>
      </c>
      <c r="V251" s="40"/>
      <c r="W251" s="87" t="s">
        <v>106</v>
      </c>
      <c r="X251" s="87" t="s">
        <v>107</v>
      </c>
    </row>
    <row r="252" spans="2:24">
      <c r="B252" s="94" t="str">
        <f>U249</f>
        <v>ICS-WaterHeat_HET1</v>
      </c>
      <c r="C252" s="95" t="str">
        <f t="shared" si="275"/>
        <v>COMELC</v>
      </c>
      <c r="D252" s="95"/>
      <c r="E252" s="95" t="s">
        <v>402</v>
      </c>
      <c r="F252" s="94">
        <v>2021</v>
      </c>
      <c r="G252" s="91">
        <v>1</v>
      </c>
      <c r="H252" s="91"/>
      <c r="I252" s="91">
        <v>1</v>
      </c>
      <c r="J252" s="91">
        <f>59940/50*1</f>
        <v>1198.8</v>
      </c>
      <c r="K252" s="91">
        <f>120/50*1</f>
        <v>2.4</v>
      </c>
      <c r="L252" s="91">
        <f>J252</f>
        <v>1198.8</v>
      </c>
      <c r="M252" s="91">
        <f>K252</f>
        <v>2.4</v>
      </c>
      <c r="N252" s="91">
        <v>15</v>
      </c>
      <c r="O252" s="99">
        <v>31.54</v>
      </c>
      <c r="P252" s="57">
        <f t="shared" si="274"/>
        <v>0.33</v>
      </c>
      <c r="Q252" s="40"/>
      <c r="R252" s="41">
        <v>15</v>
      </c>
      <c r="S252" s="80"/>
      <c r="T252" s="40"/>
      <c r="U252" s="40" t="s">
        <v>567</v>
      </c>
      <c r="V252" s="40"/>
      <c r="W252" s="87" t="s">
        <v>106</v>
      </c>
      <c r="X252" s="87" t="s">
        <v>107</v>
      </c>
    </row>
    <row r="253" spans="2:24">
      <c r="B253" s="94"/>
      <c r="C253" s="95" t="str">
        <f t="shared" si="275"/>
        <v>RSDAHT</v>
      </c>
      <c r="D253" s="96" t="str">
        <f>[3]COMM!$E$19</f>
        <v>RSDAHT</v>
      </c>
      <c r="E253" s="94"/>
      <c r="F253" s="94"/>
      <c r="G253" s="59"/>
      <c r="H253" s="91">
        <f>1/3</f>
        <v>0.333333333333333</v>
      </c>
      <c r="I253" s="59"/>
      <c r="N253" s="94"/>
      <c r="O253" s="94"/>
      <c r="P253" s="57">
        <f t="shared" si="274"/>
        <v>0.67</v>
      </c>
      <c r="Q253" s="40"/>
      <c r="R253" s="80"/>
      <c r="S253" s="80"/>
      <c r="T253" s="40"/>
      <c r="U253" s="40" t="s">
        <v>568</v>
      </c>
      <c r="V253" s="40"/>
      <c r="W253" s="87" t="s">
        <v>106</v>
      </c>
      <c r="X253" s="87" t="s">
        <v>107</v>
      </c>
    </row>
    <row r="254" spans="2:24">
      <c r="B254" s="94" t="str">
        <f>U250</f>
        <v>OS-WaterHeat_HET1</v>
      </c>
      <c r="C254" s="95" t="str">
        <f t="shared" si="275"/>
        <v>COMELC</v>
      </c>
      <c r="D254" s="95"/>
      <c r="E254" s="95" t="s">
        <v>414</v>
      </c>
      <c r="F254" s="94">
        <v>2021</v>
      </c>
      <c r="G254" s="91">
        <v>1</v>
      </c>
      <c r="H254" s="91"/>
      <c r="I254" s="91">
        <v>1</v>
      </c>
      <c r="J254" s="91">
        <f>59940/50*1</f>
        <v>1198.8</v>
      </c>
      <c r="K254" s="91">
        <f>120/50*1</f>
        <v>2.4</v>
      </c>
      <c r="L254" s="91">
        <f>J254</f>
        <v>1198.8</v>
      </c>
      <c r="M254" s="91">
        <f>K254</f>
        <v>2.4</v>
      </c>
      <c r="N254" s="91">
        <v>15</v>
      </c>
      <c r="O254" s="99">
        <v>31.54</v>
      </c>
      <c r="P254" s="57">
        <f t="shared" si="274"/>
        <v>0.33</v>
      </c>
      <c r="Q254" s="40"/>
      <c r="R254" s="41">
        <v>15</v>
      </c>
      <c r="S254" s="80"/>
      <c r="T254" s="40"/>
      <c r="U254" s="40" t="s">
        <v>569</v>
      </c>
      <c r="V254" s="40"/>
      <c r="W254" s="87" t="s">
        <v>106</v>
      </c>
      <c r="X254" s="87" t="s">
        <v>107</v>
      </c>
    </row>
    <row r="255" spans="2:24">
      <c r="B255" s="94"/>
      <c r="C255" s="95" t="str">
        <f t="shared" si="275"/>
        <v>RSDAHT</v>
      </c>
      <c r="D255" s="96" t="str">
        <f>[3]COMM!$E$19</f>
        <v>RSDAHT</v>
      </c>
      <c r="E255" s="94"/>
      <c r="F255" s="94"/>
      <c r="G255" s="59"/>
      <c r="H255" s="91">
        <f>1/3</f>
        <v>0.333333333333333</v>
      </c>
      <c r="I255" s="59"/>
      <c r="N255" s="94"/>
      <c r="O255" s="94"/>
      <c r="P255" s="57">
        <f t="shared" si="274"/>
        <v>0.67</v>
      </c>
      <c r="Q255" s="40"/>
      <c r="R255" s="80"/>
      <c r="S255" s="80"/>
      <c r="T255" s="40"/>
      <c r="U255" s="40" t="s">
        <v>570</v>
      </c>
      <c r="V255" s="40"/>
      <c r="W255" s="87" t="s">
        <v>106</v>
      </c>
      <c r="X255" s="87" t="s">
        <v>107</v>
      </c>
    </row>
    <row r="256" spans="2:19">
      <c r="B256" s="94" t="str">
        <f>U251</f>
        <v>EDU-WaterHeat_HET1</v>
      </c>
      <c r="C256" s="95" t="str">
        <f t="shared" si="275"/>
        <v>COMELC</v>
      </c>
      <c r="D256" s="95"/>
      <c r="E256" s="95" t="s">
        <v>427</v>
      </c>
      <c r="F256" s="94">
        <v>2021</v>
      </c>
      <c r="G256" s="91">
        <v>1</v>
      </c>
      <c r="H256" s="91"/>
      <c r="I256" s="91">
        <v>1</v>
      </c>
      <c r="J256" s="91">
        <f>59940/50*1</f>
        <v>1198.8</v>
      </c>
      <c r="K256" s="91">
        <f>120/50*1</f>
        <v>2.4</v>
      </c>
      <c r="L256" s="91">
        <f>J256</f>
        <v>1198.8</v>
      </c>
      <c r="M256" s="91">
        <f>K256</f>
        <v>2.4</v>
      </c>
      <c r="N256" s="91">
        <v>15</v>
      </c>
      <c r="O256" s="99">
        <v>31.54</v>
      </c>
      <c r="P256" s="57">
        <f t="shared" si="274"/>
        <v>0.33</v>
      </c>
      <c r="Q256" s="40"/>
      <c r="R256" s="41">
        <v>15</v>
      </c>
      <c r="S256" s="23"/>
    </row>
    <row r="257" spans="2:19">
      <c r="B257" s="94"/>
      <c r="C257" s="95" t="str">
        <f t="shared" si="275"/>
        <v>RSDAHT</v>
      </c>
      <c r="D257" s="96" t="str">
        <f>[3]COMM!$E$19</f>
        <v>RSDAHT</v>
      </c>
      <c r="E257" s="94"/>
      <c r="F257" s="94"/>
      <c r="G257" s="59"/>
      <c r="H257" s="91">
        <f>1/3</f>
        <v>0.333333333333333</v>
      </c>
      <c r="I257" s="59"/>
      <c r="N257" s="94"/>
      <c r="O257" s="94"/>
      <c r="P257" s="57">
        <f t="shared" si="274"/>
        <v>0.67</v>
      </c>
      <c r="Q257" s="40"/>
      <c r="R257" s="80"/>
      <c r="S257" s="23"/>
    </row>
    <row r="258" spans="2:19">
      <c r="B258" s="94" t="str">
        <f>U252</f>
        <v>HSS-WaterHeat_HET1</v>
      </c>
      <c r="C258" s="95" t="str">
        <f t="shared" si="275"/>
        <v>COMELC</v>
      </c>
      <c r="D258" s="95"/>
      <c r="E258" s="95" t="s">
        <v>440</v>
      </c>
      <c r="F258" s="94">
        <v>2021</v>
      </c>
      <c r="G258" s="91">
        <v>1</v>
      </c>
      <c r="H258" s="91"/>
      <c r="I258" s="91">
        <v>1</v>
      </c>
      <c r="J258" s="91">
        <f>59940/50*1</f>
        <v>1198.8</v>
      </c>
      <c r="K258" s="91">
        <f>120/50*1</f>
        <v>2.4</v>
      </c>
      <c r="L258" s="91">
        <f>J258</f>
        <v>1198.8</v>
      </c>
      <c r="M258" s="91">
        <f>K258</f>
        <v>2.4</v>
      </c>
      <c r="N258" s="91">
        <v>15</v>
      </c>
      <c r="O258" s="99">
        <v>31.54</v>
      </c>
      <c r="P258" s="57">
        <f t="shared" si="274"/>
        <v>0.33</v>
      </c>
      <c r="Q258" s="40"/>
      <c r="R258" s="41">
        <v>15</v>
      </c>
      <c r="S258" s="23"/>
    </row>
    <row r="259" spans="2:19">
      <c r="B259" s="94"/>
      <c r="C259" s="95" t="str">
        <f t="shared" si="275"/>
        <v>RSDAHT</v>
      </c>
      <c r="D259" s="96" t="str">
        <f>[3]COMM!$E$19</f>
        <v>RSDAHT</v>
      </c>
      <c r="E259" s="94"/>
      <c r="F259" s="94"/>
      <c r="G259" s="59"/>
      <c r="H259" s="91">
        <f>1/3</f>
        <v>0.333333333333333</v>
      </c>
      <c r="I259" s="59"/>
      <c r="N259" s="94"/>
      <c r="O259" s="94"/>
      <c r="P259" s="57">
        <f t="shared" si="274"/>
        <v>0.67</v>
      </c>
      <c r="Q259" s="40"/>
      <c r="R259" s="80"/>
      <c r="S259" s="23"/>
    </row>
    <row r="260" spans="2:19">
      <c r="B260" s="94" t="str">
        <f>U253</f>
        <v>ART-WaterHeat_HET1</v>
      </c>
      <c r="C260" s="95" t="str">
        <f t="shared" si="275"/>
        <v>COMELC</v>
      </c>
      <c r="D260" s="95"/>
      <c r="E260" s="95" t="s">
        <v>451</v>
      </c>
      <c r="F260" s="94">
        <v>2021</v>
      </c>
      <c r="G260" s="91">
        <v>1</v>
      </c>
      <c r="H260" s="91"/>
      <c r="I260" s="91">
        <v>1</v>
      </c>
      <c r="J260" s="91">
        <f>59940/50*1</f>
        <v>1198.8</v>
      </c>
      <c r="K260" s="91">
        <f>120/50*1</f>
        <v>2.4</v>
      </c>
      <c r="L260" s="91">
        <f>J260</f>
        <v>1198.8</v>
      </c>
      <c r="M260" s="91">
        <f>K260</f>
        <v>2.4</v>
      </c>
      <c r="N260" s="91">
        <v>15</v>
      </c>
      <c r="O260" s="99">
        <v>31.54</v>
      </c>
      <c r="P260" s="57">
        <f t="shared" si="274"/>
        <v>0.33</v>
      </c>
      <c r="Q260" s="40"/>
      <c r="R260" s="41">
        <v>15</v>
      </c>
      <c r="S260" s="23"/>
    </row>
    <row r="261" spans="2:19">
      <c r="B261" s="94"/>
      <c r="C261" s="95" t="str">
        <f t="shared" si="275"/>
        <v>RSDAHT</v>
      </c>
      <c r="D261" s="96" t="str">
        <f>[3]COMM!$E$19</f>
        <v>RSDAHT</v>
      </c>
      <c r="E261" s="94"/>
      <c r="F261" s="94"/>
      <c r="G261" s="59"/>
      <c r="H261" s="91">
        <f>1/3</f>
        <v>0.333333333333333</v>
      </c>
      <c r="I261" s="59"/>
      <c r="N261" s="94"/>
      <c r="O261" s="94"/>
      <c r="P261" s="57">
        <f t="shared" ref="P261:P285" si="276">P259</f>
        <v>0.67</v>
      </c>
      <c r="Q261" s="40"/>
      <c r="R261" s="80"/>
      <c r="S261" s="23"/>
    </row>
    <row r="262" spans="2:19">
      <c r="B262" s="94" t="str">
        <f>U254</f>
        <v>AFM-WaterHeat_HET1</v>
      </c>
      <c r="C262" s="95" t="str">
        <f t="shared" si="275"/>
        <v>COMELC</v>
      </c>
      <c r="D262" s="95"/>
      <c r="E262" s="95" t="s">
        <v>458</v>
      </c>
      <c r="F262" s="94">
        <v>2021</v>
      </c>
      <c r="G262" s="91">
        <v>1</v>
      </c>
      <c r="H262" s="91"/>
      <c r="I262" s="91">
        <v>1</v>
      </c>
      <c r="J262" s="91">
        <f>59940/50*1</f>
        <v>1198.8</v>
      </c>
      <c r="K262" s="91">
        <f>120/50*1</f>
        <v>2.4</v>
      </c>
      <c r="L262" s="91">
        <f>J262</f>
        <v>1198.8</v>
      </c>
      <c r="M262" s="91">
        <f>K262</f>
        <v>2.4</v>
      </c>
      <c r="N262" s="91">
        <v>15</v>
      </c>
      <c r="O262" s="99">
        <v>31.54</v>
      </c>
      <c r="P262" s="57">
        <f t="shared" si="276"/>
        <v>0.33</v>
      </c>
      <c r="Q262" s="40"/>
      <c r="R262" s="41">
        <v>15</v>
      </c>
      <c r="S262" s="23"/>
    </row>
    <row r="263" spans="2:19">
      <c r="B263" s="94"/>
      <c r="C263" s="95" t="str">
        <f t="shared" ref="C263:C285" si="277">C261</f>
        <v>RSDAHT</v>
      </c>
      <c r="D263" s="96" t="str">
        <f>[3]COMM!$E$19</f>
        <v>RSDAHT</v>
      </c>
      <c r="E263" s="94"/>
      <c r="F263" s="94"/>
      <c r="G263" s="59"/>
      <c r="H263" s="91">
        <f>1/3</f>
        <v>0.333333333333333</v>
      </c>
      <c r="I263" s="59"/>
      <c r="N263" s="94"/>
      <c r="O263" s="94"/>
      <c r="P263" s="57">
        <f t="shared" si="276"/>
        <v>0.67</v>
      </c>
      <c r="Q263" s="40"/>
      <c r="R263" s="80"/>
      <c r="S263" s="23"/>
    </row>
    <row r="264" spans="2:19">
      <c r="B264" s="94" t="str">
        <f>U255</f>
        <v>OTH-WaterHeat_HET1</v>
      </c>
      <c r="C264" s="95" t="str">
        <f t="shared" si="277"/>
        <v>COMELC</v>
      </c>
      <c r="D264" s="95"/>
      <c r="E264" s="95" t="s">
        <v>465</v>
      </c>
      <c r="F264" s="94">
        <v>2021</v>
      </c>
      <c r="G264" s="91">
        <v>1</v>
      </c>
      <c r="H264" s="91"/>
      <c r="I264" s="91">
        <v>1</v>
      </c>
      <c r="J264" s="91">
        <f>59940/50*1</f>
        <v>1198.8</v>
      </c>
      <c r="K264" s="91">
        <f>120/50*1</f>
        <v>2.4</v>
      </c>
      <c r="L264" s="91">
        <f>J264</f>
        <v>1198.8</v>
      </c>
      <c r="M264" s="91">
        <f>K264</f>
        <v>2.4</v>
      </c>
      <c r="N264" s="91">
        <v>15</v>
      </c>
      <c r="O264" s="99">
        <v>31.54</v>
      </c>
      <c r="P264" s="57">
        <f t="shared" si="276"/>
        <v>0.33</v>
      </c>
      <c r="Q264" s="40"/>
      <c r="R264" s="41">
        <v>15</v>
      </c>
      <c r="S264" s="23"/>
    </row>
    <row r="265" spans="2:19">
      <c r="B265" s="94"/>
      <c r="C265" s="95" t="str">
        <f t="shared" si="277"/>
        <v>RSDAHT</v>
      </c>
      <c r="D265" s="96" t="str">
        <f>[3]COMM!$E$19</f>
        <v>RSDAHT</v>
      </c>
      <c r="E265" s="94"/>
      <c r="F265" s="94"/>
      <c r="G265" s="59"/>
      <c r="H265" s="91">
        <f>1/3</f>
        <v>0.333333333333333</v>
      </c>
      <c r="I265" s="59"/>
      <c r="N265" s="94"/>
      <c r="O265" s="94"/>
      <c r="P265" s="57">
        <f t="shared" si="276"/>
        <v>0.67</v>
      </c>
      <c r="Q265" s="40"/>
      <c r="R265" s="80"/>
      <c r="S265" s="23"/>
    </row>
    <row r="266" spans="2:21">
      <c r="B266" s="94" t="str">
        <f>U266</f>
        <v>WST-SpCool_HET1</v>
      </c>
      <c r="C266" s="95" t="str">
        <f t="shared" si="277"/>
        <v>COMELC</v>
      </c>
      <c r="D266" s="95"/>
      <c r="E266" s="95" t="s">
        <v>407</v>
      </c>
      <c r="F266" s="94">
        <v>2021</v>
      </c>
      <c r="G266" s="59">
        <v>1</v>
      </c>
      <c r="H266" s="59"/>
      <c r="I266" s="91">
        <f>I226</f>
        <v>1</v>
      </c>
      <c r="J266" s="91">
        <f t="shared" ref="J266:O266" si="278">J226</f>
        <v>1525.80375</v>
      </c>
      <c r="K266" s="91">
        <f t="shared" si="278"/>
        <v>12.795</v>
      </c>
      <c r="L266" s="91">
        <f t="shared" si="278"/>
        <v>1525.80375</v>
      </c>
      <c r="M266" s="91">
        <f t="shared" si="278"/>
        <v>12.795</v>
      </c>
      <c r="N266" s="91">
        <f t="shared" si="278"/>
        <v>14.5</v>
      </c>
      <c r="O266" s="91">
        <f t="shared" si="278"/>
        <v>31.54</v>
      </c>
      <c r="P266" s="57">
        <f t="shared" si="276"/>
        <v>0.33</v>
      </c>
      <c r="R266" s="60">
        <v>10</v>
      </c>
      <c r="S266" s="23"/>
      <c r="U266" s="100" t="str">
        <f>U236</f>
        <v>WST-SpCool_HET1</v>
      </c>
    </row>
    <row r="267" spans="2:21">
      <c r="B267" s="94"/>
      <c r="C267" s="95" t="str">
        <f t="shared" si="277"/>
        <v>RSDAHT</v>
      </c>
      <c r="D267" s="96" t="str">
        <f>[3]COMM!$E$19</f>
        <v>RSDAHT</v>
      </c>
      <c r="E267" s="94"/>
      <c r="F267" s="94"/>
      <c r="G267" s="59"/>
      <c r="H267" s="59">
        <f>1/3</f>
        <v>0.333333333333333</v>
      </c>
      <c r="I267" s="91"/>
      <c r="J267" s="91"/>
      <c r="K267" s="91"/>
      <c r="L267" s="91"/>
      <c r="M267" s="91"/>
      <c r="N267" s="91"/>
      <c r="O267" s="91"/>
      <c r="P267" s="57">
        <f t="shared" si="276"/>
        <v>0.67</v>
      </c>
      <c r="S267" s="23"/>
      <c r="U267" s="100" t="str">
        <f t="shared" ref="U267:U275" si="279">U237</f>
        <v>RTS-SpCool_HET1</v>
      </c>
    </row>
    <row r="268" spans="2:21">
      <c r="B268" s="94" t="str">
        <f>U267</f>
        <v>RTS-SpCool_HET1</v>
      </c>
      <c r="C268" s="95" t="str">
        <f t="shared" si="277"/>
        <v>COMELC</v>
      </c>
      <c r="D268" s="95"/>
      <c r="E268" s="95" t="s">
        <v>411</v>
      </c>
      <c r="F268" s="94">
        <v>2021</v>
      </c>
      <c r="G268" s="59">
        <v>1</v>
      </c>
      <c r="H268" s="59"/>
      <c r="I268" s="91">
        <f>I266</f>
        <v>1</v>
      </c>
      <c r="J268" s="91">
        <f t="shared" ref="J268:N268" si="280">J266</f>
        <v>1525.80375</v>
      </c>
      <c r="K268" s="91">
        <f t="shared" si="280"/>
        <v>12.795</v>
      </c>
      <c r="L268" s="91">
        <f t="shared" si="280"/>
        <v>1525.80375</v>
      </c>
      <c r="M268" s="91">
        <f t="shared" si="280"/>
        <v>12.795</v>
      </c>
      <c r="N268" s="91">
        <f t="shared" si="280"/>
        <v>14.5</v>
      </c>
      <c r="O268" s="99">
        <v>31.54</v>
      </c>
      <c r="P268" s="57">
        <f t="shared" si="276"/>
        <v>0.33</v>
      </c>
      <c r="R268" s="60">
        <v>10</v>
      </c>
      <c r="S268" s="23"/>
      <c r="U268" s="100" t="str">
        <f t="shared" si="279"/>
        <v>TWS-SpCool_HET1</v>
      </c>
    </row>
    <row r="269" spans="2:21">
      <c r="B269" s="94"/>
      <c r="C269" s="95" t="str">
        <f t="shared" si="277"/>
        <v>RSDAHT</v>
      </c>
      <c r="D269" s="96" t="str">
        <f>[3]COMM!$E$19</f>
        <v>RSDAHT</v>
      </c>
      <c r="E269" s="94"/>
      <c r="F269" s="94"/>
      <c r="G269" s="59"/>
      <c r="H269" s="59">
        <f>1/3</f>
        <v>0.333333333333333</v>
      </c>
      <c r="I269" s="91"/>
      <c r="J269" s="91"/>
      <c r="K269" s="91"/>
      <c r="L269" s="91"/>
      <c r="M269" s="91"/>
      <c r="N269" s="91"/>
      <c r="O269" s="91"/>
      <c r="P269" s="57">
        <f t="shared" si="276"/>
        <v>0.67</v>
      </c>
      <c r="S269" s="23"/>
      <c r="U269" s="100" t="str">
        <f t="shared" si="279"/>
        <v>ICS-SpCool_HET1</v>
      </c>
    </row>
    <row r="270" spans="2:21">
      <c r="B270" s="94" t="str">
        <f>U268</f>
        <v>TWS-SpCool_HET1</v>
      </c>
      <c r="C270" s="95" t="str">
        <f t="shared" si="277"/>
        <v>COMELC</v>
      </c>
      <c r="D270" s="95"/>
      <c r="E270" s="95" t="s">
        <v>416</v>
      </c>
      <c r="F270" s="94">
        <v>2021</v>
      </c>
      <c r="G270" s="59">
        <v>1</v>
      </c>
      <c r="H270" s="59"/>
      <c r="I270" s="91">
        <f>I268</f>
        <v>1</v>
      </c>
      <c r="J270" s="91">
        <f t="shared" ref="J270:N270" si="281">J268</f>
        <v>1525.80375</v>
      </c>
      <c r="K270" s="91">
        <f t="shared" si="281"/>
        <v>12.795</v>
      </c>
      <c r="L270" s="91">
        <f t="shared" si="281"/>
        <v>1525.80375</v>
      </c>
      <c r="M270" s="91">
        <f t="shared" si="281"/>
        <v>12.795</v>
      </c>
      <c r="N270" s="91">
        <f t="shared" si="281"/>
        <v>14.5</v>
      </c>
      <c r="O270" s="99">
        <v>31.54</v>
      </c>
      <c r="P270" s="57">
        <f t="shared" si="276"/>
        <v>0.33</v>
      </c>
      <c r="R270" s="60">
        <v>10</v>
      </c>
      <c r="S270" s="23"/>
      <c r="U270" s="100" t="str">
        <f t="shared" si="279"/>
        <v>OS-SpCool_HET1</v>
      </c>
    </row>
    <row r="271" spans="2:21">
      <c r="B271" s="94"/>
      <c r="C271" s="95" t="str">
        <f t="shared" si="277"/>
        <v>RSDAHT</v>
      </c>
      <c r="D271" s="96" t="str">
        <f>[3]COMM!$E$19</f>
        <v>RSDAHT</v>
      </c>
      <c r="E271" s="94"/>
      <c r="F271" s="94"/>
      <c r="G271" s="59"/>
      <c r="H271" s="59">
        <f>1/3</f>
        <v>0.333333333333333</v>
      </c>
      <c r="I271" s="91"/>
      <c r="J271" s="91"/>
      <c r="K271" s="91"/>
      <c r="L271" s="91"/>
      <c r="M271" s="91"/>
      <c r="N271" s="91"/>
      <c r="O271" s="91"/>
      <c r="P271" s="57">
        <f t="shared" si="276"/>
        <v>0.67</v>
      </c>
      <c r="S271" s="23"/>
      <c r="U271" s="100" t="str">
        <f t="shared" si="279"/>
        <v>EDU-SpCool_HET1</v>
      </c>
    </row>
    <row r="272" spans="2:21">
      <c r="B272" s="94" t="str">
        <f>U269</f>
        <v>ICS-SpCool_HET1</v>
      </c>
      <c r="C272" s="95" t="str">
        <f t="shared" si="277"/>
        <v>COMELC</v>
      </c>
      <c r="D272" s="95"/>
      <c r="E272" s="95" t="s">
        <v>420</v>
      </c>
      <c r="F272" s="94">
        <v>2021</v>
      </c>
      <c r="G272" s="59">
        <v>1</v>
      </c>
      <c r="H272" s="59"/>
      <c r="I272" s="91">
        <f>I270</f>
        <v>1</v>
      </c>
      <c r="J272" s="91">
        <f t="shared" ref="J272:N272" si="282">J270</f>
        <v>1525.80375</v>
      </c>
      <c r="K272" s="91">
        <f t="shared" si="282"/>
        <v>12.795</v>
      </c>
      <c r="L272" s="91">
        <f t="shared" si="282"/>
        <v>1525.80375</v>
      </c>
      <c r="M272" s="91">
        <f t="shared" si="282"/>
        <v>12.795</v>
      </c>
      <c r="N272" s="91">
        <f t="shared" si="282"/>
        <v>14.5</v>
      </c>
      <c r="O272" s="98">
        <v>31.54</v>
      </c>
      <c r="P272" s="57">
        <f t="shared" si="276"/>
        <v>0.33</v>
      </c>
      <c r="R272" s="60">
        <v>10</v>
      </c>
      <c r="S272" s="23"/>
      <c r="U272" s="100" t="str">
        <f t="shared" si="279"/>
        <v>HSS-SpCool_HET1</v>
      </c>
    </row>
    <row r="273" spans="2:21">
      <c r="B273" s="94"/>
      <c r="C273" s="95" t="str">
        <f t="shared" si="277"/>
        <v>RSDAHT</v>
      </c>
      <c r="D273" s="96" t="str">
        <f>[3]COMM!$E$19</f>
        <v>RSDAHT</v>
      </c>
      <c r="E273" s="94"/>
      <c r="F273" s="94"/>
      <c r="G273" s="59"/>
      <c r="H273" s="59">
        <f>1/3</f>
        <v>0.333333333333333</v>
      </c>
      <c r="I273" s="59"/>
      <c r="N273" s="94"/>
      <c r="O273" s="94"/>
      <c r="P273" s="57">
        <f t="shared" si="276"/>
        <v>0.67</v>
      </c>
      <c r="S273" s="23"/>
      <c r="U273" s="100" t="str">
        <f t="shared" si="279"/>
        <v>ART-SpCool_HET1</v>
      </c>
    </row>
    <row r="274" spans="2:21">
      <c r="B274" s="94" t="str">
        <f>U270</f>
        <v>OS-SpCool_HET1</v>
      </c>
      <c r="C274" s="95" t="str">
        <f t="shared" si="277"/>
        <v>COMELC</v>
      </c>
      <c r="D274" s="95"/>
      <c r="E274" s="95" t="s">
        <v>424</v>
      </c>
      <c r="F274" s="94">
        <v>2021</v>
      </c>
      <c r="G274" s="59">
        <v>1</v>
      </c>
      <c r="H274" s="59"/>
      <c r="I274" s="91">
        <f>I272</f>
        <v>1</v>
      </c>
      <c r="J274" s="91">
        <f t="shared" ref="J274:N274" si="283">J272</f>
        <v>1525.80375</v>
      </c>
      <c r="K274" s="91">
        <f t="shared" si="283"/>
        <v>12.795</v>
      </c>
      <c r="L274" s="91">
        <f t="shared" si="283"/>
        <v>1525.80375</v>
      </c>
      <c r="M274" s="91">
        <f t="shared" si="283"/>
        <v>12.795</v>
      </c>
      <c r="N274" s="91">
        <f t="shared" si="283"/>
        <v>14.5</v>
      </c>
      <c r="O274" s="98">
        <v>31.54</v>
      </c>
      <c r="P274" s="57">
        <f t="shared" si="276"/>
        <v>0.33</v>
      </c>
      <c r="R274" s="60">
        <v>10</v>
      </c>
      <c r="S274" s="23"/>
      <c r="U274" s="100" t="str">
        <f t="shared" si="279"/>
        <v>AFM-SpCool_HET1</v>
      </c>
    </row>
    <row r="275" spans="2:21">
      <c r="B275" s="94"/>
      <c r="C275" s="95" t="str">
        <f t="shared" si="277"/>
        <v>RSDAHT</v>
      </c>
      <c r="D275" s="96" t="str">
        <f>[3]COMM!$E$19</f>
        <v>RSDAHT</v>
      </c>
      <c r="E275" s="94"/>
      <c r="F275" s="94"/>
      <c r="G275" s="59"/>
      <c r="H275" s="59">
        <f>1/3</f>
        <v>0.333333333333333</v>
      </c>
      <c r="I275" s="59"/>
      <c r="N275" s="94"/>
      <c r="O275" s="94"/>
      <c r="P275" s="57">
        <f t="shared" si="276"/>
        <v>0.67</v>
      </c>
      <c r="S275" s="23"/>
      <c r="U275" s="100" t="str">
        <f t="shared" si="279"/>
        <v>OTH-SpCool_HET1</v>
      </c>
    </row>
    <row r="276" spans="2:21">
      <c r="B276" s="94" t="str">
        <f>U271</f>
        <v>EDU-SpCool_HET1</v>
      </c>
      <c r="C276" s="95" t="str">
        <f t="shared" si="277"/>
        <v>COMELC</v>
      </c>
      <c r="D276" s="95"/>
      <c r="E276" s="95" t="s">
        <v>429</v>
      </c>
      <c r="F276" s="94">
        <v>2021</v>
      </c>
      <c r="G276" s="59">
        <v>1</v>
      </c>
      <c r="H276" s="59"/>
      <c r="I276" s="91">
        <f>I274</f>
        <v>1</v>
      </c>
      <c r="J276" s="91">
        <f t="shared" ref="J276:N276" si="284">J274</f>
        <v>1525.80375</v>
      </c>
      <c r="K276" s="91">
        <f t="shared" si="284"/>
        <v>12.795</v>
      </c>
      <c r="L276" s="91">
        <f t="shared" si="284"/>
        <v>1525.80375</v>
      </c>
      <c r="M276" s="91">
        <f t="shared" si="284"/>
        <v>12.795</v>
      </c>
      <c r="N276" s="91">
        <f t="shared" si="284"/>
        <v>14.5</v>
      </c>
      <c r="O276" s="98">
        <v>31.54</v>
      </c>
      <c r="P276" s="57">
        <f t="shared" si="276"/>
        <v>0.33</v>
      </c>
      <c r="R276" s="60">
        <v>10</v>
      </c>
      <c r="S276" s="23"/>
      <c r="U276" s="100"/>
    </row>
    <row r="277" spans="2:21">
      <c r="B277" s="94"/>
      <c r="C277" s="95" t="str">
        <f t="shared" si="277"/>
        <v>RSDAHT</v>
      </c>
      <c r="D277" s="96" t="str">
        <f>[3]COMM!$E$19</f>
        <v>RSDAHT</v>
      </c>
      <c r="E277" s="94"/>
      <c r="F277" s="94"/>
      <c r="G277" s="59"/>
      <c r="H277" s="59">
        <f>1/3</f>
        <v>0.333333333333333</v>
      </c>
      <c r="I277" s="59"/>
      <c r="N277" s="94"/>
      <c r="O277" s="94"/>
      <c r="P277" s="57">
        <f t="shared" si="276"/>
        <v>0.67</v>
      </c>
      <c r="S277" s="23"/>
      <c r="U277" s="100"/>
    </row>
    <row r="278" spans="2:19">
      <c r="B278" s="94" t="str">
        <f>U272</f>
        <v>HSS-SpCool_HET1</v>
      </c>
      <c r="C278" s="95" t="str">
        <f t="shared" si="277"/>
        <v>COMELC</v>
      </c>
      <c r="D278" s="95"/>
      <c r="E278" s="95" t="s">
        <v>433</v>
      </c>
      <c r="F278" s="94">
        <v>2021</v>
      </c>
      <c r="G278" s="59">
        <v>1</v>
      </c>
      <c r="H278" s="59"/>
      <c r="I278" s="91">
        <f>I276</f>
        <v>1</v>
      </c>
      <c r="J278" s="91">
        <f t="shared" ref="J278:N278" si="285">J276</f>
        <v>1525.80375</v>
      </c>
      <c r="K278" s="91">
        <f t="shared" si="285"/>
        <v>12.795</v>
      </c>
      <c r="L278" s="91">
        <f t="shared" si="285"/>
        <v>1525.80375</v>
      </c>
      <c r="M278" s="91">
        <f t="shared" si="285"/>
        <v>12.795</v>
      </c>
      <c r="N278" s="91">
        <f t="shared" si="285"/>
        <v>14.5</v>
      </c>
      <c r="O278" s="98">
        <v>31.54</v>
      </c>
      <c r="P278" s="57">
        <f t="shared" si="276"/>
        <v>0.33</v>
      </c>
      <c r="R278" s="60">
        <v>10</v>
      </c>
      <c r="S278" s="23"/>
    </row>
    <row r="279" spans="2:19">
      <c r="B279" s="94"/>
      <c r="C279" s="95" t="str">
        <f t="shared" si="277"/>
        <v>RSDAHT</v>
      </c>
      <c r="D279" s="96" t="str">
        <f>[3]COMM!$E$19</f>
        <v>RSDAHT</v>
      </c>
      <c r="E279" s="94"/>
      <c r="F279" s="94"/>
      <c r="G279" s="59"/>
      <c r="H279" s="59">
        <f>1/3</f>
        <v>0.333333333333333</v>
      </c>
      <c r="I279" s="59"/>
      <c r="N279" s="94"/>
      <c r="O279" s="94"/>
      <c r="P279" s="57">
        <f t="shared" si="276"/>
        <v>0.67</v>
      </c>
      <c r="S279" s="23"/>
    </row>
    <row r="280" spans="2:19">
      <c r="B280" s="94" t="str">
        <f>U273</f>
        <v>ART-SpCool_HET1</v>
      </c>
      <c r="C280" s="95" t="str">
        <f t="shared" si="277"/>
        <v>COMELC</v>
      </c>
      <c r="D280" s="95"/>
      <c r="E280" s="95" t="s">
        <v>437</v>
      </c>
      <c r="F280" s="94">
        <v>2021</v>
      </c>
      <c r="G280" s="59">
        <v>1</v>
      </c>
      <c r="H280" s="59"/>
      <c r="I280" s="91">
        <f>I278</f>
        <v>1</v>
      </c>
      <c r="J280" s="91">
        <f t="shared" ref="J280:N280" si="286">J278</f>
        <v>1525.80375</v>
      </c>
      <c r="K280" s="91">
        <f t="shared" si="286"/>
        <v>12.795</v>
      </c>
      <c r="L280" s="91">
        <f t="shared" si="286"/>
        <v>1525.80375</v>
      </c>
      <c r="M280" s="91">
        <f t="shared" si="286"/>
        <v>12.795</v>
      </c>
      <c r="N280" s="91">
        <f t="shared" si="286"/>
        <v>14.5</v>
      </c>
      <c r="O280" s="98">
        <v>31.54</v>
      </c>
      <c r="P280" s="57">
        <f t="shared" si="276"/>
        <v>0.33</v>
      </c>
      <c r="R280" s="60">
        <v>10</v>
      </c>
      <c r="S280" s="23"/>
    </row>
    <row r="281" spans="2:19">
      <c r="B281" s="94"/>
      <c r="C281" s="95" t="str">
        <f t="shared" si="277"/>
        <v>RSDAHT</v>
      </c>
      <c r="D281" s="96" t="str">
        <f>[3]COMM!$E$19</f>
        <v>RSDAHT</v>
      </c>
      <c r="E281" s="94"/>
      <c r="F281" s="94"/>
      <c r="G281" s="59"/>
      <c r="H281" s="59">
        <f>1/3</f>
        <v>0.333333333333333</v>
      </c>
      <c r="I281" s="59"/>
      <c r="N281" s="94"/>
      <c r="O281" s="94"/>
      <c r="P281" s="57">
        <f t="shared" si="276"/>
        <v>0.67</v>
      </c>
      <c r="S281" s="23"/>
    </row>
    <row r="282" spans="2:19">
      <c r="B282" s="94" t="str">
        <f>U274</f>
        <v>AFM-SpCool_HET1</v>
      </c>
      <c r="C282" s="95" t="str">
        <f t="shared" si="277"/>
        <v>COMELC</v>
      </c>
      <c r="D282" s="95"/>
      <c r="E282" s="95" t="s">
        <v>442</v>
      </c>
      <c r="F282" s="94">
        <v>2021</v>
      </c>
      <c r="G282" s="59">
        <v>1</v>
      </c>
      <c r="H282" s="59"/>
      <c r="I282" s="91">
        <f>I280</f>
        <v>1</v>
      </c>
      <c r="J282" s="91">
        <f t="shared" ref="J282:N282" si="287">J280</f>
        <v>1525.80375</v>
      </c>
      <c r="K282" s="91">
        <f t="shared" si="287"/>
        <v>12.795</v>
      </c>
      <c r="L282" s="91">
        <f t="shared" si="287"/>
        <v>1525.80375</v>
      </c>
      <c r="M282" s="91">
        <f t="shared" si="287"/>
        <v>12.795</v>
      </c>
      <c r="N282" s="91">
        <f t="shared" si="287"/>
        <v>14.5</v>
      </c>
      <c r="O282" s="98">
        <v>31.54</v>
      </c>
      <c r="P282" s="57">
        <f t="shared" si="276"/>
        <v>0.33</v>
      </c>
      <c r="R282" s="60">
        <v>10</v>
      </c>
      <c r="S282" s="23"/>
    </row>
    <row r="283" spans="2:19">
      <c r="B283" s="94"/>
      <c r="C283" s="95" t="str">
        <f t="shared" si="277"/>
        <v>RSDAHT</v>
      </c>
      <c r="D283" s="96" t="str">
        <f>[3]COMM!$E$19</f>
        <v>RSDAHT</v>
      </c>
      <c r="E283" s="94"/>
      <c r="F283" s="94"/>
      <c r="G283" s="59"/>
      <c r="H283" s="59">
        <f>1/3</f>
        <v>0.333333333333333</v>
      </c>
      <c r="I283" s="59"/>
      <c r="N283" s="94"/>
      <c r="O283" s="94"/>
      <c r="P283" s="57">
        <f t="shared" si="276"/>
        <v>0.67</v>
      </c>
      <c r="S283" s="23"/>
    </row>
    <row r="284" spans="2:19">
      <c r="B284" s="94" t="str">
        <f>U275</f>
        <v>OTH-SpCool_HET1</v>
      </c>
      <c r="C284" s="95" t="str">
        <f t="shared" si="277"/>
        <v>COMELC</v>
      </c>
      <c r="D284" s="95"/>
      <c r="E284" s="95" t="s">
        <v>446</v>
      </c>
      <c r="F284" s="94">
        <v>2021</v>
      </c>
      <c r="G284" s="59">
        <v>1</v>
      </c>
      <c r="H284" s="59"/>
      <c r="I284" s="91">
        <f>I282</f>
        <v>1</v>
      </c>
      <c r="J284" s="91">
        <f t="shared" ref="J284:N284" si="288">J282</f>
        <v>1525.80375</v>
      </c>
      <c r="K284" s="91">
        <f t="shared" si="288"/>
        <v>12.795</v>
      </c>
      <c r="L284" s="91">
        <f t="shared" si="288"/>
        <v>1525.80375</v>
      </c>
      <c r="M284" s="91">
        <f t="shared" si="288"/>
        <v>12.795</v>
      </c>
      <c r="N284" s="91">
        <f t="shared" si="288"/>
        <v>14.5</v>
      </c>
      <c r="O284" s="98">
        <v>31.54</v>
      </c>
      <c r="P284" s="57">
        <f t="shared" si="276"/>
        <v>0.33</v>
      </c>
      <c r="R284" s="60">
        <v>10</v>
      </c>
      <c r="S284" s="23"/>
    </row>
    <row r="285" spans="2:19">
      <c r="B285" s="94"/>
      <c r="C285" s="95" t="str">
        <f t="shared" si="277"/>
        <v>RSDAHT</v>
      </c>
      <c r="D285" s="96" t="str">
        <f>[3]COMM!$E$19</f>
        <v>RSDAHT</v>
      </c>
      <c r="E285" s="94"/>
      <c r="F285" s="94"/>
      <c r="G285" s="59"/>
      <c r="H285" s="59">
        <f>1/3</f>
        <v>0.333333333333333</v>
      </c>
      <c r="I285" s="59"/>
      <c r="N285" s="94"/>
      <c r="O285" s="94"/>
      <c r="P285" s="57">
        <f t="shared" si="276"/>
        <v>0.67</v>
      </c>
      <c r="S285" s="23"/>
    </row>
    <row r="286" spans="7:9">
      <c r="G286" s="59"/>
      <c r="H286" s="59"/>
      <c r="I286" s="59"/>
    </row>
    <row r="287" spans="7:9">
      <c r="G287" s="59"/>
      <c r="H287" s="59"/>
      <c r="I287" s="59"/>
    </row>
    <row r="288" spans="7:9">
      <c r="G288" s="59"/>
      <c r="H288" s="59"/>
      <c r="I288" s="59"/>
    </row>
    <row r="289" spans="7:9">
      <c r="G289" s="59"/>
      <c r="H289" s="59"/>
      <c r="I289" s="59"/>
    </row>
    <row r="290" spans="7:9">
      <c r="G290" s="59"/>
      <c r="H290" s="59"/>
      <c r="I290" s="59"/>
    </row>
    <row r="291" spans="7:9">
      <c r="G291" s="59"/>
      <c r="H291" s="59"/>
      <c r="I291" s="59"/>
    </row>
    <row r="292" spans="7:9">
      <c r="G292" s="59"/>
      <c r="H292" s="59"/>
      <c r="I292" s="59"/>
    </row>
    <row r="293" spans="7:9">
      <c r="G293" s="59"/>
      <c r="H293" s="59"/>
      <c r="I293" s="59"/>
    </row>
    <row r="294" spans="7:9">
      <c r="G294" s="59"/>
      <c r="H294" s="59"/>
      <c r="I294" s="59"/>
    </row>
    <row r="295" spans="7:9">
      <c r="G295" s="59"/>
      <c r="H295" s="59"/>
      <c r="I295" s="59"/>
    </row>
    <row r="296" spans="7:9">
      <c r="G296" s="59"/>
      <c r="H296" s="59"/>
      <c r="I296" s="59"/>
    </row>
    <row r="297" spans="7:9">
      <c r="G297" s="59"/>
      <c r="H297" s="59"/>
      <c r="I297" s="59"/>
    </row>
    <row r="298" spans="7:9">
      <c r="G298" s="59"/>
      <c r="H298" s="59"/>
      <c r="I298" s="59"/>
    </row>
    <row r="299" spans="7:9">
      <c r="G299" s="59"/>
      <c r="H299" s="59"/>
      <c r="I299" s="59"/>
    </row>
    <row r="300" spans="7:9">
      <c r="G300" s="59"/>
      <c r="H300" s="59"/>
      <c r="I300" s="59"/>
    </row>
    <row r="301" spans="7:9">
      <c r="G301" s="59"/>
      <c r="H301" s="59"/>
      <c r="I301" s="59"/>
    </row>
    <row r="302" spans="7:9">
      <c r="G302" s="59"/>
      <c r="H302" s="59"/>
      <c r="I302" s="59"/>
    </row>
    <row r="303" spans="7:9">
      <c r="G303" s="59"/>
      <c r="H303" s="59"/>
      <c r="I303" s="59"/>
    </row>
    <row r="304" spans="7:9">
      <c r="G304" s="59"/>
      <c r="H304" s="59"/>
      <c r="I304" s="59"/>
    </row>
    <row r="305" spans="7:9">
      <c r="G305" s="59"/>
      <c r="H305" s="59"/>
      <c r="I305" s="59"/>
    </row>
    <row r="306" spans="7:9">
      <c r="G306" s="59"/>
      <c r="H306" s="59"/>
      <c r="I306" s="59"/>
    </row>
    <row r="307" spans="7:9">
      <c r="G307" s="59"/>
      <c r="H307" s="59"/>
      <c r="I307" s="59"/>
    </row>
    <row r="308" spans="7:9">
      <c r="G308" s="59"/>
      <c r="H308" s="59"/>
      <c r="I308" s="59"/>
    </row>
    <row r="309" spans="7:9">
      <c r="G309" s="59"/>
      <c r="H309" s="59"/>
      <c r="I309" s="59"/>
    </row>
    <row r="310" spans="7:9">
      <c r="G310" s="59"/>
      <c r="H310" s="59"/>
      <c r="I310" s="59"/>
    </row>
    <row r="311" spans="7:9">
      <c r="G311" s="59"/>
      <c r="H311" s="59"/>
      <c r="I311" s="59"/>
    </row>
    <row r="312" spans="7:9">
      <c r="G312" s="59"/>
      <c r="H312" s="59"/>
      <c r="I312" s="59"/>
    </row>
    <row r="313" spans="7:9">
      <c r="G313" s="59"/>
      <c r="H313" s="59"/>
      <c r="I313" s="59"/>
    </row>
    <row r="314" spans="7:9">
      <c r="G314" s="59"/>
      <c r="H314" s="59"/>
      <c r="I314" s="59"/>
    </row>
    <row r="315" spans="7:9">
      <c r="G315" s="59"/>
      <c r="H315" s="59"/>
      <c r="I315" s="59"/>
    </row>
    <row r="316" spans="7:9">
      <c r="G316" s="59"/>
      <c r="H316" s="59"/>
      <c r="I316" s="59"/>
    </row>
    <row r="317" spans="7:9">
      <c r="G317" s="59"/>
      <c r="H317" s="59"/>
      <c r="I317" s="59"/>
    </row>
    <row r="318" spans="7:9">
      <c r="G318" s="59"/>
      <c r="H318" s="59"/>
      <c r="I318" s="59"/>
    </row>
    <row r="319" spans="7:9">
      <c r="G319" s="59"/>
      <c r="H319" s="59"/>
      <c r="I319" s="59"/>
    </row>
    <row r="320" spans="7:9">
      <c r="G320" s="59"/>
      <c r="H320" s="59"/>
      <c r="I320" s="59"/>
    </row>
    <row r="321" spans="7:9">
      <c r="G321" s="59"/>
      <c r="H321" s="59"/>
      <c r="I321" s="59"/>
    </row>
    <row r="322" spans="7:9">
      <c r="G322" s="59"/>
      <c r="H322" s="59"/>
      <c r="I322" s="59"/>
    </row>
    <row r="323" spans="7:9">
      <c r="G323" s="59"/>
      <c r="H323" s="59"/>
      <c r="I323" s="59"/>
    </row>
    <row r="324" spans="7:9">
      <c r="G324" s="59"/>
      <c r="H324" s="59"/>
      <c r="I324" s="59"/>
    </row>
    <row r="325" spans="7:9">
      <c r="G325" s="59"/>
      <c r="H325" s="59"/>
      <c r="I325" s="59"/>
    </row>
    <row r="326" spans="7:9">
      <c r="G326" s="59"/>
      <c r="H326" s="59"/>
      <c r="I326" s="59"/>
    </row>
    <row r="327" spans="7:9">
      <c r="G327" s="59"/>
      <c r="H327" s="59"/>
      <c r="I327" s="59"/>
    </row>
    <row r="328" spans="7:9">
      <c r="G328" s="59"/>
      <c r="H328" s="59"/>
      <c r="I328" s="59"/>
    </row>
    <row r="329" spans="7:9">
      <c r="G329" s="59"/>
      <c r="H329" s="59"/>
      <c r="I329" s="59"/>
    </row>
    <row r="330" spans="7:9">
      <c r="G330" s="59"/>
      <c r="H330" s="59"/>
      <c r="I330" s="59"/>
    </row>
    <row r="331" spans="7:9">
      <c r="G331" s="59"/>
      <c r="H331" s="59"/>
      <c r="I331" s="59"/>
    </row>
    <row r="332" spans="7:9">
      <c r="G332" s="59"/>
      <c r="H332" s="59"/>
      <c r="I332" s="59"/>
    </row>
    <row r="333" spans="7:9">
      <c r="G333" s="59"/>
      <c r="H333" s="59"/>
      <c r="I333" s="59"/>
    </row>
    <row r="334" spans="7:9">
      <c r="G334" s="59"/>
      <c r="H334" s="59"/>
      <c r="I334" s="59"/>
    </row>
    <row r="335" spans="7:9">
      <c r="G335" s="59"/>
      <c r="H335" s="59"/>
      <c r="I335" s="59"/>
    </row>
    <row r="336" spans="7:9">
      <c r="G336" s="59"/>
      <c r="H336" s="59"/>
      <c r="I336" s="59"/>
    </row>
    <row r="337" spans="7:9">
      <c r="G337" s="59"/>
      <c r="H337" s="59"/>
      <c r="I337" s="59"/>
    </row>
    <row r="338" spans="7:9">
      <c r="G338" s="59"/>
      <c r="H338" s="59"/>
      <c r="I338" s="59"/>
    </row>
    <row r="339" spans="7:9">
      <c r="G339" s="59"/>
      <c r="H339" s="59"/>
      <c r="I339" s="59"/>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tabSelected="1" zoomScale="70" zoomScaleNormal="70" topLeftCell="L1" workbookViewId="0">
      <selection activeCell="U8" sqref="U8"/>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1" t="s">
        <v>6</v>
      </c>
      <c r="G5" s="40"/>
      <c r="H5" s="41"/>
      <c r="I5" s="41"/>
      <c r="J5" s="41"/>
      <c r="Q5" s="40"/>
      <c r="V5" s="19" t="s">
        <v>7</v>
      </c>
      <c r="W5" s="19"/>
      <c r="X5" s="47"/>
      <c r="Y5" s="47"/>
      <c r="Z5" s="47"/>
      <c r="AA5" s="47"/>
      <c r="AB5" s="47"/>
      <c r="AC5" s="47"/>
      <c r="AJ5" s="11" t="s">
        <v>6</v>
      </c>
      <c r="AK5" s="40"/>
      <c r="AL5" s="41"/>
      <c r="AM5" s="41"/>
      <c r="AN5" s="41"/>
    </row>
    <row r="6" ht="26.75" spans="3:40">
      <c r="C6" s="12" t="s">
        <v>8</v>
      </c>
      <c r="D6" s="12" t="s">
        <v>9</v>
      </c>
      <c r="E6" s="42" t="s">
        <v>101</v>
      </c>
      <c r="F6" s="12" t="s">
        <v>10</v>
      </c>
      <c r="G6" s="43" t="s">
        <v>11</v>
      </c>
      <c r="H6" s="44" t="s">
        <v>12</v>
      </c>
      <c r="I6" s="44" t="s">
        <v>571</v>
      </c>
      <c r="J6" s="44" t="s">
        <v>13</v>
      </c>
      <c r="K6" s="14" t="s">
        <v>15</v>
      </c>
      <c r="L6" s="14" t="s">
        <v>17</v>
      </c>
      <c r="M6" s="14" t="s">
        <v>18</v>
      </c>
      <c r="N6" s="14" t="s">
        <v>20</v>
      </c>
      <c r="O6" s="14" t="s">
        <v>21</v>
      </c>
      <c r="P6" s="14" t="s">
        <v>23</v>
      </c>
      <c r="Q6" s="48" t="s">
        <v>25</v>
      </c>
      <c r="R6" s="26" t="s">
        <v>24</v>
      </c>
      <c r="S6" s="49" t="s">
        <v>572</v>
      </c>
      <c r="T6" s="50" t="s">
        <v>102</v>
      </c>
      <c r="V6" s="51" t="s">
        <v>27</v>
      </c>
      <c r="W6" s="51" t="s">
        <v>8</v>
      </c>
      <c r="X6" s="51" t="s">
        <v>29</v>
      </c>
      <c r="Y6" s="51" t="s">
        <v>30</v>
      </c>
      <c r="Z6" s="51" t="s">
        <v>31</v>
      </c>
      <c r="AA6" s="51" t="s">
        <v>32</v>
      </c>
      <c r="AB6" s="51" t="s">
        <v>33</v>
      </c>
      <c r="AC6" s="51"/>
      <c r="AG6" s="12" t="s">
        <v>8</v>
      </c>
      <c r="AH6" s="12" t="s">
        <v>9</v>
      </c>
      <c r="AI6" s="42" t="s">
        <v>101</v>
      </c>
      <c r="AJ6" s="12" t="s">
        <v>10</v>
      </c>
      <c r="AK6" s="54" t="s">
        <v>13</v>
      </c>
      <c r="AL6" s="55" t="s">
        <v>49</v>
      </c>
      <c r="AM6" s="44"/>
      <c r="AN6" s="44"/>
    </row>
    <row r="7" ht="175" spans="3:38">
      <c r="C7" t="str">
        <f>W7</f>
        <v>R_ES-SH-SD_GAS_hydrogen_HE1</v>
      </c>
      <c r="D7" t="s">
        <v>111</v>
      </c>
      <c r="F7" t="s">
        <v>105</v>
      </c>
      <c r="G7" s="40">
        <f>RSD!G11</f>
        <v>2021</v>
      </c>
      <c r="H7" s="40">
        <f>RSD!H11</f>
        <v>0.9</v>
      </c>
      <c r="I7" s="40"/>
      <c r="J7" s="40"/>
      <c r="K7" s="40">
        <f>RSD!K11</f>
        <v>573.73785</v>
      </c>
      <c r="L7" s="40">
        <f>RSD!L11</f>
        <v>6</v>
      </c>
      <c r="M7" s="40">
        <f>RSD!M11</f>
        <v>573.73785</v>
      </c>
      <c r="N7" s="40">
        <f>RSD!N11</f>
        <v>6</v>
      </c>
      <c r="O7" s="40">
        <f>RSD!O11</f>
        <v>573.73785</v>
      </c>
      <c r="P7" s="40">
        <f>RSD!P11</f>
        <v>6</v>
      </c>
      <c r="Q7" s="40">
        <f>RSD!Q11</f>
        <v>22</v>
      </c>
      <c r="R7" s="40">
        <f>RSD!R11</f>
        <v>31.54</v>
      </c>
      <c r="S7">
        <f t="shared" ref="S7:S11" si="0">1-S8</f>
        <v>0.8</v>
      </c>
      <c r="T7">
        <f t="shared" ref="T7:T11" si="1">1-T8</f>
        <v>1</v>
      </c>
      <c r="V7" s="52" t="s">
        <v>51</v>
      </c>
      <c r="W7" t="s">
        <v>573</v>
      </c>
      <c r="X7" s="52"/>
      <c r="Y7" s="52" t="s">
        <v>106</v>
      </c>
      <c r="Z7" s="52" t="s">
        <v>107</v>
      </c>
      <c r="AA7" s="52"/>
      <c r="AB7" s="52"/>
      <c r="AC7" s="52"/>
      <c r="AG7" t="str">
        <f>C7</f>
        <v>R_ES-SH-SD_GAS_hydrogen_HE1</v>
      </c>
      <c r="AK7">
        <f>AVERAGE(RSD!J155:J157)</f>
        <v>0.27644125731911</v>
      </c>
      <c r="AL7" s="56" t="s">
        <v>249</v>
      </c>
    </row>
    <row r="8" ht="175" spans="4:38">
      <c r="D8" s="45" t="s">
        <v>574</v>
      </c>
      <c r="S8" s="53">
        <v>0.2</v>
      </c>
      <c r="T8">
        <v>0</v>
      </c>
      <c r="W8" t="s">
        <v>49</v>
      </c>
      <c r="AA8" s="52"/>
      <c r="AG8" t="str">
        <f>C9</f>
        <v>R_ES-SH-SA_GAS_hydrogen_HE1</v>
      </c>
      <c r="AK8">
        <f>RSD!J174</f>
        <v>0.148009559556309</v>
      </c>
      <c r="AL8" s="56" t="s">
        <v>249</v>
      </c>
    </row>
    <row r="9" ht="175" spans="3:38">
      <c r="C9" t="str">
        <f>W9</f>
        <v>R_ES-SH-SA_GAS_hydrogen_HE1</v>
      </c>
      <c r="D9" t="s">
        <v>111</v>
      </c>
      <c r="F9" t="s">
        <v>144</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575</v>
      </c>
      <c r="Y9" s="52" t="s">
        <v>106</v>
      </c>
      <c r="Z9" s="52" t="s">
        <v>107</v>
      </c>
      <c r="AA9" s="52"/>
      <c r="AB9" s="52"/>
      <c r="AC9" s="52"/>
      <c r="AG9" t="str">
        <f>C11</f>
        <v>R_ES-SH-AP_GAS_hydrogen_HE1</v>
      </c>
      <c r="AK9">
        <f>RSD!J193</f>
        <v>0.18900772326985</v>
      </c>
      <c r="AL9" s="56" t="s">
        <v>249</v>
      </c>
    </row>
    <row r="10" ht="175" spans="4:38">
      <c r="D10" t="str">
        <f>D8</f>
        <v>RSDSYNH2CT</v>
      </c>
      <c r="S10">
        <f t="shared" ref="S10:S14" si="3">S8</f>
        <v>0.2</v>
      </c>
      <c r="T10">
        <v>0</v>
      </c>
      <c r="W10" t="s">
        <v>49</v>
      </c>
      <c r="AA10" s="52"/>
      <c r="AG10" t="str">
        <f>C13</f>
        <v>R_ES-SH-MOB_GAS_hydrogen_HE1</v>
      </c>
      <c r="AK10">
        <f>RSD!J212</f>
        <v>0.542665635221575</v>
      </c>
      <c r="AL10" s="56" t="s">
        <v>249</v>
      </c>
    </row>
    <row r="11" ht="175" spans="3:38">
      <c r="C11" t="str">
        <f>W11</f>
        <v>R_ES-SH-AP_GAS_hydrogen_HE1</v>
      </c>
      <c r="D11" t="str">
        <f>D7</f>
        <v>RSDGAS</v>
      </c>
      <c r="F11" t="s">
        <v>159</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576</v>
      </c>
      <c r="Y11" s="52" t="s">
        <v>106</v>
      </c>
      <c r="Z11" s="52" t="s">
        <v>107</v>
      </c>
      <c r="AA11" s="52"/>
      <c r="AB11" s="52"/>
      <c r="AC11" s="52"/>
      <c r="AG11" t="s">
        <v>577</v>
      </c>
      <c r="AK11">
        <f>COM!AJ7</f>
        <v>0.7560308930794</v>
      </c>
      <c r="AL11" s="56" t="s">
        <v>249</v>
      </c>
    </row>
    <row r="12" ht="137.5" spans="4:38">
      <c r="D12" t="str">
        <f t="shared" ref="D12:D20" si="5">D8</f>
        <v>RSDSYNH2CT</v>
      </c>
      <c r="S12">
        <f t="shared" si="3"/>
        <v>0.2</v>
      </c>
      <c r="T12">
        <v>0</v>
      </c>
      <c r="W12" t="s">
        <v>49</v>
      </c>
      <c r="AA12" s="52"/>
      <c r="AG12" t="s">
        <v>578</v>
      </c>
      <c r="AK12">
        <f>COM!AJ67</f>
        <v>0.0536638913770539</v>
      </c>
      <c r="AL12" s="56" t="s">
        <v>250</v>
      </c>
    </row>
    <row r="13" spans="3:29">
      <c r="C13" t="str">
        <f>W13</f>
        <v>R_ES-SH-MOB_GAS_hydrogen_HE1</v>
      </c>
      <c r="D13" t="str">
        <f t="shared" si="5"/>
        <v>RSDGAS</v>
      </c>
      <c r="F13" t="s">
        <v>174</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579</v>
      </c>
      <c r="Y13" s="52" t="s">
        <v>106</v>
      </c>
      <c r="Z13" s="52" t="s">
        <v>107</v>
      </c>
      <c r="AA13" s="52"/>
      <c r="AB13" s="52"/>
      <c r="AC13" s="52"/>
    </row>
    <row r="14" spans="4:27">
      <c r="D14" t="str">
        <f t="shared" si="5"/>
        <v>RSDSYNH2CT</v>
      </c>
      <c r="S14">
        <f t="shared" si="3"/>
        <v>0.2</v>
      </c>
      <c r="T14">
        <v>0</v>
      </c>
      <c r="W14" t="s">
        <v>49</v>
      </c>
      <c r="AA14" s="52"/>
    </row>
    <row r="15" spans="3:29">
      <c r="C15" s="46" t="str">
        <f>W15</f>
        <v>R_ES-WH-SD_GAS_hydrogen1</v>
      </c>
      <c r="D15" s="46" t="s">
        <v>111</v>
      </c>
      <c r="E15" s="46"/>
      <c r="F15" s="46" t="s">
        <v>197</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6" t="s">
        <v>580</v>
      </c>
      <c r="Y15" s="52" t="s">
        <v>106</v>
      </c>
      <c r="Z15" s="52" t="s">
        <v>107</v>
      </c>
      <c r="AA15" s="52"/>
      <c r="AB15" s="52"/>
      <c r="AC15" s="52"/>
    </row>
    <row r="16" spans="3:27">
      <c r="C16" s="46"/>
      <c r="D16" t="str">
        <f>D14</f>
        <v>RSDSYNH2CT</v>
      </c>
      <c r="S16" s="53">
        <v>0.2</v>
      </c>
      <c r="T16">
        <v>0</v>
      </c>
      <c r="W16" t="s">
        <v>49</v>
      </c>
      <c r="AA16" s="52"/>
    </row>
    <row r="17" spans="3:29">
      <c r="C17" s="46" t="str">
        <f t="shared" ref="C16:C21" si="9">W17</f>
        <v>R_ES-WH-SA_GAS_hydrogen1</v>
      </c>
      <c r="D17" t="str">
        <f t="shared" si="5"/>
        <v>RSDGAS</v>
      </c>
      <c r="F17" s="46" t="s">
        <v>205</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6" t="s">
        <v>581</v>
      </c>
      <c r="Y17" s="52" t="s">
        <v>106</v>
      </c>
      <c r="Z17" s="52" t="s">
        <v>107</v>
      </c>
      <c r="AA17" s="52"/>
      <c r="AB17" s="52"/>
      <c r="AC17" s="52"/>
    </row>
    <row r="18" spans="3:27">
      <c r="C18" s="46"/>
      <c r="D18" t="str">
        <f t="shared" si="5"/>
        <v>RSDSYNH2CT</v>
      </c>
      <c r="S18">
        <f t="shared" ref="S18:S22" si="11">S16</f>
        <v>0.2</v>
      </c>
      <c r="T18">
        <f t="shared" ref="T18:T22" si="12">T16</f>
        <v>0</v>
      </c>
      <c r="W18" t="s">
        <v>49</v>
      </c>
      <c r="AA18" s="52"/>
    </row>
    <row r="19" spans="3:29">
      <c r="C19" s="46" t="str">
        <f t="shared" si="9"/>
        <v>R_ES-WH-AP_GAS_hydrogen1</v>
      </c>
      <c r="D19" t="str">
        <f t="shared" si="5"/>
        <v>RSDGAS</v>
      </c>
      <c r="F19" s="46" t="s">
        <v>212</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6" t="s">
        <v>582</v>
      </c>
      <c r="Y19" s="52" t="s">
        <v>106</v>
      </c>
      <c r="Z19" s="52" t="s">
        <v>107</v>
      </c>
      <c r="AA19" s="52"/>
      <c r="AB19" s="52"/>
      <c r="AC19" s="52"/>
    </row>
    <row r="20" spans="3:27">
      <c r="C20" s="46"/>
      <c r="D20" t="str">
        <f t="shared" si="5"/>
        <v>RSDSYNH2CT</v>
      </c>
      <c r="S20">
        <f t="shared" si="11"/>
        <v>0.2</v>
      </c>
      <c r="T20">
        <f t="shared" si="12"/>
        <v>0</v>
      </c>
      <c r="W20" t="s">
        <v>49</v>
      </c>
      <c r="AA20" s="52"/>
    </row>
    <row r="21" spans="3:29">
      <c r="C21" s="46" t="str">
        <f t="shared" si="9"/>
        <v>R_ES-WH-MOB_GAS_hydrogen1</v>
      </c>
      <c r="D21" s="46" t="s">
        <v>111</v>
      </c>
      <c r="F21" s="46" t="s">
        <v>219</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6" t="s">
        <v>583</v>
      </c>
      <c r="Y21" s="52" t="s">
        <v>106</v>
      </c>
      <c r="Z21" s="52" t="s">
        <v>107</v>
      </c>
      <c r="AA21" s="52"/>
      <c r="AB21" s="52"/>
      <c r="AC21" s="52"/>
    </row>
    <row r="22" spans="4:27">
      <c r="D22" t="str">
        <f>D20</f>
        <v>RSDSYNH2CT</v>
      </c>
      <c r="S22">
        <f t="shared" si="11"/>
        <v>0.2</v>
      </c>
      <c r="T22">
        <f t="shared" si="12"/>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S23">
        <f t="shared" si="14"/>
        <v>0.8</v>
      </c>
      <c r="T23">
        <f t="shared" si="15"/>
        <v>1</v>
      </c>
      <c r="W23" t="s">
        <v>584</v>
      </c>
      <c r="Y23" s="52" t="s">
        <v>106</v>
      </c>
      <c r="Z23" s="52" t="s">
        <v>107</v>
      </c>
      <c r="AA23" s="52"/>
      <c r="AB23" s="52"/>
      <c r="AC23" s="52"/>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585</v>
      </c>
      <c r="Y25" s="52" t="s">
        <v>106</v>
      </c>
      <c r="Z25" s="52" t="s">
        <v>107</v>
      </c>
      <c r="AA25" s="52"/>
      <c r="AB25" s="52"/>
      <c r="AC25" s="52"/>
    </row>
    <row r="26" spans="4:27">
      <c r="D26" t="str">
        <f t="shared" ref="D26:D31" si="19">D24</f>
        <v>RSDSYNH2CT</v>
      </c>
      <c r="S26">
        <f t="shared" ref="S26:S30" si="20">S24</f>
        <v>0.2</v>
      </c>
      <c r="T26">
        <f t="shared" ref="T26:T30" si="21">T24</f>
        <v>0</v>
      </c>
      <c r="W26" t="s">
        <v>49</v>
      </c>
      <c r="AA26" s="52"/>
    </row>
    <row r="27" spans="3:29">
      <c r="C27" t="str">
        <f t="shared" ref="C26:C57" si="22">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S27">
        <f t="shared" si="17"/>
        <v>0.8</v>
      </c>
      <c r="T27">
        <f t="shared" si="18"/>
        <v>1</v>
      </c>
      <c r="W27" t="s">
        <v>586</v>
      </c>
      <c r="Y27" s="52" t="s">
        <v>106</v>
      </c>
      <c r="Z27" s="52" t="s">
        <v>107</v>
      </c>
      <c r="AA27" s="52"/>
      <c r="AB27" s="52"/>
      <c r="AC27" s="52"/>
    </row>
    <row r="28" spans="4:27">
      <c r="D28" t="str">
        <f t="shared" si="19"/>
        <v>RSDSYNH2CT</v>
      </c>
      <c r="S28">
        <f t="shared" si="20"/>
        <v>0.2</v>
      </c>
      <c r="T28">
        <f t="shared" si="21"/>
        <v>0</v>
      </c>
      <c r="W28" t="s">
        <v>49</v>
      </c>
      <c r="AA28" s="52"/>
    </row>
    <row r="29" spans="3:29">
      <c r="C29" t="str">
        <f t="shared" si="22"/>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S29">
        <f t="shared" si="17"/>
        <v>0.8</v>
      </c>
      <c r="T29">
        <f t="shared" si="18"/>
        <v>1</v>
      </c>
      <c r="W29" t="s">
        <v>587</v>
      </c>
      <c r="Y29" s="52" t="s">
        <v>106</v>
      </c>
      <c r="Z29" s="52" t="s">
        <v>107</v>
      </c>
      <c r="AA29" s="52"/>
      <c r="AB29" s="52"/>
      <c r="AC29" s="52"/>
    </row>
    <row r="30" spans="4:27">
      <c r="D30" t="str">
        <f t="shared" si="19"/>
        <v>RSDSYNH2CT</v>
      </c>
      <c r="S30">
        <f t="shared" si="20"/>
        <v>0.2</v>
      </c>
      <c r="T30">
        <f t="shared" si="21"/>
        <v>0</v>
      </c>
      <c r="W30" t="s">
        <v>49</v>
      </c>
      <c r="AA30" s="52"/>
    </row>
    <row r="31" spans="3:29">
      <c r="C31" t="str">
        <f t="shared" si="22"/>
        <v>OS-AuxiliaryEquip_GAS_hydrogen1</v>
      </c>
      <c r="D31" t="str">
        <f t="shared" si="19"/>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588</v>
      </c>
      <c r="Y31" s="52" t="s">
        <v>106</v>
      </c>
      <c r="Z31" s="52" t="s">
        <v>107</v>
      </c>
      <c r="AA31" s="52"/>
      <c r="AB31" s="52"/>
      <c r="AC31" s="52"/>
    </row>
    <row r="32" spans="4:27">
      <c r="D32" t="str">
        <f t="shared" ref="D32:D63" si="25">D30</f>
        <v>RSDSYNH2CT</v>
      </c>
      <c r="S32">
        <f>S30</f>
        <v>0.2</v>
      </c>
      <c r="T32">
        <f>T30</f>
        <v>0</v>
      </c>
      <c r="W32" t="s">
        <v>49</v>
      </c>
      <c r="AA32" s="52"/>
    </row>
    <row r="33" spans="3:29">
      <c r="C33" t="str">
        <f t="shared" si="22"/>
        <v>EDU-AuxiliaryEquip_GAS_hydrogen1</v>
      </c>
      <c r="D33" t="str">
        <f t="shared" si="2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S33">
        <f t="shared" si="23"/>
        <v>0.8</v>
      </c>
      <c r="T33">
        <f t="shared" si="24"/>
        <v>1</v>
      </c>
      <c r="W33" t="s">
        <v>589</v>
      </c>
      <c r="Y33" s="52" t="s">
        <v>106</v>
      </c>
      <c r="Z33" s="52" t="s">
        <v>107</v>
      </c>
      <c r="AA33" s="52"/>
      <c r="AB33" s="52"/>
      <c r="AC33" s="52"/>
    </row>
    <row r="34" spans="4:27">
      <c r="D34" t="str">
        <f t="shared" si="25"/>
        <v>RSDSYNH2CT</v>
      </c>
      <c r="S34">
        <v>0.2</v>
      </c>
      <c r="T34">
        <v>0</v>
      </c>
      <c r="W34" t="s">
        <v>49</v>
      </c>
      <c r="AA34" s="52"/>
    </row>
    <row r="35" spans="3:29">
      <c r="C35" t="str">
        <f t="shared" si="22"/>
        <v>HSS-AuxiliaryEquip_GAS_hydrogen1</v>
      </c>
      <c r="D35" t="str">
        <f t="shared" si="2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S35">
        <f t="shared" si="23"/>
        <v>0.8</v>
      </c>
      <c r="T35">
        <f t="shared" si="24"/>
        <v>1</v>
      </c>
      <c r="W35" t="s">
        <v>590</v>
      </c>
      <c r="Y35" s="52" t="s">
        <v>106</v>
      </c>
      <c r="Z35" s="52" t="s">
        <v>107</v>
      </c>
      <c r="AA35" s="52"/>
      <c r="AB35" s="52"/>
      <c r="AC35" s="52"/>
    </row>
    <row r="36" spans="4:27">
      <c r="D36" t="str">
        <f t="shared" si="25"/>
        <v>RSDSYNH2CT</v>
      </c>
      <c r="S36">
        <f t="shared" ref="S36:S40" si="26">S34</f>
        <v>0.2</v>
      </c>
      <c r="T36">
        <f t="shared" ref="T36:T40" si="27">T34</f>
        <v>0</v>
      </c>
      <c r="W36" t="s">
        <v>49</v>
      </c>
      <c r="AA36" s="52"/>
    </row>
    <row r="37" spans="3:29">
      <c r="C37" t="str">
        <f t="shared" si="22"/>
        <v>ART-AuxiliaryEquip_GAS_hydrogen1</v>
      </c>
      <c r="D37" t="str">
        <f t="shared" si="2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591</v>
      </c>
      <c r="Y37" s="52" t="s">
        <v>106</v>
      </c>
      <c r="Z37" s="52" t="s">
        <v>107</v>
      </c>
      <c r="AA37" s="52"/>
      <c r="AB37" s="52"/>
      <c r="AC37" s="52"/>
    </row>
    <row r="38" spans="4:27">
      <c r="D38" t="str">
        <f t="shared" si="25"/>
        <v>RSDSYNH2CT</v>
      </c>
      <c r="S38">
        <f t="shared" si="26"/>
        <v>0.2</v>
      </c>
      <c r="T38">
        <f t="shared" si="27"/>
        <v>0</v>
      </c>
      <c r="W38" t="s">
        <v>49</v>
      </c>
      <c r="AA38" s="52"/>
    </row>
    <row r="39" spans="3:29">
      <c r="C39" t="str">
        <f t="shared" si="22"/>
        <v>AFM-AuxiliaryEquip_GAS_hydrogen1</v>
      </c>
      <c r="D39" t="str">
        <f t="shared" si="2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S39">
        <f t="shared" si="28"/>
        <v>0.8</v>
      </c>
      <c r="T39">
        <f t="shared" si="29"/>
        <v>1</v>
      </c>
      <c r="W39" t="s">
        <v>592</v>
      </c>
      <c r="Y39" s="52" t="s">
        <v>106</v>
      </c>
      <c r="Z39" s="52" t="s">
        <v>107</v>
      </c>
      <c r="AA39" s="52"/>
      <c r="AB39" s="52"/>
      <c r="AC39" s="52"/>
    </row>
    <row r="40" spans="4:27">
      <c r="D40" t="str">
        <f t="shared" si="25"/>
        <v>RSDSYNH2CT</v>
      </c>
      <c r="S40">
        <f t="shared" si="26"/>
        <v>0.2</v>
      </c>
      <c r="T40">
        <f t="shared" si="27"/>
        <v>0</v>
      </c>
      <c r="W40" t="s">
        <v>49</v>
      </c>
      <c r="AA40" s="52"/>
    </row>
    <row r="41" spans="3:29">
      <c r="C41" t="str">
        <f t="shared" si="22"/>
        <v>OTH-AuxiliaryEquip_GAS_hydrogen1</v>
      </c>
      <c r="D41" t="str">
        <f t="shared" si="2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S41">
        <f t="shared" si="28"/>
        <v>0.8</v>
      </c>
      <c r="T41">
        <f t="shared" si="29"/>
        <v>1</v>
      </c>
      <c r="W41" t="s">
        <v>593</v>
      </c>
      <c r="Y41" s="52" t="s">
        <v>106</v>
      </c>
      <c r="Z41" s="52" t="s">
        <v>107</v>
      </c>
      <c r="AA41" s="52"/>
      <c r="AB41" s="52"/>
      <c r="AC41" s="52"/>
    </row>
    <row r="42" spans="4:27">
      <c r="D42" t="str">
        <f t="shared" si="25"/>
        <v>RSDSYNH2CT</v>
      </c>
      <c r="S42">
        <f>S40</f>
        <v>0.2</v>
      </c>
      <c r="T42">
        <f>T40</f>
        <v>0</v>
      </c>
      <c r="W42" t="s">
        <v>49</v>
      </c>
      <c r="AA42" s="52"/>
    </row>
    <row r="43" spans="3:29">
      <c r="C43" t="str">
        <f t="shared" si="22"/>
        <v>WST-WaterHeat_GAS_hydrogen1</v>
      </c>
      <c r="D43" t="str">
        <f t="shared" si="2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594</v>
      </c>
      <c r="Y43" s="52" t="s">
        <v>106</v>
      </c>
      <c r="Z43" s="52" t="s">
        <v>107</v>
      </c>
      <c r="AA43" s="52"/>
      <c r="AB43" s="52"/>
      <c r="AC43" s="52"/>
    </row>
    <row r="44" spans="4:27">
      <c r="D44" t="str">
        <f t="shared" si="25"/>
        <v>RSDSYNH2CT</v>
      </c>
      <c r="S44">
        <v>0.2</v>
      </c>
      <c r="T44">
        <v>0</v>
      </c>
      <c r="W44" t="s">
        <v>49</v>
      </c>
      <c r="AA44" s="52"/>
    </row>
    <row r="45" spans="3:29">
      <c r="C45" t="str">
        <f t="shared" si="22"/>
        <v>RTS-WaterHeat_GAS_hydrogen1</v>
      </c>
      <c r="D45" t="str">
        <f t="shared" si="2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S45">
        <f t="shared" si="30"/>
        <v>0.8</v>
      </c>
      <c r="T45">
        <f t="shared" si="31"/>
        <v>1</v>
      </c>
      <c r="W45" t="s">
        <v>595</v>
      </c>
      <c r="Y45" s="52" t="s">
        <v>106</v>
      </c>
      <c r="Z45" s="52" t="s">
        <v>107</v>
      </c>
      <c r="AA45" s="52"/>
      <c r="AB45" s="52"/>
      <c r="AC45" s="52"/>
    </row>
    <row r="46" spans="4:27">
      <c r="D46" t="str">
        <f t="shared" si="25"/>
        <v>RSDSYNH2CT</v>
      </c>
      <c r="S46">
        <f t="shared" ref="S46:S50" si="32">S44</f>
        <v>0.2</v>
      </c>
      <c r="T46">
        <f t="shared" ref="T46:T50" si="33">T44</f>
        <v>0</v>
      </c>
      <c r="W46" t="s">
        <v>49</v>
      </c>
      <c r="AA46" s="52"/>
    </row>
    <row r="47" spans="3:29">
      <c r="C47" t="str">
        <f t="shared" si="22"/>
        <v>TWS-WaterHeat_GAS_hydrogen1</v>
      </c>
      <c r="D47" t="str">
        <f t="shared" si="2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S47">
        <f t="shared" si="30"/>
        <v>0.8</v>
      </c>
      <c r="T47">
        <f t="shared" si="31"/>
        <v>1</v>
      </c>
      <c r="W47" t="s">
        <v>596</v>
      </c>
      <c r="Y47" s="52" t="s">
        <v>106</v>
      </c>
      <c r="Z47" s="52" t="s">
        <v>107</v>
      </c>
      <c r="AA47" s="52"/>
      <c r="AB47" s="52"/>
      <c r="AC47" s="52"/>
    </row>
    <row r="48" spans="4:27">
      <c r="D48" t="str">
        <f t="shared" si="25"/>
        <v>RSDSYNH2CT</v>
      </c>
      <c r="S48">
        <f t="shared" si="32"/>
        <v>0.2</v>
      </c>
      <c r="T48">
        <f t="shared" si="33"/>
        <v>0</v>
      </c>
      <c r="W48" t="s">
        <v>49</v>
      </c>
      <c r="AA48" s="52"/>
    </row>
    <row r="49" spans="3:29">
      <c r="C49" t="str">
        <f t="shared" si="22"/>
        <v>ICS-WaterHeat_GAS_hydrogen1</v>
      </c>
      <c r="D49" t="str">
        <f t="shared" si="2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597</v>
      </c>
      <c r="Y49" s="52" t="s">
        <v>106</v>
      </c>
      <c r="Z49" s="52" t="s">
        <v>107</v>
      </c>
      <c r="AA49" s="52"/>
      <c r="AB49" s="52"/>
      <c r="AC49" s="52"/>
    </row>
    <row r="50" spans="4:27">
      <c r="D50" t="str">
        <f t="shared" si="25"/>
        <v>RSDSYNH2CT</v>
      </c>
      <c r="S50">
        <f t="shared" si="32"/>
        <v>0.2</v>
      </c>
      <c r="T50">
        <f t="shared" si="33"/>
        <v>0</v>
      </c>
      <c r="W50" t="s">
        <v>49</v>
      </c>
      <c r="AA50" s="52"/>
    </row>
    <row r="51" spans="3:29">
      <c r="C51" t="str">
        <f t="shared" si="22"/>
        <v>OS-WaterHeat_GAS_hydrogen1</v>
      </c>
      <c r="D51" t="str">
        <f t="shared" si="2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S51">
        <f t="shared" si="34"/>
        <v>0.8</v>
      </c>
      <c r="T51">
        <f t="shared" si="35"/>
        <v>1</v>
      </c>
      <c r="W51" t="s">
        <v>598</v>
      </c>
      <c r="Y51" s="52" t="s">
        <v>106</v>
      </c>
      <c r="Z51" s="52" t="s">
        <v>107</v>
      </c>
      <c r="AA51" s="52"/>
      <c r="AB51" s="52"/>
      <c r="AC51" s="52"/>
    </row>
    <row r="52" spans="4:27">
      <c r="D52" t="str">
        <f t="shared" si="25"/>
        <v>RSDSYNH2CT</v>
      </c>
      <c r="S52">
        <f>S50</f>
        <v>0.2</v>
      </c>
      <c r="T52">
        <f>T50</f>
        <v>0</v>
      </c>
      <c r="W52" t="s">
        <v>49</v>
      </c>
      <c r="AA52" s="52"/>
    </row>
    <row r="53" spans="3:29">
      <c r="C53" t="str">
        <f t="shared" si="22"/>
        <v>EDU-WaterHeat_GAS_hydrogen1</v>
      </c>
      <c r="D53" t="str">
        <f t="shared" si="2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S53">
        <f t="shared" si="34"/>
        <v>0.8</v>
      </c>
      <c r="T53">
        <f t="shared" si="35"/>
        <v>1</v>
      </c>
      <c r="W53" t="s">
        <v>599</v>
      </c>
      <c r="Y53" s="52" t="s">
        <v>106</v>
      </c>
      <c r="Z53" s="52" t="s">
        <v>107</v>
      </c>
      <c r="AA53" s="52"/>
      <c r="AB53" s="52"/>
      <c r="AC53" s="52"/>
    </row>
    <row r="54" spans="4:27">
      <c r="D54" t="str">
        <f t="shared" si="25"/>
        <v>RSDSYNH2CT</v>
      </c>
      <c r="S54">
        <v>0.2</v>
      </c>
      <c r="T54">
        <v>0</v>
      </c>
      <c r="W54" t="s">
        <v>49</v>
      </c>
      <c r="AA54" s="52"/>
    </row>
    <row r="55" spans="3:29">
      <c r="C55" t="str">
        <f t="shared" si="22"/>
        <v>HSS-WaterHeat_GAS_hydrogen1</v>
      </c>
      <c r="D55" t="str">
        <f t="shared" si="2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600</v>
      </c>
      <c r="Y55" s="52" t="s">
        <v>106</v>
      </c>
      <c r="Z55" s="52" t="s">
        <v>107</v>
      </c>
      <c r="AA55" s="52"/>
      <c r="AB55" s="52"/>
      <c r="AC55" s="52"/>
    </row>
    <row r="56" spans="4:27">
      <c r="D56" t="str">
        <f t="shared" si="25"/>
        <v>RSDSYNH2CT</v>
      </c>
      <c r="S56">
        <f t="shared" ref="S56:S60" si="38">S54</f>
        <v>0.2</v>
      </c>
      <c r="T56">
        <f t="shared" ref="T56:T60" si="39">T54</f>
        <v>0</v>
      </c>
      <c r="W56" t="s">
        <v>49</v>
      </c>
      <c r="AA56" s="52"/>
    </row>
    <row r="57" spans="3:29">
      <c r="C57" t="str">
        <f t="shared" si="22"/>
        <v>ART-WaterHeat_GAS_hydrogen1</v>
      </c>
      <c r="D57" t="str">
        <f t="shared" si="2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S57">
        <f t="shared" si="36"/>
        <v>0.8</v>
      </c>
      <c r="T57">
        <f t="shared" si="37"/>
        <v>1</v>
      </c>
      <c r="W57" t="s">
        <v>601</v>
      </c>
      <c r="Y57" s="52" t="s">
        <v>106</v>
      </c>
      <c r="Z57" s="52" t="s">
        <v>107</v>
      </c>
      <c r="AA57" s="52"/>
      <c r="AB57" s="52"/>
      <c r="AC57" s="52"/>
    </row>
    <row r="58" spans="4:27">
      <c r="D58" t="str">
        <f t="shared" si="25"/>
        <v>RSDSYNH2CT</v>
      </c>
      <c r="S58">
        <f t="shared" si="38"/>
        <v>0.2</v>
      </c>
      <c r="T58">
        <f t="shared" si="39"/>
        <v>0</v>
      </c>
      <c r="W58" t="s">
        <v>49</v>
      </c>
      <c r="AA58" s="52"/>
    </row>
    <row r="59" spans="3:29">
      <c r="C59" t="str">
        <f>W59</f>
        <v>AFM-WaterHeat_GAS_hydrogen1</v>
      </c>
      <c r="D59" t="str">
        <f t="shared" si="2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S59">
        <f t="shared" si="36"/>
        <v>0.8</v>
      </c>
      <c r="T59">
        <f t="shared" si="37"/>
        <v>1</v>
      </c>
      <c r="W59" t="s">
        <v>602</v>
      </c>
      <c r="Y59" s="52" t="s">
        <v>106</v>
      </c>
      <c r="Z59" s="52" t="s">
        <v>107</v>
      </c>
      <c r="AA59" s="52"/>
      <c r="AB59" s="52"/>
      <c r="AC59" s="52"/>
    </row>
    <row r="60" spans="4:27">
      <c r="D60" t="str">
        <f t="shared" si="25"/>
        <v>RSDSYNH2CT</v>
      </c>
      <c r="S60">
        <f t="shared" si="38"/>
        <v>0.2</v>
      </c>
      <c r="T60">
        <f t="shared" si="39"/>
        <v>0</v>
      </c>
      <c r="W60" t="s">
        <v>49</v>
      </c>
      <c r="AA60" s="52"/>
    </row>
    <row r="61" spans="3:29">
      <c r="C61" t="str">
        <f>W61</f>
        <v>OTH-WaterHeat_GAS_hydrogen1</v>
      </c>
      <c r="D61" t="str">
        <f t="shared" si="2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603</v>
      </c>
      <c r="Y61" s="52" t="s">
        <v>106</v>
      </c>
      <c r="Z61" s="52" t="s">
        <v>107</v>
      </c>
      <c r="AA61" s="52"/>
      <c r="AB61" s="52"/>
      <c r="AC61" s="52"/>
    </row>
    <row r="62" spans="4:27">
      <c r="D62" t="str">
        <f t="shared" si="25"/>
        <v>RSDSYNH2CT</v>
      </c>
      <c r="S62">
        <f>S60</f>
        <v>0.2</v>
      </c>
      <c r="T62">
        <f>T60</f>
        <v>0</v>
      </c>
      <c r="W62" t="s">
        <v>49</v>
      </c>
      <c r="AA62" s="52"/>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604</v>
      </c>
      <c r="Y63" s="52" t="s">
        <v>106</v>
      </c>
      <c r="Z63" s="52" t="s">
        <v>107</v>
      </c>
      <c r="AA63" s="52"/>
      <c r="AB63" s="52"/>
      <c r="AC63" s="52"/>
    </row>
    <row r="64" spans="4:27">
      <c r="D64" t="str">
        <f t="shared" ref="D64:D102" si="42">D62</f>
        <v>RSDSYNH2CT</v>
      </c>
      <c r="S64">
        <v>0.2</v>
      </c>
      <c r="T64">
        <v>0</v>
      </c>
      <c r="W64" t="s">
        <v>49</v>
      </c>
      <c r="AA64" s="52"/>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605</v>
      </c>
      <c r="Y65" s="52" t="s">
        <v>106</v>
      </c>
      <c r="Z65" s="52" t="s">
        <v>107</v>
      </c>
      <c r="AA65" s="52"/>
      <c r="AB65" s="52"/>
      <c r="AC65" s="52"/>
    </row>
    <row r="66" spans="4:27">
      <c r="D66" t="str">
        <f t="shared" si="42"/>
        <v>RSDSYNH2CT</v>
      </c>
      <c r="S66">
        <f t="shared" ref="S66:S70" si="43">S64</f>
        <v>0.2</v>
      </c>
      <c r="T66">
        <f t="shared" ref="T66:T70" si="44">T64</f>
        <v>0</v>
      </c>
      <c r="W66" t="s">
        <v>49</v>
      </c>
      <c r="AA66" s="52"/>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606</v>
      </c>
      <c r="Y67" s="52" t="s">
        <v>106</v>
      </c>
      <c r="Z67" s="52" t="s">
        <v>107</v>
      </c>
      <c r="AA67" s="52"/>
      <c r="AB67" s="52"/>
      <c r="AC67" s="52"/>
    </row>
    <row r="68" spans="4:27">
      <c r="D68" t="str">
        <f t="shared" si="42"/>
        <v>RSDSYNH2CT</v>
      </c>
      <c r="S68">
        <f t="shared" si="43"/>
        <v>0.2</v>
      </c>
      <c r="T68">
        <f t="shared" si="44"/>
        <v>0</v>
      </c>
      <c r="W68" t="s">
        <v>49</v>
      </c>
      <c r="AA68" s="52"/>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607</v>
      </c>
      <c r="Y69" s="52" t="s">
        <v>106</v>
      </c>
      <c r="Z69" s="52" t="s">
        <v>107</v>
      </c>
      <c r="AA69" s="52"/>
      <c r="AB69" s="52"/>
      <c r="AC69" s="52"/>
    </row>
    <row r="70" spans="4:27">
      <c r="D70" t="str">
        <f t="shared" si="42"/>
        <v>RSDSYNH2CT</v>
      </c>
      <c r="S70">
        <f t="shared" si="43"/>
        <v>0.2</v>
      </c>
      <c r="T70">
        <f t="shared" si="44"/>
        <v>0</v>
      </c>
      <c r="W70" t="s">
        <v>49</v>
      </c>
      <c r="AA70" s="52"/>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608</v>
      </c>
      <c r="Y71" s="52" t="s">
        <v>106</v>
      </c>
      <c r="Z71" s="52" t="s">
        <v>107</v>
      </c>
      <c r="AA71" s="52"/>
      <c r="AB71" s="52"/>
      <c r="AC71" s="52"/>
    </row>
    <row r="72" spans="4:27">
      <c r="D72" t="str">
        <f t="shared" si="42"/>
        <v>RSDSYNH2CT</v>
      </c>
      <c r="S72">
        <f>S70</f>
        <v>0.2</v>
      </c>
      <c r="T72">
        <f>T70</f>
        <v>0</v>
      </c>
      <c r="W72" t="s">
        <v>49</v>
      </c>
      <c r="AA72" s="52"/>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S71</f>
        <v>0.8</v>
      </c>
      <c r="T73">
        <f>T71</f>
        <v>1</v>
      </c>
      <c r="W73" t="s">
        <v>609</v>
      </c>
      <c r="Y73" s="52" t="s">
        <v>106</v>
      </c>
      <c r="Z73" s="52" t="s">
        <v>107</v>
      </c>
      <c r="AA73" s="52"/>
      <c r="AB73" s="52"/>
      <c r="AC73" s="52"/>
    </row>
    <row r="74" spans="4:27">
      <c r="D74" t="str">
        <f t="shared" si="42"/>
        <v>RSDSYNH2CT</v>
      </c>
      <c r="S74">
        <f>S72</f>
        <v>0.2</v>
      </c>
      <c r="T74">
        <f>T72</f>
        <v>0</v>
      </c>
      <c r="W74" t="s">
        <v>49</v>
      </c>
      <c r="AA74" s="52"/>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S73</f>
        <v>0.8</v>
      </c>
      <c r="T75">
        <f>T73</f>
        <v>1</v>
      </c>
      <c r="W75" t="s">
        <v>610</v>
      </c>
      <c r="Y75" s="52" t="s">
        <v>106</v>
      </c>
      <c r="Z75" s="52" t="s">
        <v>107</v>
      </c>
      <c r="AA75" s="52"/>
      <c r="AB75" s="52"/>
      <c r="AC75" s="52"/>
    </row>
    <row r="76" spans="4:27">
      <c r="D76" t="str">
        <f t="shared" si="42"/>
        <v>RSDSYNH2CT</v>
      </c>
      <c r="S76">
        <f>S74</f>
        <v>0.2</v>
      </c>
      <c r="T76">
        <f>T74</f>
        <v>0</v>
      </c>
      <c r="W76" t="s">
        <v>49</v>
      </c>
      <c r="AA76" s="52"/>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7">S75</f>
        <v>0.8</v>
      </c>
      <c r="T77">
        <f t="shared" ref="T77:T102" si="48">T75</f>
        <v>1</v>
      </c>
      <c r="W77" t="s">
        <v>611</v>
      </c>
      <c r="Y77" s="52" t="s">
        <v>106</v>
      </c>
      <c r="Z77" s="52" t="s">
        <v>107</v>
      </c>
      <c r="AA77" s="52"/>
      <c r="AB77" s="52"/>
      <c r="AC77" s="52"/>
    </row>
    <row r="78" spans="4:27">
      <c r="D78" t="str">
        <f t="shared" si="42"/>
        <v>RSDSYNH2CT</v>
      </c>
      <c r="S78">
        <f t="shared" si="47"/>
        <v>0.2</v>
      </c>
      <c r="T78">
        <f t="shared" si="48"/>
        <v>0</v>
      </c>
      <c r="W78" t="s">
        <v>49</v>
      </c>
      <c r="AA78" s="52"/>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7"/>
        <v>0.8</v>
      </c>
      <c r="T79">
        <f t="shared" si="48"/>
        <v>1</v>
      </c>
      <c r="W79" t="s">
        <v>612</v>
      </c>
      <c r="Y79" s="52" t="s">
        <v>106</v>
      </c>
      <c r="Z79" s="52" t="s">
        <v>107</v>
      </c>
      <c r="AA79" s="52"/>
      <c r="AB79" s="52"/>
      <c r="AC79" s="52"/>
    </row>
    <row r="80" spans="4:27">
      <c r="D80" t="str">
        <f t="shared" si="42"/>
        <v>RSDSYNH2CT</v>
      </c>
      <c r="S80">
        <f t="shared" si="47"/>
        <v>0.2</v>
      </c>
      <c r="T80">
        <f t="shared" si="48"/>
        <v>0</v>
      </c>
      <c r="W80" t="s">
        <v>49</v>
      </c>
      <c r="AA80" s="52"/>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7"/>
        <v>0.8</v>
      </c>
      <c r="T81">
        <f t="shared" si="48"/>
        <v>1</v>
      </c>
      <c r="W81" t="s">
        <v>613</v>
      </c>
      <c r="Y81" s="52" t="s">
        <v>106</v>
      </c>
      <c r="Z81" s="52" t="s">
        <v>107</v>
      </c>
      <c r="AA81" s="52"/>
      <c r="AB81" s="52"/>
      <c r="AC81" s="52"/>
    </row>
    <row r="82" spans="4:27">
      <c r="D82" t="str">
        <f t="shared" si="42"/>
        <v>RSDSYNH2CT</v>
      </c>
      <c r="S82">
        <f t="shared" si="47"/>
        <v>0.2</v>
      </c>
      <c r="T82">
        <f t="shared" si="48"/>
        <v>0</v>
      </c>
      <c r="W82" t="s">
        <v>49</v>
      </c>
      <c r="AA82" s="52"/>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7"/>
        <v>0.8</v>
      </c>
      <c r="T83">
        <f t="shared" si="48"/>
        <v>1</v>
      </c>
      <c r="W83" t="s">
        <v>614</v>
      </c>
      <c r="Y83" s="52" t="s">
        <v>106</v>
      </c>
      <c r="Z83" s="52" t="s">
        <v>107</v>
      </c>
      <c r="AA83" s="52"/>
      <c r="AB83" s="52"/>
      <c r="AC83" s="52"/>
    </row>
    <row r="84" spans="4:27">
      <c r="D84" t="str">
        <f t="shared" si="42"/>
        <v>RSDSYNH2CT</v>
      </c>
      <c r="S84">
        <f t="shared" si="47"/>
        <v>0.2</v>
      </c>
      <c r="T84">
        <f t="shared" si="48"/>
        <v>0</v>
      </c>
      <c r="W84" t="s">
        <v>49</v>
      </c>
      <c r="AA84" s="52"/>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7"/>
        <v>0.8</v>
      </c>
      <c r="T85">
        <f t="shared" si="48"/>
        <v>1</v>
      </c>
      <c r="W85" t="s">
        <v>615</v>
      </c>
      <c r="Y85" s="52" t="s">
        <v>106</v>
      </c>
      <c r="Z85" s="52" t="s">
        <v>107</v>
      </c>
      <c r="AA85" s="52"/>
      <c r="AB85" s="52"/>
      <c r="AC85" s="52"/>
    </row>
    <row r="86" spans="4:27">
      <c r="D86" t="str">
        <f t="shared" si="42"/>
        <v>RSDSYNH2CT</v>
      </c>
      <c r="S86">
        <f t="shared" si="47"/>
        <v>0.2</v>
      </c>
      <c r="T86">
        <f t="shared" si="48"/>
        <v>0</v>
      </c>
      <c r="W86" t="s">
        <v>49</v>
      </c>
      <c r="AA86" s="52"/>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7"/>
        <v>0.8</v>
      </c>
      <c r="T87">
        <f t="shared" si="48"/>
        <v>1</v>
      </c>
      <c r="W87" t="s">
        <v>616</v>
      </c>
      <c r="Y87" s="52" t="s">
        <v>106</v>
      </c>
      <c r="Z87" s="52" t="s">
        <v>107</v>
      </c>
      <c r="AA87" s="52"/>
      <c r="AB87" s="52"/>
      <c r="AC87" s="52"/>
    </row>
    <row r="88" spans="4:27">
      <c r="D88" t="str">
        <f t="shared" si="42"/>
        <v>RSDSYNH2CT</v>
      </c>
      <c r="S88">
        <f t="shared" si="47"/>
        <v>0.2</v>
      </c>
      <c r="T88">
        <f t="shared" si="48"/>
        <v>0</v>
      </c>
      <c r="W88" t="s">
        <v>49</v>
      </c>
      <c r="AA88" s="52"/>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7"/>
        <v>0.8</v>
      </c>
      <c r="T89">
        <f t="shared" si="48"/>
        <v>1</v>
      </c>
      <c r="W89" t="s">
        <v>617</v>
      </c>
      <c r="Y89" s="52" t="s">
        <v>106</v>
      </c>
      <c r="Z89" s="52" t="s">
        <v>107</v>
      </c>
      <c r="AA89" s="52"/>
      <c r="AB89" s="52"/>
      <c r="AC89" s="52"/>
    </row>
    <row r="90" spans="4:27">
      <c r="D90" t="str">
        <f t="shared" si="42"/>
        <v>RSDSYNH2CT</v>
      </c>
      <c r="S90">
        <f t="shared" si="47"/>
        <v>0.2</v>
      </c>
      <c r="T90">
        <f t="shared" si="48"/>
        <v>0</v>
      </c>
      <c r="W90" t="s">
        <v>49</v>
      </c>
      <c r="AA90" s="52"/>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7"/>
        <v>0.8</v>
      </c>
      <c r="T91">
        <f t="shared" si="48"/>
        <v>1</v>
      </c>
      <c r="W91" t="s">
        <v>618</v>
      </c>
      <c r="Y91" s="52" t="s">
        <v>106</v>
      </c>
      <c r="Z91" s="52" t="s">
        <v>107</v>
      </c>
      <c r="AA91" s="52"/>
      <c r="AB91" s="52"/>
      <c r="AC91" s="52"/>
    </row>
    <row r="92" spans="4:27">
      <c r="D92" t="str">
        <f t="shared" si="42"/>
        <v>RSDSYNH2CT</v>
      </c>
      <c r="S92">
        <f t="shared" si="47"/>
        <v>0.2</v>
      </c>
      <c r="T92">
        <f t="shared" si="48"/>
        <v>0</v>
      </c>
      <c r="W92" t="s">
        <v>49</v>
      </c>
      <c r="AA92" s="52"/>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7"/>
        <v>0.8</v>
      </c>
      <c r="T93">
        <f t="shared" si="48"/>
        <v>1</v>
      </c>
      <c r="W93" t="s">
        <v>619</v>
      </c>
      <c r="Y93" s="52" t="s">
        <v>106</v>
      </c>
      <c r="Z93" s="52" t="s">
        <v>107</v>
      </c>
      <c r="AA93" s="52"/>
      <c r="AB93" s="52"/>
      <c r="AC93" s="52"/>
    </row>
    <row r="94" spans="4:27">
      <c r="D94" t="str">
        <f t="shared" si="42"/>
        <v>RSDSYNH2CT</v>
      </c>
      <c r="S94">
        <f t="shared" si="47"/>
        <v>0.2</v>
      </c>
      <c r="T94">
        <f t="shared" si="48"/>
        <v>0</v>
      </c>
      <c r="W94" t="s">
        <v>49</v>
      </c>
      <c r="AA94" s="52"/>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7"/>
        <v>0.8</v>
      </c>
      <c r="T95">
        <f t="shared" si="48"/>
        <v>1</v>
      </c>
      <c r="W95" t="s">
        <v>620</v>
      </c>
      <c r="Y95" s="52" t="s">
        <v>106</v>
      </c>
      <c r="Z95" s="52" t="s">
        <v>107</v>
      </c>
      <c r="AA95" s="52"/>
      <c r="AB95" s="52"/>
      <c r="AC95" s="52"/>
    </row>
    <row r="96" spans="4:27">
      <c r="D96" t="str">
        <f t="shared" si="42"/>
        <v>RSDSYNH2CT</v>
      </c>
      <c r="S96">
        <f t="shared" si="47"/>
        <v>0.2</v>
      </c>
      <c r="T96">
        <f t="shared" si="48"/>
        <v>0</v>
      </c>
      <c r="W96" t="s">
        <v>49</v>
      </c>
      <c r="AA96" s="52"/>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7"/>
        <v>0.8</v>
      </c>
      <c r="T97">
        <f t="shared" si="48"/>
        <v>1</v>
      </c>
      <c r="W97" t="s">
        <v>621</v>
      </c>
      <c r="Y97" s="52" t="s">
        <v>106</v>
      </c>
      <c r="Z97" s="52" t="s">
        <v>107</v>
      </c>
      <c r="AA97" s="52"/>
      <c r="AB97" s="52"/>
      <c r="AC97" s="52"/>
    </row>
    <row r="98" spans="4:27">
      <c r="D98" t="str">
        <f t="shared" si="42"/>
        <v>RSDSYNH2CT</v>
      </c>
      <c r="S98">
        <f t="shared" si="47"/>
        <v>0.2</v>
      </c>
      <c r="T98">
        <f t="shared" si="48"/>
        <v>0</v>
      </c>
      <c r="W98" t="s">
        <v>49</v>
      </c>
      <c r="AA98" s="52"/>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7"/>
        <v>0.8</v>
      </c>
      <c r="T99">
        <f t="shared" si="48"/>
        <v>1</v>
      </c>
      <c r="W99" t="s">
        <v>622</v>
      </c>
      <c r="Y99" s="52" t="s">
        <v>106</v>
      </c>
      <c r="Z99" s="52" t="s">
        <v>107</v>
      </c>
      <c r="AA99" s="52"/>
      <c r="AB99" s="52"/>
      <c r="AC99" s="52"/>
    </row>
    <row r="100" spans="4:27">
      <c r="D100" t="str">
        <f t="shared" si="42"/>
        <v>RSDSYNH2CT</v>
      </c>
      <c r="S100">
        <f t="shared" si="47"/>
        <v>0.2</v>
      </c>
      <c r="T100">
        <f t="shared" si="48"/>
        <v>0</v>
      </c>
      <c r="W100" t="s">
        <v>49</v>
      </c>
      <c r="AA100" s="52"/>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7"/>
        <v>0.8</v>
      </c>
      <c r="T101">
        <f t="shared" si="48"/>
        <v>1</v>
      </c>
      <c r="W101" t="s">
        <v>623</v>
      </c>
      <c r="Y101" s="52" t="s">
        <v>106</v>
      </c>
      <c r="Z101" s="52" t="s">
        <v>107</v>
      </c>
      <c r="AA101" s="52"/>
      <c r="AB101" s="52"/>
      <c r="AC101" s="52"/>
    </row>
    <row r="102" spans="4:27">
      <c r="D102" t="str">
        <f t="shared" si="42"/>
        <v>RSDSYNH2CT</v>
      </c>
      <c r="S102">
        <f t="shared" si="47"/>
        <v>0.2</v>
      </c>
      <c r="T102">
        <f t="shared" si="48"/>
        <v>0</v>
      </c>
      <c r="W102" t="s">
        <v>49</v>
      </c>
      <c r="AA102" s="52"/>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624</v>
      </c>
    </row>
    <row r="2" spans="8:11">
      <c r="H2" s="2" t="s">
        <v>625</v>
      </c>
      <c r="K2" s="23" t="s">
        <v>626</v>
      </c>
    </row>
    <row r="3" s="1" customFormat="1" spans="5:27">
      <c r="E3" s="3" t="s">
        <v>627</v>
      </c>
      <c r="S3" s="28" t="s">
        <v>628</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629</v>
      </c>
      <c r="D5" s="7" t="s">
        <v>36</v>
      </c>
      <c r="E5" s="7" t="s">
        <v>630</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631</v>
      </c>
      <c r="D6" s="7" t="s">
        <v>632</v>
      </c>
      <c r="E6" s="7" t="s">
        <v>633</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634</v>
      </c>
      <c r="D7" s="7" t="s">
        <v>36</v>
      </c>
      <c r="E7" s="7" t="s">
        <v>635</v>
      </c>
      <c r="F7" s="1">
        <v>2021</v>
      </c>
      <c r="G7" s="8">
        <v>0.6251</v>
      </c>
      <c r="H7" s="1">
        <v>1</v>
      </c>
      <c r="I7" s="1">
        <v>1</v>
      </c>
      <c r="K7" s="25">
        <v>4000</v>
      </c>
      <c r="L7" s="25">
        <f t="shared" si="0"/>
        <v>40</v>
      </c>
      <c r="M7" s="25">
        <v>4000</v>
      </c>
      <c r="N7" s="25">
        <f t="shared" si="1"/>
        <v>40</v>
      </c>
      <c r="O7" s="25">
        <v>30</v>
      </c>
      <c r="P7" s="1">
        <v>1</v>
      </c>
      <c r="S7" s="35" t="s">
        <v>51</v>
      </c>
      <c r="T7" s="29"/>
      <c r="U7" s="7" t="s">
        <v>629</v>
      </c>
      <c r="V7" s="35"/>
      <c r="W7" s="29" t="s">
        <v>636</v>
      </c>
      <c r="X7" s="29" t="s">
        <v>637</v>
      </c>
      <c r="Y7" s="29"/>
      <c r="Z7" s="29" t="s">
        <v>54</v>
      </c>
      <c r="AA7" s="29"/>
    </row>
    <row r="8" s="1" customFormat="1" spans="3:27">
      <c r="C8" s="7" t="s">
        <v>638</v>
      </c>
      <c r="D8" s="7" t="s">
        <v>632</v>
      </c>
      <c r="E8" s="7" t="s">
        <v>639</v>
      </c>
      <c r="F8" s="1">
        <v>2021</v>
      </c>
      <c r="G8" s="8">
        <v>0.6251</v>
      </c>
      <c r="H8" s="1">
        <v>1</v>
      </c>
      <c r="I8" s="1">
        <v>1</v>
      </c>
      <c r="K8" s="25">
        <v>4000</v>
      </c>
      <c r="L8" s="25">
        <f t="shared" si="0"/>
        <v>40</v>
      </c>
      <c r="M8" s="25">
        <v>4000</v>
      </c>
      <c r="N8" s="25">
        <f t="shared" si="1"/>
        <v>40</v>
      </c>
      <c r="O8" s="25">
        <v>30</v>
      </c>
      <c r="P8" s="1">
        <v>1</v>
      </c>
      <c r="S8" s="29"/>
      <c r="T8" s="29"/>
      <c r="U8" s="7" t="s">
        <v>631</v>
      </c>
      <c r="V8" s="35"/>
      <c r="W8" s="29" t="s">
        <v>636</v>
      </c>
      <c r="X8" s="29" t="s">
        <v>637</v>
      </c>
      <c r="Y8" s="29"/>
      <c r="Z8" s="29" t="s">
        <v>54</v>
      </c>
      <c r="AA8" s="29"/>
    </row>
    <row r="9" s="1" customFormat="1" spans="3:27">
      <c r="C9" s="7" t="s">
        <v>640</v>
      </c>
      <c r="D9" s="7" t="s">
        <v>48</v>
      </c>
      <c r="E9" s="7" t="s">
        <v>641</v>
      </c>
      <c r="F9" s="1">
        <v>2021</v>
      </c>
      <c r="G9" s="1">
        <f>1/0.31</f>
        <v>3.2258064516129</v>
      </c>
      <c r="H9" s="1">
        <v>1</v>
      </c>
      <c r="I9" s="1">
        <v>1</v>
      </c>
      <c r="K9" s="25">
        <v>4000</v>
      </c>
      <c r="L9" s="25">
        <f t="shared" si="0"/>
        <v>40</v>
      </c>
      <c r="M9" s="25">
        <v>4000</v>
      </c>
      <c r="N9" s="25">
        <f t="shared" si="1"/>
        <v>40</v>
      </c>
      <c r="O9" s="25">
        <v>30</v>
      </c>
      <c r="P9" s="1">
        <v>1</v>
      </c>
      <c r="S9" s="29"/>
      <c r="T9" s="29"/>
      <c r="U9" s="7" t="s">
        <v>634</v>
      </c>
      <c r="V9" s="35"/>
      <c r="W9" s="29" t="s">
        <v>642</v>
      </c>
      <c r="X9" s="29" t="s">
        <v>643</v>
      </c>
      <c r="Y9" s="29"/>
      <c r="Z9" s="29" t="s">
        <v>54</v>
      </c>
      <c r="AA9" s="29"/>
    </row>
    <row r="10" s="1" customFormat="1" spans="3:27">
      <c r="C10" s="7"/>
      <c r="D10" s="7" t="s">
        <v>644</v>
      </c>
      <c r="E10" s="7"/>
      <c r="K10" s="25"/>
      <c r="L10" s="25"/>
      <c r="M10" s="25"/>
      <c r="N10" s="25"/>
      <c r="O10" s="25"/>
      <c r="S10" s="29"/>
      <c r="T10" s="29"/>
      <c r="U10" s="7" t="s">
        <v>638</v>
      </c>
      <c r="V10" s="35"/>
      <c r="W10" s="29" t="s">
        <v>642</v>
      </c>
      <c r="X10" s="29" t="s">
        <v>643</v>
      </c>
      <c r="Y10" s="29"/>
      <c r="Z10" s="29" t="s">
        <v>54</v>
      </c>
      <c r="AA10" s="29"/>
    </row>
    <row r="11" s="1" customFormat="1" spans="3:27">
      <c r="C11" s="7" t="s">
        <v>645</v>
      </c>
      <c r="D11" s="7" t="s">
        <v>48</v>
      </c>
      <c r="E11" s="7" t="s">
        <v>646</v>
      </c>
      <c r="F11" s="1">
        <v>2021</v>
      </c>
      <c r="G11" s="8">
        <v>0.04</v>
      </c>
      <c r="H11" s="1">
        <v>1</v>
      </c>
      <c r="I11" s="1">
        <v>1</v>
      </c>
      <c r="K11" s="25">
        <v>4000</v>
      </c>
      <c r="L11" s="25">
        <f t="shared" si="0"/>
        <v>40</v>
      </c>
      <c r="M11" s="25">
        <v>4000</v>
      </c>
      <c r="N11" s="25">
        <f t="shared" ref="N11:N12" si="2">M11/100</f>
        <v>40</v>
      </c>
      <c r="O11" s="25">
        <v>30</v>
      </c>
      <c r="P11" s="1">
        <v>1</v>
      </c>
      <c r="S11" s="29"/>
      <c r="T11" s="29"/>
      <c r="U11" s="7" t="s">
        <v>640</v>
      </c>
      <c r="V11" s="35"/>
      <c r="W11" s="29" t="s">
        <v>642</v>
      </c>
      <c r="X11" s="29" t="s">
        <v>643</v>
      </c>
      <c r="Y11" s="29"/>
      <c r="Z11" s="29" t="s">
        <v>54</v>
      </c>
      <c r="AA11" s="29"/>
    </row>
    <row r="12" s="1" customFormat="1" spans="3:27">
      <c r="C12" s="7" t="s">
        <v>647</v>
      </c>
      <c r="D12" s="7" t="s">
        <v>48</v>
      </c>
      <c r="E12" s="7" t="s">
        <v>648</v>
      </c>
      <c r="F12" s="1">
        <v>2021</v>
      </c>
      <c r="G12" s="8">
        <v>0.12</v>
      </c>
      <c r="H12" s="1">
        <v>1</v>
      </c>
      <c r="I12" s="1">
        <v>1</v>
      </c>
      <c r="K12" s="25">
        <v>4000</v>
      </c>
      <c r="L12" s="25">
        <f t="shared" si="0"/>
        <v>40</v>
      </c>
      <c r="M12" s="25">
        <v>4000</v>
      </c>
      <c r="N12" s="25">
        <f t="shared" si="2"/>
        <v>40</v>
      </c>
      <c r="O12" s="25">
        <v>30</v>
      </c>
      <c r="P12" s="1">
        <v>1</v>
      </c>
      <c r="S12" s="36"/>
      <c r="T12" s="36"/>
      <c r="U12" s="7" t="s">
        <v>645</v>
      </c>
      <c r="V12" s="37"/>
      <c r="W12" s="29" t="s">
        <v>642</v>
      </c>
      <c r="X12" s="29" t="s">
        <v>643</v>
      </c>
      <c r="Y12" s="29"/>
      <c r="Z12" s="29" t="s">
        <v>54</v>
      </c>
      <c r="AA12" s="36"/>
    </row>
    <row r="13" spans="3:27">
      <c r="C13" s="9"/>
      <c r="D13" s="9"/>
      <c r="H13" s="10"/>
      <c r="K13" s="16"/>
      <c r="L13" s="16"/>
      <c r="M13" s="16"/>
      <c r="N13" s="16"/>
      <c r="O13" s="16"/>
      <c r="T13" s="9"/>
      <c r="U13" s="9" t="s">
        <v>647</v>
      </c>
      <c r="V13" s="38"/>
      <c r="W13" s="39" t="s">
        <v>636</v>
      </c>
      <c r="X13" s="39" t="s">
        <v>637</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627</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649</v>
      </c>
      <c r="D18" s="9" t="s">
        <v>71</v>
      </c>
      <c r="E18" s="9" t="s">
        <v>646</v>
      </c>
      <c r="F18">
        <v>2021</v>
      </c>
      <c r="G18" s="15">
        <v>0.04</v>
      </c>
      <c r="H18" s="16">
        <v>4000</v>
      </c>
      <c r="I18" s="16">
        <f>H18/100</f>
        <v>40</v>
      </c>
      <c r="J18" s="16">
        <f>H18*95%</f>
        <v>3800</v>
      </c>
      <c r="K18" s="16">
        <f>H18*90%</f>
        <v>3600</v>
      </c>
      <c r="L18" s="16">
        <f t="shared" ref="L18:L19" si="3">K18/100</f>
        <v>36</v>
      </c>
      <c r="M18" s="16">
        <v>30</v>
      </c>
      <c r="N18">
        <v>1</v>
      </c>
    </row>
    <row r="19" spans="3:14">
      <c r="C19" s="9" t="s">
        <v>650</v>
      </c>
      <c r="D19" s="9" t="s">
        <v>71</v>
      </c>
      <c r="E19" s="9" t="s">
        <v>648</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628</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650</v>
      </c>
      <c r="E32" s="22" t="s">
        <v>651</v>
      </c>
      <c r="F32" s="22" t="s">
        <v>652</v>
      </c>
      <c r="G32" s="22" t="s">
        <v>653</v>
      </c>
      <c r="H32" s="22"/>
      <c r="I32" s="22"/>
      <c r="J32" s="22"/>
    </row>
    <row r="33" spans="3:10">
      <c r="C33" s="22"/>
      <c r="D33" s="9" t="s">
        <v>649</v>
      </c>
      <c r="E33" s="22" t="s">
        <v>654</v>
      </c>
      <c r="F33" s="22" t="s">
        <v>655</v>
      </c>
      <c r="G33" s="22" t="s">
        <v>656</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2024-10-06T19:05:13Z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