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270" firstSheet="1" activeTab="1"/>
  </bookViews>
  <sheets>
    <sheet name="SUP_HFC" sheetId="30" r:id="rId1"/>
    <sheet name="SUP_HP" sheetId="21" r:id="rId2"/>
    <sheet name="NOUSE--SUP_HP2HS" sheetId="35" r:id="rId3"/>
    <sheet name="NOUSE-SUP_HS" sheetId="34" r:id="rId4"/>
    <sheet name="SUP_HS(NEED_REVISE" sheetId="37" r:id="rId5"/>
    <sheet name="SUP_DELIVERY" sheetId="36" r:id="rId6"/>
    <sheet name="ReferEMI"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10.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comments2.xml><?xml version="1.0" encoding="utf-8"?>
<comments xmlns="http://schemas.openxmlformats.org/spreadsheetml/2006/main">
  <authors>
    <author>Xiao Li</author>
    <author>xli9</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F26" authorId="1">
      <text>
        <r>
          <rPr>
            <b/>
            <sz val="9"/>
            <rFont val="Times New Roman"/>
            <charset val="0"/>
          </rPr>
          <t>xli9:</t>
        </r>
        <r>
          <rPr>
            <sz val="9"/>
            <rFont val="Times New Roman"/>
            <charset val="0"/>
          </rPr>
          <t xml:space="preserve">
The literature didn’t specify it but it is very less compared with ele-h2-production</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xli9</author>
  </authors>
  <commentList>
    <comment ref="W2" authorId="0">
      <text>
        <r>
          <rPr>
            <b/>
            <sz val="9"/>
            <rFont val="Times New Roman"/>
            <charset val="0"/>
          </rPr>
          <t>xli9:</t>
        </r>
        <r>
          <rPr>
            <sz val="9"/>
            <rFont val="Times New Roman"/>
            <charset val="0"/>
          </rPr>
          <t xml:space="preserve">
After removing the additional co2 from natural gas supply</t>
        </r>
      </text>
    </comment>
    <comment ref="X2" authorId="0">
      <text>
        <r>
          <rPr>
            <b/>
            <sz val="9"/>
            <rFont val="Times New Roman"/>
            <charset val="0"/>
          </rPr>
          <t>xli9:</t>
        </r>
        <r>
          <rPr>
            <sz val="9"/>
            <rFont val="Times New Roman"/>
            <charset val="0"/>
          </rPr>
          <t xml:space="preserve">
No use because the ccus are considered after this process</t>
        </r>
      </text>
    </comment>
    <comment ref="AA2" authorId="0">
      <text>
        <r>
          <rPr>
            <b/>
            <sz val="9"/>
            <rFont val="Times New Roman"/>
            <charset val="0"/>
          </rPr>
          <t>xli9:</t>
        </r>
        <r>
          <rPr>
            <sz val="9"/>
            <rFont val="Times New Roman"/>
            <charset val="0"/>
          </rPr>
          <t xml:space="preserve">
We did not use these data for electrolysis, because the electricity genration processes are independent with them</t>
        </r>
      </text>
    </comment>
  </commentList>
</comments>
</file>

<file path=xl/comments8.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sharedStrings.xml><?xml version="1.0" encoding="utf-8"?>
<sst xmlns="http://schemas.openxmlformats.org/spreadsheetml/2006/main" count="1855" uniqueCount="539">
  <si>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</si>
  <si>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</si>
  <si>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</si>
  <si>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</si>
  <si>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</si>
  <si>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</si>
  <si>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</si>
  <si>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</si>
  <si>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</si>
  <si>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</si>
  <si>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</si>
  <si>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</si>
  <si>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</si>
  <si>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</si>
  <si>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</si>
  <si>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</si>
  <si>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</si>
  <si>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</si>
  <si>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</si>
  <si>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</si>
  <si>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</si>
  <si>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</si>
  <si>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</si>
  <si>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</si>
  <si>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</si>
  <si>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</si>
  <si>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</si>
  <si>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</si>
  <si>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</si>
  <si>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</si>
  <si>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</si>
  <si>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</si>
  <si>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</si>
  <si>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</si>
  <si>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</si>
  <si>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</si>
  <si>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</si>
  <si>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</si>
  <si>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</si>
  <si>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</si>
  <si>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</si>
  <si>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</si>
  <si>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</si>
  <si>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</si>
  <si>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</si>
  <si>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</si>
  <si>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</si>
  <si>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</si>
  <si>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</si>
  <si>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</si>
  <si>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</si>
  <si>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</si>
  <si>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</si>
  <si>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</si>
  <si>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</si>
  <si>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</si>
  <si>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</si>
  <si>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</si>
  <si>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</si>
  <si>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</si>
  <si>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</si>
  <si>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</si>
  <si>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</si>
  <si>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</si>
  <si>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</si>
  <si>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</si>
  <si>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</si>
  <si>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</si>
  <si>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</si>
  <si>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</si>
  <si>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</si>
  <si>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</si>
  <si>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</si>
  <si>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</si>
  <si>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</si>
  <si>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</si>
  <si>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</si>
  <si>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</si>
  <si>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</si>
  <si>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</si>
  <si>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</si>
  <si>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</si>
  <si>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</si>
  <si>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</si>
  <si>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</si>
  <si>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</si>
  <si>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</si>
  <si>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</si>
  <si>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</si>
  <si>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</si>
  <si>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</si>
  <si>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</si>
  <si>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</si>
  <si>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</si>
  <si>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</si>
  <si>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Grey-texts generally denotes those processes removed, given its overlap with other existed processes</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</si>
  <si>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</si>
  <si>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</si>
  <si>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</si>
  <si>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</si>
  <si>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</si>
  <si>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</si>
  <si>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</si>
  <si>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</si>
  <si>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</si>
  <si>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</si>
  <si>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</si>
  <si>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</si>
  <si>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</si>
  <si>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</si>
  <si>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Electrolysis</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</si>
  <si>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</si>
  <si>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</si>
  <si>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</si>
  <si>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</si>
  <si>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</si>
  <si>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</si>
  <si>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</si>
  <si>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</si>
  <si>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</si>
  <si>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</si>
  <si>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</si>
  <si>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</si>
  <si>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</si>
  <si>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</si>
  <si>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</si>
  <si>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</si>
  <si>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</si>
  <si>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</si>
  <si>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</si>
  <si>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</si>
  <si>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</si>
  <si>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</si>
  <si>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</si>
  <si>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</si>
  <si>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</si>
  <si>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</si>
  <si>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</si>
  <si>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</si>
  <si>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</si>
  <si>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</si>
  <si>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</si>
  <si>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</si>
  <si>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</si>
  <si>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</si>
  <si>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</si>
  <si>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</si>
  <si>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</si>
  <si>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</si>
  <si>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</si>
  <si>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</si>
  <si>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</si>
  <si>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</si>
  <si>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</si>
  <si>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</si>
  <si>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</si>
  <si>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</si>
  <si>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</si>
  <si>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</si>
  <si>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MCAD/GW=31.54 * xMCAD/PJ</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</si>
  <si>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</si>
  <si>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</si>
  <si>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</si>
  <si>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</si>
  <si>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</si>
  <si>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</si>
  <si>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</si>
  <si>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</si>
  <si>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</si>
  <si>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</si>
  <si>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</si>
  <si>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</si>
  <si>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</si>
  <si>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</si>
  <si>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</si>
  <si>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</si>
  <si>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</si>
  <si>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</si>
  <si>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</si>
  <si>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</si>
  <si>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</si>
  <si>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</si>
  <si>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</si>
  <si>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</si>
  <si>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</si>
  <si>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</si>
  <si>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</si>
  <si>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</si>
  <si>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</si>
  <si>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</si>
  <si>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use the emission for USA to represent CAN, with spliting carbon emissions of that process from lifecycle total</t>
  </si>
  <si>
    <t>Coal</t>
  </si>
  <si>
    <t>NG</t>
  </si>
  <si>
    <t>BIO</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</si>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</sst>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8">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0" tint="-0.5"/>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sz val="10"/>
      <color theme="1"/>
      <name val="Arial"/>
      <charset val="134"/>
    </font>
    <font>
      <b/>
      <sz val="10"/>
      <color theme="0" tint="-0.5"/>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imes New Roman"/>
      <charset val="0"/>
    </font>
    <font>
      <b/>
      <sz val="9"/>
      <name val="Tahoma"/>
      <charset val="134"/>
    </font>
    <font>
      <sz val="9"/>
      <name val="Tahoma"/>
      <charset val="134"/>
    </font>
    <font>
      <b/>
      <sz val="9"/>
      <name val="Times New Roman"/>
      <charset val="134"/>
    </font>
    <font>
      <sz val="9"/>
      <name val="Times New Roman"/>
      <charset val="134"/>
    </font>
    <font>
      <sz val="8"/>
      <name val="Tahoma"/>
      <charset val="134"/>
    </font>
    <font>
      <b/>
      <sz val="8"/>
      <name val="Tahoma"/>
      <charset val="134"/>
    </font>
    <font>
      <sz val="9"/>
      <name val="Times New Roman"/>
      <charset val="0"/>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19" borderId="29"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0" applyNumberFormat="0" applyFill="0" applyAlignment="0" applyProtection="0">
      <alignment vertical="center"/>
    </xf>
    <xf numFmtId="0" fontId="40" fillId="0" borderId="30" applyNumberFormat="0" applyFill="0" applyAlignment="0" applyProtection="0">
      <alignment vertical="center"/>
    </xf>
    <xf numFmtId="0" fontId="41" fillId="0" borderId="31" applyNumberFormat="0" applyFill="0" applyAlignment="0" applyProtection="0">
      <alignment vertical="center"/>
    </xf>
    <xf numFmtId="0" fontId="41" fillId="0" borderId="0" applyNumberFormat="0" applyFill="0" applyBorder="0" applyAlignment="0" applyProtection="0">
      <alignment vertical="center"/>
    </xf>
    <xf numFmtId="0" fontId="42" fillId="20" borderId="32" applyNumberFormat="0" applyAlignment="0" applyProtection="0">
      <alignment vertical="center"/>
    </xf>
    <xf numFmtId="0" fontId="43" fillId="21" borderId="33" applyNumberFormat="0" applyAlignment="0" applyProtection="0">
      <alignment vertical="center"/>
    </xf>
    <xf numFmtId="0" fontId="44" fillId="21" borderId="32" applyNumberFormat="0" applyAlignment="0" applyProtection="0">
      <alignment vertical="center"/>
    </xf>
    <xf numFmtId="0" fontId="45" fillId="22" borderId="34" applyNumberFormat="0" applyAlignment="0" applyProtection="0">
      <alignment vertical="center"/>
    </xf>
    <xf numFmtId="0" fontId="46" fillId="0" borderId="35" applyNumberFormat="0" applyFill="0" applyAlignment="0" applyProtection="0">
      <alignment vertical="center"/>
    </xf>
    <xf numFmtId="0" fontId="47" fillId="0" borderId="36" applyNumberFormat="0" applyFill="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7" fillId="2"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1" fillId="41" borderId="0" applyNumberFormat="0" applyBorder="0" applyAlignment="0" applyProtection="0">
      <alignment vertical="center"/>
    </xf>
    <xf numFmtId="0" fontId="51"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1" fillId="45" borderId="0" applyNumberFormat="0" applyBorder="0" applyAlignment="0" applyProtection="0">
      <alignment vertical="center"/>
    </xf>
    <xf numFmtId="0" fontId="51" fillId="46" borderId="0" applyNumberFormat="0" applyBorder="0" applyAlignment="0" applyProtection="0">
      <alignment vertical="center"/>
    </xf>
    <xf numFmtId="0" fontId="52" fillId="47" borderId="0" applyNumberFormat="0" applyBorder="0" applyAlignment="0" applyProtection="0">
      <alignment vertical="center"/>
    </xf>
    <xf numFmtId="0" fontId="53"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4"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55" borderId="0" applyBorder="0" applyAlignment="0"/>
    <xf numFmtId="0" fontId="54" fillId="55" borderId="0" applyBorder="0">
      <alignment horizontal="right" vertical="center"/>
    </xf>
    <xf numFmtId="0" fontId="54" fillId="7" borderId="0" applyBorder="0">
      <alignment horizontal="right" vertical="center"/>
    </xf>
    <xf numFmtId="0" fontId="54" fillId="7" borderId="0" applyBorder="0">
      <alignment horizontal="right" vertical="center"/>
    </xf>
    <xf numFmtId="0" fontId="57" fillId="7" borderId="11">
      <alignment horizontal="right" vertical="center"/>
    </xf>
    <xf numFmtId="0" fontId="58" fillId="7" borderId="11">
      <alignment horizontal="right" vertical="center"/>
    </xf>
    <xf numFmtId="0" fontId="57" fillId="54" borderId="11">
      <alignment horizontal="right" vertical="center"/>
    </xf>
    <xf numFmtId="0" fontId="57" fillId="54" borderId="11">
      <alignment horizontal="right" vertical="center"/>
    </xf>
    <xf numFmtId="0" fontId="57" fillId="54" borderId="37">
      <alignment horizontal="right" vertical="center"/>
    </xf>
    <xf numFmtId="0" fontId="57" fillId="54" borderId="38">
      <alignment horizontal="right" vertical="center"/>
    </xf>
    <xf numFmtId="0" fontId="57" fillId="54" borderId="39">
      <alignment horizontal="right" vertical="center"/>
    </xf>
    <xf numFmtId="0" fontId="55" fillId="63"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9" fillId="68" borderId="40" applyNumberFormat="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1" fillId="24"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2" fillId="68" borderId="41" applyNumberFormat="0" applyAlignment="0" applyProtection="0"/>
    <xf numFmtId="4" fontId="56" fillId="0" borderId="42" applyFill="0" applyBorder="0" applyProtection="0">
      <alignment horizontal="right" vertical="center"/>
    </xf>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7"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4" fillId="54" borderId="45">
      <alignment horizontal="left" vertical="center" wrapText="1" indent="2"/>
    </xf>
    <xf numFmtId="0" fontId="54" fillId="0" borderId="45">
      <alignment horizontal="left" vertical="center" wrapText="1" indent="2"/>
    </xf>
    <xf numFmtId="0" fontId="54" fillId="7" borderId="38">
      <alignment horizontal="left" vertical="center"/>
    </xf>
    <xf numFmtId="0" fontId="57" fillId="0" borderId="46">
      <alignment horizontal="left" vertical="top" wrapText="1"/>
    </xf>
    <xf numFmtId="3" fontId="66" fillId="0" borderId="44">
      <alignment horizontal="right" vertical="top"/>
    </xf>
    <xf numFmtId="0" fontId="67" fillId="54" borderId="41" applyNumberFormat="0" applyAlignment="0" applyProtection="0"/>
    <xf numFmtId="0" fontId="68" fillId="0" borderId="13"/>
    <xf numFmtId="0" fontId="14" fillId="61" borderId="11">
      <alignment horizontal="centerContinuous" vertical="top" wrapText="1"/>
    </xf>
    <xf numFmtId="0" fontId="69" fillId="0" borderId="0">
      <alignment vertical="top" wrapText="1"/>
    </xf>
    <xf numFmtId="0" fontId="70" fillId="0" borderId="47" applyNumberFormat="0" applyFill="0" applyAlignment="0" applyProtection="0"/>
    <xf numFmtId="0" fontId="71" fillId="0" borderId="0" applyNumberFormat="0" applyFill="0" applyBorder="0" applyAlignment="0" applyProtection="0"/>
    <xf numFmtId="0" fontId="72"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64" fillId="0" borderId="0" applyFont="0" applyFill="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4" fillId="23"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6" fillId="23"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6" borderId="32"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4" fontId="54" fillId="0" borderId="0" applyBorder="0">
      <alignment horizontal="right" vertical="center"/>
    </xf>
    <xf numFmtId="0" fontId="54" fillId="0" borderId="11">
      <alignment horizontal="right" vertical="center"/>
    </xf>
    <xf numFmtId="1" fontId="87" fillId="7" borderId="0" applyBorder="0">
      <alignment horizontal="right" vertical="center"/>
    </xf>
    <xf numFmtId="0" fontId="83" fillId="0" borderId="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178" fontId="0" fillId="0" borderId="0" applyFont="0" applyFill="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3"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4"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6" fillId="0" borderId="0"/>
    <xf numFmtId="191" fontId="95" fillId="0" borderId="0">
      <alignment vertical="center"/>
    </xf>
    <xf numFmtId="0" fontId="0" fillId="0" borderId="0"/>
    <xf numFmtId="0" fontId="18" fillId="0" borderId="0"/>
    <xf numFmtId="0" fontId="96"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7" fillId="0" borderId="0"/>
    <xf numFmtId="0" fontId="97" fillId="0" borderId="0"/>
    <xf numFmtId="0" fontId="0" fillId="0" borderId="0"/>
    <xf numFmtId="0" fontId="97"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97"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8"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9"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6"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6"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4" fillId="0" borderId="11" applyFill="0" applyBorder="0" applyProtection="0">
      <alignment horizontal="right" vertical="center"/>
    </xf>
    <xf numFmtId="0" fontId="56" fillId="0" borderId="0" applyNumberFormat="0" applyFill="0" applyBorder="0" applyProtection="0">
      <alignment horizontal="left" vertical="center"/>
    </xf>
    <xf numFmtId="0" fontId="54" fillId="0" borderId="11" applyNumberFormat="0" applyFill="0" applyAlignment="0" applyProtection="0"/>
    <xf numFmtId="0" fontId="0" fillId="70" borderId="0" applyNumberFormat="0" applyFont="0" applyBorder="0" applyAlignment="0" applyProtection="0"/>
    <xf numFmtId="0" fontId="100"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192" fontId="101"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194" fontId="54"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180" fontId="102" fillId="0" borderId="0" applyFont="0" applyFill="0" applyBorder="0" applyAlignment="0" applyProtection="0"/>
    <xf numFmtId="195" fontId="102" fillId="0" borderId="0" applyFont="0" applyFill="0" applyBorder="0" applyAlignment="0" applyProtection="0"/>
    <xf numFmtId="196" fontId="102" fillId="0" borderId="0" applyFont="0" applyFill="0" applyBorder="0" applyAlignment="0" applyProtection="0"/>
    <xf numFmtId="0" fontId="60"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60" fillId="50" borderId="0" applyNumberFormat="0" applyBorder="0" applyAlignment="0" applyProtection="0"/>
    <xf numFmtId="0" fontId="0" fillId="0" borderId="0"/>
    <xf numFmtId="0" fontId="0" fillId="0" borderId="0"/>
    <xf numFmtId="0" fontId="54" fillId="70" borderId="11"/>
    <xf numFmtId="0" fontId="0" fillId="0" borderId="0"/>
    <xf numFmtId="0" fontId="0" fillId="0" borderId="0"/>
    <xf numFmtId="0" fontId="0" fillId="0" borderId="0"/>
    <xf numFmtId="0" fontId="0" fillId="0" borderId="0"/>
    <xf numFmtId="0" fontId="0" fillId="0" borderId="0"/>
    <xf numFmtId="0" fontId="54" fillId="70" borderId="11"/>
    <xf numFmtId="0" fontId="0" fillId="0" borderId="0"/>
    <xf numFmtId="0" fontId="0" fillId="0" borderId="0"/>
    <xf numFmtId="0" fontId="69" fillId="0" borderId="0">
      <alignment vertical="top" wrapText="1"/>
    </xf>
    <xf numFmtId="0" fontId="69" fillId="0" borderId="0">
      <alignment vertical="top" wrapText="1"/>
    </xf>
    <xf numFmtId="0" fontId="69"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9" fillId="0" borderId="0">
      <alignment vertical="top" wrapText="1"/>
    </xf>
    <xf numFmtId="0" fontId="0" fillId="0" borderId="0"/>
    <xf numFmtId="0" fontId="0" fillId="0" borderId="0"/>
    <xf numFmtId="0" fontId="10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4"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104"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6"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105"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104"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8"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107"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8"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179" fontId="112" fillId="74" borderId="57">
      <alignment vertical="center"/>
    </xf>
    <xf numFmtId="0" fontId="0" fillId="0" borderId="0"/>
    <xf numFmtId="0" fontId="0" fillId="0" borderId="0"/>
    <xf numFmtId="0" fontId="0" fillId="0" borderId="0"/>
    <xf numFmtId="0" fontId="0" fillId="0" borderId="0"/>
    <xf numFmtId="0" fontId="0" fillId="0" borderId="0"/>
    <xf numFmtId="179" fontId="112" fillId="74" borderId="57">
      <alignment vertical="center"/>
    </xf>
    <xf numFmtId="0" fontId="0" fillId="0" borderId="0"/>
    <xf numFmtId="0" fontId="0" fillId="0" borderId="0"/>
    <xf numFmtId="197" fontId="113" fillId="75" borderId="57">
      <alignment vertical="center"/>
    </xf>
    <xf numFmtId="0" fontId="0" fillId="0" borderId="0"/>
    <xf numFmtId="0" fontId="0" fillId="0" borderId="0"/>
    <xf numFmtId="0" fontId="0" fillId="0" borderId="0"/>
    <xf numFmtId="0" fontId="0" fillId="0" borderId="0"/>
    <xf numFmtId="0" fontId="0" fillId="0" borderId="0"/>
    <xf numFmtId="197" fontId="113"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115" fillId="0" borderId="0" applyNumberFormat="0" applyFill="0" applyBorder="0" applyAlignment="0" applyProtection="0"/>
    <xf numFmtId="0" fontId="77"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48" applyNumberFormat="0" applyFill="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2" fillId="0" borderId="0" applyFont="0" applyFill="0" applyBorder="0" applyAlignment="0" applyProtection="0"/>
    <xf numFmtId="0" fontId="88"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8" fillId="0" borderId="54" applyNumberFormat="0" applyFill="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31"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31" fillId="70" borderId="43" applyNumberFormat="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54" fillId="0" borderId="0"/>
    <xf numFmtId="0" fontId="118"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alignment vertical="center"/>
    </xf>
    <xf numFmtId="0" fontId="0" fillId="0" borderId="0"/>
    <xf numFmtId="0" fontId="0" fillId="0" borderId="0"/>
  </cellStyleXfs>
  <cellXfs count="462">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4" fillId="9" borderId="0" xfId="0" applyFont="1"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16"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16" fillId="0" borderId="0" xfId="0" applyFont="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16" fillId="0" borderId="0" xfId="0" applyNumberFormat="1"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horizontal="center" vertical="center"/>
    </xf>
    <xf numFmtId="201" fontId="16" fillId="0" borderId="0" xfId="0" applyNumberFormat="1" applyFont="1" applyFill="1" applyBorder="1" applyAlignment="1" applyProtection="1">
      <alignment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26" fillId="0" borderId="0" xfId="0" applyFont="1" applyFill="1" applyBorder="1" applyAlignment="1">
      <alignment vertical="center"/>
    </xf>
    <xf numFmtId="201" fontId="16" fillId="12" borderId="0" xfId="0" applyNumberFormat="1" applyFont="1" applyFill="1" applyBorder="1" applyAlignment="1">
      <alignment vertical="center"/>
    </xf>
    <xf numFmtId="0" fontId="16" fillId="12" borderId="0" xfId="0" applyFont="1" applyFill="1" applyBorder="1" applyAlignment="1">
      <alignment vertical="center"/>
    </xf>
    <xf numFmtId="2" fontId="16" fillId="12" borderId="11" xfId="0" applyNumberFormat="1"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11" xfId="0" applyFont="1" applyFill="1" applyBorder="1" applyAlignment="1">
      <alignment vertical="center"/>
    </xf>
    <xf numFmtId="0" fontId="16" fillId="0" borderId="11" xfId="0" applyFont="1" applyBorder="1" applyAlignment="1">
      <alignment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16" fillId="13" borderId="0" xfId="0" applyNumberFormat="1" applyFont="1" applyFill="1" applyBorder="1" applyAlignment="1">
      <alignment vertical="center"/>
    </xf>
    <xf numFmtId="0" fontId="16" fillId="13" borderId="0" xfId="0" applyFont="1" applyFill="1" applyBorder="1" applyAlignment="1">
      <alignment vertical="center"/>
    </xf>
    <xf numFmtId="0" fontId="16" fillId="13" borderId="11" xfId="0" applyFont="1" applyFill="1" applyBorder="1" applyAlignment="1">
      <alignment horizontal="center" vertical="center"/>
    </xf>
    <xf numFmtId="0" fontId="16" fillId="13" borderId="11" xfId="0" applyFont="1"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11" xfId="0" applyNumberFormat="1" applyFont="1" applyFill="1" applyBorder="1" applyAlignment="1">
      <alignment horizontal="center" vertical="center"/>
    </xf>
    <xf numFmtId="1" fontId="27" fillId="0" borderId="11" xfId="0" applyNumberFormat="1" applyFon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16" fillId="12" borderId="14" xfId="0" applyFont="1" applyFill="1" applyBorder="1" applyAlignment="1">
      <alignment horizontal="center" vertical="center"/>
    </xf>
    <xf numFmtId="0" fontId="16" fillId="12" borderId="0" xfId="0" applyFont="1" applyFill="1" applyBorder="1" applyAlignment="1">
      <alignment horizontal="center" vertical="center"/>
    </xf>
    <xf numFmtId="9" fontId="16" fillId="12" borderId="0" xfId="0" applyNumberFormat="1" applyFont="1" applyFill="1" applyBorder="1" applyAlignment="1">
      <alignment horizontal="center" vertical="center"/>
    </xf>
    <xf numFmtId="200" fontId="16" fillId="12" borderId="11" xfId="0" applyNumberFormat="1" applyFont="1" applyFill="1" applyBorder="1" applyAlignment="1">
      <alignment horizontal="center" vertical="center"/>
    </xf>
    <xf numFmtId="1" fontId="27" fillId="12" borderId="11" xfId="0" applyNumberFormat="1" applyFon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16" fillId="13" borderId="14" xfId="0" applyFont="1" applyFill="1" applyBorder="1" applyAlignment="1">
      <alignment vertical="center"/>
    </xf>
    <xf numFmtId="9" fontId="16" fillId="13" borderId="0" xfId="0" applyNumberFormat="1" applyFont="1" applyFill="1" applyBorder="1" applyAlignment="1">
      <alignment horizontal="center" vertical="center"/>
    </xf>
    <xf numFmtId="200" fontId="16" fillId="13" borderId="11" xfId="0" applyNumberFormat="1" applyFont="1" applyFill="1" applyBorder="1" applyAlignment="1">
      <alignment horizontal="center" vertical="center"/>
    </xf>
    <xf numFmtId="1" fontId="27" fillId="13" borderId="11" xfId="0" applyNumberFormat="1" applyFont="1" applyFill="1" applyBorder="1" applyAlignment="1">
      <alignment horizontal="center" vertical="center"/>
    </xf>
    <xf numFmtId="0" fontId="16" fillId="13" borderId="14" xfId="0" applyFont="1" applyFill="1" applyBorder="1" applyAlignment="1">
      <alignment horizontal="center" vertical="center"/>
    </xf>
    <xf numFmtId="0" fontId="16" fillId="13" borderId="0" xfId="0" applyFont="1" applyFill="1" applyBorder="1" applyAlignment="1">
      <alignment horizontal="center" vertical="center"/>
    </xf>
    <xf numFmtId="9" fontId="0" fillId="0" borderId="11" xfId="3" applyFont="1" applyFill="1" applyBorder="1" applyAlignment="1">
      <alignment horizontal="center" vertical="center"/>
    </xf>
    <xf numFmtId="0" fontId="0" fillId="13" borderId="0" xfId="0" applyFill="1" applyBorder="1" applyAlignment="1">
      <alignment horizontal="center" vertical="center"/>
    </xf>
    <xf numFmtId="1" fontId="28" fillId="0" borderId="11" xfId="0" applyNumberFormat="1" applyFont="1" applyFill="1" applyBorder="1" applyAlignment="1">
      <alignment horizontal="center" vertical="center"/>
    </xf>
    <xf numFmtId="2" fontId="28" fillId="0" borderId="11" xfId="0" applyNumberFormat="1" applyFont="1" applyFill="1" applyBorder="1" applyAlignment="1">
      <alignment horizontal="center" vertical="center"/>
    </xf>
    <xf numFmtId="0" fontId="28" fillId="0" borderId="11" xfId="0" applyFont="1" applyFill="1" applyBorder="1"/>
    <xf numFmtId="0" fontId="28" fillId="0" borderId="11" xfId="0" applyFont="1" applyFill="1" applyBorder="1" applyAlignment="1">
      <alignment vertical="center"/>
    </xf>
    <xf numFmtId="2" fontId="27" fillId="0" borderId="11" xfId="0" applyNumberFormat="1" applyFont="1" applyFill="1" applyBorder="1" applyAlignment="1">
      <alignment horizontal="center" vertical="center"/>
    </xf>
    <xf numFmtId="0" fontId="16" fillId="0" borderId="0" xfId="0" applyFont="1"/>
    <xf numFmtId="0" fontId="27" fillId="0" borderId="11" xfId="0" applyFont="1" applyFill="1" applyBorder="1"/>
    <xf numFmtId="0" fontId="27" fillId="0" borderId="11" xfId="0" applyFont="1" applyFill="1" applyBorder="1" applyAlignment="1">
      <alignment vertical="center"/>
    </xf>
    <xf numFmtId="2" fontId="28" fillId="12" borderId="11" xfId="0" applyNumberFormat="1" applyFont="1" applyFill="1" applyBorder="1" applyAlignment="1">
      <alignment horizontal="center" vertical="center"/>
    </xf>
    <xf numFmtId="2" fontId="27" fillId="12" borderId="11" xfId="0" applyNumberFormat="1" applyFont="1" applyFill="1" applyBorder="1" applyAlignment="1">
      <alignment horizontal="center" vertical="center"/>
    </xf>
    <xf numFmtId="2" fontId="28" fillId="13" borderId="11" xfId="0" applyNumberFormat="1" applyFont="1" applyFill="1" applyBorder="1" applyAlignment="1">
      <alignment horizontal="center" vertical="center"/>
    </xf>
    <xf numFmtId="2" fontId="27"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26" fillId="0" borderId="0" xfId="0" applyNumberFormat="1" applyFont="1" applyFill="1" applyBorder="1" applyAlignment="1">
      <alignment vertical="center"/>
    </xf>
    <xf numFmtId="0" fontId="26" fillId="0" borderId="0" xfId="0" applyFont="1" applyFill="1" applyBorder="1" applyAlignment="1">
      <alignment horizontal="center" vertical="center"/>
    </xf>
    <xf numFmtId="0" fontId="28"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8"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26" fillId="0" borderId="0" xfId="0" applyNumberFormat="1" applyFont="1" applyFill="1" applyBorder="1" applyAlignment="1">
      <alignment horizontal="center" vertical="center"/>
    </xf>
    <xf numFmtId="200" fontId="26" fillId="0" borderId="0"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8" fillId="14" borderId="11" xfId="0" applyNumberFormat="1" applyFont="1" applyFill="1" applyBorder="1" applyAlignment="1">
      <alignment horizontal="center" vertical="center"/>
    </xf>
    <xf numFmtId="2" fontId="28" fillId="14" borderId="11" xfId="0" applyNumberFormat="1" applyFont="1" applyFill="1" applyBorder="1" applyAlignment="1">
      <alignment horizontal="center" vertical="center"/>
    </xf>
    <xf numFmtId="1" fontId="28" fillId="0" borderId="15" xfId="0" applyNumberFormat="1" applyFont="1" applyFill="1" applyBorder="1" applyAlignment="1">
      <alignment horizontal="center" vertical="center"/>
    </xf>
    <xf numFmtId="2" fontId="28" fillId="12" borderId="15"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0" fontId="26" fillId="0" borderId="0" xfId="0" applyFont="1" applyFill="1" applyBorder="1"/>
    <xf numFmtId="2" fontId="2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9"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30" fillId="0" borderId="16" xfId="0" applyNumberFormat="1" applyFont="1" applyFill="1" applyBorder="1" applyAlignment="1" applyProtection="1">
      <alignment vertical="center"/>
    </xf>
    <xf numFmtId="0" fontId="31" fillId="0" borderId="17" xfId="0" applyNumberFormat="1" applyFont="1" applyFill="1" applyBorder="1" applyAlignment="1" applyProtection="1">
      <alignment horizontal="center" vertical="center"/>
    </xf>
    <xf numFmtId="0" fontId="32" fillId="0" borderId="18" xfId="0" applyNumberFormat="1" applyFont="1" applyFill="1" applyBorder="1" applyAlignment="1" applyProtection="1">
      <alignment vertical="center"/>
    </xf>
    <xf numFmtId="0" fontId="32" fillId="0" borderId="19" xfId="0" applyNumberFormat="1" applyFont="1" applyFill="1" applyBorder="1" applyAlignment="1" applyProtection="1">
      <alignment vertical="center"/>
    </xf>
    <xf numFmtId="0" fontId="32" fillId="0" borderId="20" xfId="0" applyNumberFormat="1" applyFont="1" applyFill="1" applyBorder="1" applyAlignment="1" applyProtection="1">
      <alignment vertical="center"/>
    </xf>
    <xf numFmtId="0" fontId="31" fillId="0" borderId="21" xfId="0" applyNumberFormat="1" applyFont="1" applyFill="1" applyBorder="1" applyAlignment="1" applyProtection="1">
      <alignment vertical="center"/>
    </xf>
    <xf numFmtId="0" fontId="33" fillId="0" borderId="22" xfId="0" applyNumberFormat="1" applyFont="1" applyFill="1" applyBorder="1" applyAlignment="1" applyProtection="1">
      <alignment horizontal="center" vertical="center"/>
    </xf>
    <xf numFmtId="0" fontId="34" fillId="0" borderId="22" xfId="0" applyNumberFormat="1" applyFont="1" applyFill="1" applyBorder="1" applyAlignment="1" applyProtection="1">
      <alignment horizontal="center" vertical="center"/>
    </xf>
    <xf numFmtId="0" fontId="33" fillId="0" borderId="23" xfId="0" applyNumberFormat="1" applyFont="1" applyFill="1" applyBorder="1" applyAlignment="1" applyProtection="1">
      <alignment horizontal="center" vertical="center"/>
    </xf>
    <xf numFmtId="0" fontId="34" fillId="0" borderId="23" xfId="0" applyNumberFormat="1" applyFont="1" applyFill="1" applyBorder="1" applyAlignment="1" applyProtection="1">
      <alignment horizontal="center" vertical="center"/>
    </xf>
    <xf numFmtId="0" fontId="32" fillId="0" borderId="24" xfId="0" applyNumberFormat="1" applyFont="1" applyFill="1" applyBorder="1" applyAlignment="1" applyProtection="1">
      <alignment vertical="center"/>
    </xf>
    <xf numFmtId="0" fontId="32" fillId="0" borderId="25" xfId="0" applyNumberFormat="1" applyFont="1" applyFill="1" applyBorder="1" applyAlignment="1" applyProtection="1">
      <alignment vertical="center"/>
    </xf>
    <xf numFmtId="0" fontId="32" fillId="0" borderId="26" xfId="0" applyNumberFormat="1" applyFont="1" applyFill="1" applyBorder="1" applyAlignment="1" applyProtection="1">
      <alignment vertical="center"/>
    </xf>
    <xf numFmtId="0" fontId="34" fillId="0" borderId="24" xfId="0" applyNumberFormat="1" applyFont="1" applyFill="1" applyBorder="1" applyAlignment="1" applyProtection="1">
      <alignment horizontal="center" vertical="center"/>
    </xf>
    <xf numFmtId="0" fontId="34" fillId="0" borderId="25" xfId="0" applyNumberFormat="1" applyFont="1" applyFill="1" applyBorder="1" applyAlignment="1" applyProtection="1">
      <alignment horizontal="center" vertical="center"/>
    </xf>
    <xf numFmtId="0" fontId="31"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4"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0" fontId="29"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horizontal="center" vertical="center"/>
    </xf>
    <xf numFmtId="0" fontId="23" fillId="18" borderId="0" xfId="0" applyNumberFormat="1" applyFont="1" applyFill="1" applyBorder="1" applyAlignment="1" applyProtection="1">
      <alignment vertical="center"/>
    </xf>
    <xf numFmtId="0" fontId="13" fillId="18" borderId="0" xfId="0" applyNumberFormat="1" applyFont="1" applyFill="1" applyBorder="1" applyAlignment="1" applyProtection="1">
      <alignment vertical="center"/>
    </xf>
    <xf numFmtId="0" fontId="0" fillId="18" borderId="0" xfId="0" applyNumberFormat="1" applyFont="1" applyFill="1" applyBorder="1" applyAlignment="1" applyProtection="1"/>
    <xf numFmtId="0" fontId="14" fillId="18" borderId="7" xfId="0" applyNumberFormat="1" applyFont="1" applyFill="1" applyBorder="1" applyAlignment="1" applyProtection="1">
      <alignment vertical="center"/>
    </xf>
    <xf numFmtId="201" fontId="14" fillId="18" borderId="9" xfId="0" applyNumberFormat="1" applyFont="1" applyFill="1" applyBorder="1" applyAlignment="1" applyProtection="1">
      <alignment vertical="center"/>
    </xf>
    <xf numFmtId="0" fontId="14" fillId="18" borderId="9" xfId="0" applyNumberFormat="1" applyFont="1" applyFill="1" applyBorder="1" applyAlignment="1" applyProtection="1">
      <alignment horizontal="center" vertical="center" wrapText="1"/>
    </xf>
    <xf numFmtId="0" fontId="15" fillId="18" borderId="9" xfId="0" applyNumberFormat="1" applyFont="1" applyFill="1" applyBorder="1" applyAlignment="1" applyProtection="1">
      <alignment horizontal="left" vertical="center" wrapText="1"/>
    </xf>
    <xf numFmtId="0" fontId="15" fillId="18" borderId="9" xfId="0" applyNumberFormat="1" applyFont="1" applyFill="1" applyBorder="1" applyAlignment="1" applyProtection="1">
      <alignment horizontal="center" vertical="center" wrapText="1"/>
    </xf>
    <xf numFmtId="201" fontId="0" fillId="18" borderId="0" xfId="0" applyNumberFormat="1" applyFont="1" applyFill="1" applyAlignment="1">
      <alignment vertical="center"/>
    </xf>
    <xf numFmtId="201" fontId="0" fillId="18" borderId="0" xfId="0" applyNumberFormat="1" applyFont="1" applyFill="1" applyBorder="1" applyAlignment="1" applyProtection="1">
      <alignment vertical="center"/>
    </xf>
    <xf numFmtId="9" fontId="26" fillId="18"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18" borderId="0" xfId="0" applyNumberFormat="1" applyFont="1" applyFill="1" applyBorder="1" applyAlignment="1" applyProtection="1">
      <alignment horizontal="center" vertical="center"/>
    </xf>
    <xf numFmtId="1" fontId="14" fillId="18" borderId="11" xfId="0" applyNumberFormat="1" applyFont="1" applyFill="1" applyBorder="1" applyAlignment="1" applyProtection="1">
      <alignment horizontal="center" vertical="center"/>
    </xf>
    <xf numFmtId="0" fontId="14" fillId="18" borderId="11" xfId="4563" applyFont="1" applyFill="1" applyBorder="1" applyAlignment="1">
      <alignment horizontal="center" vertical="center" wrapText="1"/>
    </xf>
    <xf numFmtId="2" fontId="14" fillId="18" borderId="11"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2882709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2890774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4371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workbookViewId="0">
      <selection activeCell="AD24" sqref="AD23:AD24"/>
    </sheetView>
  </sheetViews>
  <sheetFormatPr defaultColWidth="9.18181818181818" defaultRowHeight="12.5"/>
  <cols>
    <col min="1" max="1" width="68.9090909090909" style="400" customWidth="1"/>
    <col min="2" max="2" width="38.5454545454545" style="400" customWidth="1"/>
    <col min="3" max="3" width="53.7272727272727" style="400" customWidth="1"/>
    <col min="4" max="4" width="50.5454545454545" style="400" customWidth="1"/>
    <col min="5" max="5" width="10.8181818181818" style="400" customWidth="1"/>
    <col min="6" max="6" width="12.8181818181818" style="400" customWidth="1"/>
    <col min="7" max="27" width="9.18181818181818" style="400"/>
    <col min="28" max="28" width="17.0909090909091" style="400" customWidth="1"/>
    <col min="29" max="47" width="9.18181818181818" style="400"/>
    <col min="48" max="58" width="9.18181818181818" style="206"/>
  </cols>
  <sheetData>
    <row r="1" ht="14.5" spans="1:4">
      <c r="A1" s="400" t="s">
        <v>0</v>
      </c>
      <c r="B1" s="183" t="s">
        <v>1</v>
      </c>
      <c r="D1" s="401" t="s">
        <v>2</v>
      </c>
    </row>
    <row r="2" ht="14.5" spans="1:2">
      <c r="A2" s="400" t="s">
        <v>3</v>
      </c>
      <c r="B2" s="183" t="s">
        <v>4</v>
      </c>
    </row>
    <row r="3" ht="14.5" spans="1:2">
      <c r="A3" s="400" t="s">
        <v>5</v>
      </c>
      <c r="B3" s="183" t="s">
        <v>6</v>
      </c>
    </row>
    <row r="4" ht="14.5" spans="1:2">
      <c r="A4" s="400" t="s">
        <v>7</v>
      </c>
      <c r="B4" s="183" t="s">
        <v>8</v>
      </c>
    </row>
    <row r="5" ht="14.5" spans="1:2">
      <c r="A5" s="400" t="s">
        <v>9</v>
      </c>
      <c r="B5" s="183" t="s">
        <v>10</v>
      </c>
    </row>
    <row r="6" ht="23" spans="2:47">
      <c r="B6" s="402" t="s">
        <v>11</v>
      </c>
      <c r="C6" s="403"/>
      <c r="D6" s="403"/>
      <c r="E6" s="403"/>
      <c r="F6" s="403"/>
      <c r="G6" s="403"/>
      <c r="H6" s="403"/>
      <c r="I6" s="403"/>
      <c r="J6" s="403"/>
      <c r="K6" s="403"/>
      <c r="L6" s="403"/>
      <c r="M6" s="403"/>
      <c r="N6" s="403"/>
      <c r="P6" s="403"/>
      <c r="Q6" s="403"/>
      <c r="R6" s="403"/>
      <c r="T6" s="403"/>
      <c r="U6" s="403"/>
      <c r="V6" s="403"/>
      <c r="X6" s="403"/>
      <c r="Y6" s="403"/>
      <c r="AU6" s="403"/>
    </row>
    <row r="7" ht="15.5" spans="2:47">
      <c r="B7" s="404"/>
      <c r="C7" s="403"/>
      <c r="D7" s="403"/>
      <c r="E7" s="403"/>
      <c r="F7" s="403"/>
      <c r="G7" s="403"/>
      <c r="H7" s="403"/>
      <c r="I7" s="403"/>
      <c r="J7" s="403"/>
      <c r="K7" s="403"/>
      <c r="L7" s="403"/>
      <c r="M7" s="403"/>
      <c r="N7" s="403"/>
      <c r="P7" s="403"/>
      <c r="Q7" s="403"/>
      <c r="R7" s="403"/>
      <c r="T7" s="403"/>
      <c r="U7" s="403"/>
      <c r="V7" s="403"/>
      <c r="X7" s="403"/>
      <c r="Y7" s="403"/>
      <c r="AU7" s="403"/>
    </row>
    <row r="8" ht="23" spans="2:43">
      <c r="B8" s="403"/>
      <c r="C8" s="403"/>
      <c r="D8" s="403"/>
      <c r="E8" s="405" t="s">
        <v>12</v>
      </c>
      <c r="F8" s="403"/>
      <c r="G8" s="405"/>
      <c r="H8" s="405"/>
      <c r="I8" s="405"/>
      <c r="J8" s="405"/>
      <c r="K8" s="405"/>
      <c r="L8" s="405"/>
      <c r="M8" s="403"/>
      <c r="N8" s="403"/>
      <c r="O8" s="403"/>
      <c r="P8" s="403"/>
      <c r="R8" s="403"/>
      <c r="S8" s="403"/>
      <c r="V8" s="403"/>
      <c r="W8" s="403"/>
      <c r="Y8" s="443" t="s">
        <v>13</v>
      </c>
      <c r="Z8" s="444"/>
      <c r="AA8" s="444"/>
      <c r="AB8" s="444"/>
      <c r="AC8" s="444"/>
      <c r="AD8" s="445"/>
      <c r="AE8" s="445"/>
      <c r="AF8" s="445"/>
      <c r="AG8" s="444"/>
      <c r="AH8" s="444"/>
      <c r="AI8" s="444"/>
      <c r="AJ8" s="444"/>
      <c r="AK8" s="444"/>
      <c r="AL8" s="448"/>
      <c r="AM8" s="444"/>
      <c r="AN8" s="444"/>
      <c r="AO8" s="444"/>
      <c r="AP8" s="448"/>
      <c r="AQ8" s="448"/>
    </row>
    <row r="9" ht="26" spans="2:43">
      <c r="B9" s="406" t="s">
        <v>14</v>
      </c>
      <c r="C9" s="407" t="s">
        <v>15</v>
      </c>
      <c r="D9" s="406" t="s">
        <v>16</v>
      </c>
      <c r="E9" s="406" t="s">
        <v>17</v>
      </c>
      <c r="F9" s="408" t="s">
        <v>18</v>
      </c>
      <c r="G9" s="408" t="s">
        <v>19</v>
      </c>
      <c r="H9" s="408" t="s">
        <v>20</v>
      </c>
      <c r="I9" s="408" t="s">
        <v>21</v>
      </c>
      <c r="J9" s="408" t="s">
        <v>22</v>
      </c>
      <c r="K9" s="408" t="s">
        <v>23</v>
      </c>
      <c r="L9" s="408" t="s">
        <v>24</v>
      </c>
      <c r="M9" s="408" t="s">
        <v>25</v>
      </c>
      <c r="N9" s="408" t="s">
        <v>26</v>
      </c>
      <c r="O9" s="408" t="s">
        <v>27</v>
      </c>
      <c r="P9" s="408" t="s">
        <v>28</v>
      </c>
      <c r="Q9" s="408" t="s">
        <v>29</v>
      </c>
      <c r="R9" s="408" t="s">
        <v>30</v>
      </c>
      <c r="Y9" s="446"/>
      <c r="Z9" s="444"/>
      <c r="AA9" s="444"/>
      <c r="AB9" s="447" t="s">
        <v>12</v>
      </c>
      <c r="AC9" s="444"/>
      <c r="AD9" s="444"/>
      <c r="AE9" s="444"/>
      <c r="AF9" s="444"/>
      <c r="AG9" s="444"/>
      <c r="AH9" s="444"/>
      <c r="AI9" s="444"/>
      <c r="AJ9" s="444"/>
      <c r="AK9" s="444"/>
      <c r="AL9" s="448"/>
      <c r="AM9" s="444"/>
      <c r="AN9" s="444"/>
      <c r="AO9" s="444"/>
      <c r="AP9" s="448"/>
      <c r="AQ9" s="448"/>
    </row>
    <row r="10" ht="25" spans="2:43">
      <c r="B10" s="409" t="s">
        <v>31</v>
      </c>
      <c r="C10" s="409" t="s">
        <v>32</v>
      </c>
      <c r="D10" s="409" t="s">
        <v>33</v>
      </c>
      <c r="E10" s="409" t="s">
        <v>34</v>
      </c>
      <c r="F10" s="410"/>
      <c r="G10" s="410"/>
      <c r="H10" s="410"/>
      <c r="I10" s="410"/>
      <c r="J10" s="410" t="s">
        <v>35</v>
      </c>
      <c r="K10" s="410" t="s">
        <v>35</v>
      </c>
      <c r="L10" s="410" t="s">
        <v>35</v>
      </c>
      <c r="M10" s="410" t="s">
        <v>35</v>
      </c>
      <c r="N10" s="410" t="s">
        <v>35</v>
      </c>
      <c r="O10" s="410" t="s">
        <v>35</v>
      </c>
      <c r="P10" s="410" t="s">
        <v>36</v>
      </c>
      <c r="Q10" s="410"/>
      <c r="R10" s="410"/>
      <c r="Y10" s="444"/>
      <c r="Z10" s="444"/>
      <c r="AA10" s="444"/>
      <c r="AB10" s="448"/>
      <c r="AC10" s="444"/>
      <c r="AD10" s="447"/>
      <c r="AE10" s="447"/>
      <c r="AF10" s="447"/>
      <c r="AG10" s="447"/>
      <c r="AH10" s="447"/>
      <c r="AI10" s="447"/>
      <c r="AJ10" s="444"/>
      <c r="AK10" s="444"/>
      <c r="AL10" s="444"/>
      <c r="AM10" s="444"/>
      <c r="AN10" s="448"/>
      <c r="AO10" s="444"/>
      <c r="AP10" s="444"/>
      <c r="AQ10" s="448"/>
    </row>
    <row r="11" ht="26" spans="2:43">
      <c r="B11" s="246" t="str">
        <f>C18</f>
        <v>EUH2FCPEM</v>
      </c>
      <c r="C11" s="246" t="str">
        <f>D18</f>
        <v>PEM fuel cell system</v>
      </c>
      <c r="D11" s="411" t="s">
        <v>37</v>
      </c>
      <c r="E11" s="246" t="s">
        <v>38</v>
      </c>
      <c r="F11" s="412">
        <v>0.65</v>
      </c>
      <c r="G11" s="412">
        <f>F11</f>
        <v>0.65</v>
      </c>
      <c r="H11" s="412">
        <f>G11</f>
        <v>0.65</v>
      </c>
      <c r="I11" s="412">
        <v>1</v>
      </c>
      <c r="J11" s="400">
        <f>(252+708+548)/3*1.33</f>
        <v>668.546666666667</v>
      </c>
      <c r="K11" s="400">
        <f>J11*0.95</f>
        <v>635.119333333333</v>
      </c>
      <c r="L11" s="400">
        <f>J11*0.9</f>
        <v>601.692</v>
      </c>
      <c r="M11" s="435">
        <f>11/19*J11</f>
        <v>387.053333333333</v>
      </c>
      <c r="N11" s="435">
        <f t="shared" ref="N11:O11" si="0">11/19*K11</f>
        <v>367.700666666667</v>
      </c>
      <c r="O11" s="435">
        <f t="shared" si="0"/>
        <v>348.348</v>
      </c>
      <c r="P11" s="435">
        <v>15</v>
      </c>
      <c r="Q11" s="435">
        <v>2021</v>
      </c>
      <c r="R11" s="442">
        <v>31.536</v>
      </c>
      <c r="Y11" s="449" t="s">
        <v>14</v>
      </c>
      <c r="Z11" s="450" t="s">
        <v>15</v>
      </c>
      <c r="AA11" s="449" t="s">
        <v>16</v>
      </c>
      <c r="AB11" s="449" t="s">
        <v>17</v>
      </c>
      <c r="AC11" s="451" t="s">
        <v>18</v>
      </c>
      <c r="AD11" s="451" t="s">
        <v>19</v>
      </c>
      <c r="AE11" s="451" t="s">
        <v>20</v>
      </c>
      <c r="AF11" s="451" t="s">
        <v>21</v>
      </c>
      <c r="AG11" s="451" t="s">
        <v>22</v>
      </c>
      <c r="AH11" s="451" t="s">
        <v>23</v>
      </c>
      <c r="AI11" s="451" t="s">
        <v>24</v>
      </c>
      <c r="AJ11" s="451" t="s">
        <v>39</v>
      </c>
      <c r="AK11" s="451" t="s">
        <v>40</v>
      </c>
      <c r="AL11" s="451" t="s">
        <v>41</v>
      </c>
      <c r="AM11" s="451" t="s">
        <v>28</v>
      </c>
      <c r="AN11" s="451" t="s">
        <v>29</v>
      </c>
      <c r="AO11" s="451" t="s">
        <v>30</v>
      </c>
      <c r="AP11" s="460" t="s">
        <v>42</v>
      </c>
      <c r="AQ11" s="460"/>
    </row>
    <row r="12" ht="50" spans="2:47">
      <c r="B12" s="403"/>
      <c r="C12" s="403"/>
      <c r="E12" s="403"/>
      <c r="F12" s="413"/>
      <c r="G12" s="413"/>
      <c r="H12" s="413"/>
      <c r="I12" s="436"/>
      <c r="J12" s="436"/>
      <c r="K12" s="403"/>
      <c r="L12" s="437"/>
      <c r="M12" s="437"/>
      <c r="N12" s="437"/>
      <c r="O12" s="438"/>
      <c r="P12" s="438"/>
      <c r="Q12" s="403"/>
      <c r="R12" s="403"/>
      <c r="T12" s="403"/>
      <c r="U12" s="403"/>
      <c r="V12" s="403"/>
      <c r="X12" s="403"/>
      <c r="Y12" s="452" t="s">
        <v>31</v>
      </c>
      <c r="Z12" s="452" t="s">
        <v>32</v>
      </c>
      <c r="AA12" s="452" t="s">
        <v>33</v>
      </c>
      <c r="AB12" s="452" t="s">
        <v>34</v>
      </c>
      <c r="AC12" s="453"/>
      <c r="AD12" s="453"/>
      <c r="AE12" s="453"/>
      <c r="AF12" s="453"/>
      <c r="AG12" s="453" t="s">
        <v>35</v>
      </c>
      <c r="AH12" s="453" t="s">
        <v>35</v>
      </c>
      <c r="AI12" s="453" t="s">
        <v>35</v>
      </c>
      <c r="AJ12" s="453" t="s">
        <v>43</v>
      </c>
      <c r="AK12" s="453" t="s">
        <v>43</v>
      </c>
      <c r="AL12" s="453" t="s">
        <v>43</v>
      </c>
      <c r="AM12" s="453" t="s">
        <v>36</v>
      </c>
      <c r="AN12" s="453"/>
      <c r="AO12" s="453"/>
      <c r="AP12" s="448"/>
      <c r="AQ12" s="448"/>
      <c r="AU12" s="403"/>
    </row>
    <row r="13" ht="13" spans="2:47">
      <c r="B13" s="403"/>
      <c r="C13" s="403"/>
      <c r="D13" s="246"/>
      <c r="F13" s="413"/>
      <c r="G13" s="413"/>
      <c r="H13" s="413"/>
      <c r="I13" s="413"/>
      <c r="J13" s="413"/>
      <c r="K13" s="403"/>
      <c r="L13" s="437"/>
      <c r="M13" s="437"/>
      <c r="N13" s="437"/>
      <c r="O13" s="438"/>
      <c r="P13" s="438"/>
      <c r="Q13" s="403"/>
      <c r="R13" s="403"/>
      <c r="T13" s="403"/>
      <c r="U13" s="403"/>
      <c r="V13" s="403"/>
      <c r="X13" s="403"/>
      <c r="Y13" s="454" t="s">
        <v>44</v>
      </c>
      <c r="Z13" s="455" t="s">
        <v>13</v>
      </c>
      <c r="AA13" s="455" t="s">
        <v>38</v>
      </c>
      <c r="AB13" s="455" t="str">
        <f>C23</f>
        <v>SYNH2CT_RAW</v>
      </c>
      <c r="AC13" s="456">
        <v>0.58</v>
      </c>
      <c r="AD13" s="456">
        <v>0.66</v>
      </c>
      <c r="AE13" s="456">
        <v>0.71</v>
      </c>
      <c r="AF13" s="456">
        <v>0.95</v>
      </c>
      <c r="AG13" s="458">
        <f>450*1.35</f>
        <v>607.5</v>
      </c>
      <c r="AH13" s="458">
        <f>AG13*0.95</f>
        <v>577.125</v>
      </c>
      <c r="AI13" s="458">
        <f>AG13*0.9</f>
        <v>546.75</v>
      </c>
      <c r="AJ13" s="459">
        <f>19.44*1.35</f>
        <v>26.244</v>
      </c>
      <c r="AK13" s="459">
        <f>AJ13*0.95</f>
        <v>24.9318</v>
      </c>
      <c r="AL13" s="459">
        <f>AJ13*0.9</f>
        <v>23.6196</v>
      </c>
      <c r="AM13" s="459">
        <v>5</v>
      </c>
      <c r="AN13" s="459">
        <v>2021</v>
      </c>
      <c r="AO13" s="461">
        <v>31.536</v>
      </c>
      <c r="AP13" s="448"/>
      <c r="AQ13" s="448"/>
      <c r="AU13" s="403"/>
    </row>
    <row r="14" spans="25:43">
      <c r="Y14" s="403"/>
      <c r="Z14" s="403"/>
      <c r="AA14" s="246"/>
      <c r="AB14" s="156"/>
      <c r="AC14" s="284"/>
      <c r="AD14" s="284"/>
      <c r="AE14" s="284"/>
      <c r="AF14" s="284"/>
      <c r="AG14" s="284"/>
      <c r="AH14" s="437"/>
      <c r="AI14" s="437"/>
      <c r="AJ14" s="437"/>
      <c r="AK14" s="438"/>
      <c r="AL14" s="438"/>
      <c r="AM14" s="403"/>
      <c r="AN14" s="403"/>
      <c r="AP14" s="403"/>
      <c r="AQ14" s="403"/>
    </row>
    <row r="15" ht="13" spans="2:41">
      <c r="B15" s="414" t="s">
        <v>45</v>
      </c>
      <c r="C15" s="414"/>
      <c r="D15" s="246"/>
      <c r="E15" s="246"/>
      <c r="F15" s="246"/>
      <c r="G15" s="246"/>
      <c r="H15" s="246"/>
      <c r="I15" s="246"/>
      <c r="N15" s="439"/>
      <c r="Y15" s="403"/>
      <c r="Z15" s="403"/>
      <c r="AA15" s="246"/>
      <c r="AC15" s="413"/>
      <c r="AD15" s="413"/>
      <c r="AE15" s="413"/>
      <c r="AF15" s="413"/>
      <c r="AG15" s="413"/>
      <c r="AH15" s="403"/>
      <c r="AI15" s="437"/>
      <c r="AJ15" s="437"/>
      <c r="AK15" s="437"/>
      <c r="AL15" s="438"/>
      <c r="AM15" s="438"/>
      <c r="AN15" s="403"/>
      <c r="AO15" s="403"/>
    </row>
    <row r="16" ht="13" spans="2:9">
      <c r="B16" s="407" t="s">
        <v>46</v>
      </c>
      <c r="C16" s="407" t="s">
        <v>14</v>
      </c>
      <c r="D16" s="407" t="s">
        <v>47</v>
      </c>
      <c r="E16" s="407" t="s">
        <v>48</v>
      </c>
      <c r="F16" s="407" t="s">
        <v>49</v>
      </c>
      <c r="G16" s="407" t="s">
        <v>50</v>
      </c>
      <c r="H16" s="407" t="s">
        <v>51</v>
      </c>
      <c r="I16" s="407" t="s">
        <v>52</v>
      </c>
    </row>
    <row r="17" ht="37.5" spans="2:35">
      <c r="B17" s="415" t="s">
        <v>53</v>
      </c>
      <c r="C17" s="415" t="s">
        <v>54</v>
      </c>
      <c r="D17" s="415" t="s">
        <v>32</v>
      </c>
      <c r="E17" s="415" t="s">
        <v>55</v>
      </c>
      <c r="F17" s="415" t="s">
        <v>56</v>
      </c>
      <c r="G17" s="415" t="s">
        <v>57</v>
      </c>
      <c r="H17" s="415" t="s">
        <v>58</v>
      </c>
      <c r="I17" s="415" t="s">
        <v>59</v>
      </c>
      <c r="AB17" s="457"/>
      <c r="AC17" s="457"/>
      <c r="AD17" s="457"/>
      <c r="AE17" s="457"/>
      <c r="AF17" s="457"/>
      <c r="AG17" s="457"/>
      <c r="AH17" s="457"/>
      <c r="AI17" s="457"/>
    </row>
    <row r="18" spans="2:35">
      <c r="B18" s="246" t="s">
        <v>60</v>
      </c>
      <c r="C18" s="246" t="s">
        <v>61</v>
      </c>
      <c r="D18" s="246" t="s">
        <v>62</v>
      </c>
      <c r="E18" s="246" t="s">
        <v>63</v>
      </c>
      <c r="F18" s="246" t="s">
        <v>64</v>
      </c>
      <c r="G18" s="246" t="s">
        <v>65</v>
      </c>
      <c r="H18" s="246"/>
      <c r="I18" s="246"/>
      <c r="AB18" s="246"/>
      <c r="AC18" s="246"/>
      <c r="AD18" s="246"/>
      <c r="AE18" s="246"/>
      <c r="AF18" s="246"/>
      <c r="AG18" s="246"/>
      <c r="AH18" s="246"/>
      <c r="AI18" s="246"/>
    </row>
    <row r="19" spans="2:9">
      <c r="B19" s="403"/>
      <c r="C19" s="403"/>
      <c r="D19" s="403"/>
      <c r="E19" s="403"/>
      <c r="F19" s="403"/>
      <c r="G19" s="403"/>
      <c r="H19" s="403"/>
      <c r="I19" s="403"/>
    </row>
    <row r="20" ht="13" spans="2:9">
      <c r="B20" s="414" t="s">
        <v>66</v>
      </c>
      <c r="C20" s="246"/>
      <c r="D20" s="246"/>
      <c r="E20" s="246"/>
      <c r="F20" s="246"/>
      <c r="G20" s="246"/>
      <c r="H20" s="246"/>
      <c r="I20" s="246"/>
    </row>
    <row r="21" ht="13" spans="2:9">
      <c r="B21" s="416" t="s">
        <v>67</v>
      </c>
      <c r="C21" s="416" t="s">
        <v>68</v>
      </c>
      <c r="D21" s="416" t="s">
        <v>69</v>
      </c>
      <c r="E21" s="417" t="s">
        <v>70</v>
      </c>
      <c r="F21" s="417" t="s">
        <v>71</v>
      </c>
      <c r="G21" s="417" t="s">
        <v>72</v>
      </c>
      <c r="H21" s="417" t="s">
        <v>73</v>
      </c>
      <c r="I21" s="417" t="s">
        <v>74</v>
      </c>
    </row>
    <row r="22" ht="37.5" spans="2:9">
      <c r="B22" s="415" t="s">
        <v>75</v>
      </c>
      <c r="C22" s="415" t="s">
        <v>76</v>
      </c>
      <c r="D22" s="415" t="s">
        <v>77</v>
      </c>
      <c r="E22" s="415" t="s">
        <v>70</v>
      </c>
      <c r="F22" s="415" t="s">
        <v>78</v>
      </c>
      <c r="G22" s="415" t="s">
        <v>79</v>
      </c>
      <c r="H22" s="415" t="s">
        <v>80</v>
      </c>
      <c r="I22" s="415" t="s">
        <v>81</v>
      </c>
    </row>
    <row r="23" spans="2:9">
      <c r="B23" s="246" t="s">
        <v>82</v>
      </c>
      <c r="C23" s="246" t="s">
        <v>83</v>
      </c>
      <c r="D23" s="246" t="s">
        <v>84</v>
      </c>
      <c r="E23" s="246" t="s">
        <v>63</v>
      </c>
      <c r="F23" s="246"/>
      <c r="G23" s="418" t="s">
        <v>65</v>
      </c>
      <c r="H23" s="246"/>
      <c r="I23" s="246"/>
    </row>
    <row r="24" spans="2:9">
      <c r="B24" s="156" t="s">
        <v>82</v>
      </c>
      <c r="C24" s="156" t="s">
        <v>37</v>
      </c>
      <c r="D24" s="156" t="s">
        <v>85</v>
      </c>
      <c r="E24" s="398" t="s">
        <v>63</v>
      </c>
      <c r="F24" s="156"/>
      <c r="G24" s="418"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419"/>
      <c r="C31" s="420"/>
      <c r="D31" s="420"/>
      <c r="E31" s="420"/>
      <c r="F31" s="420"/>
      <c r="G31" s="420"/>
      <c r="H31" s="420"/>
    </row>
    <row r="32" ht="16" spans="2:8">
      <c r="B32" s="421"/>
      <c r="C32" s="422"/>
      <c r="D32" s="422"/>
      <c r="E32" s="422"/>
      <c r="F32" s="422"/>
      <c r="G32" s="422"/>
      <c r="H32" s="423"/>
    </row>
    <row r="33" ht="15.25" spans="2:8">
      <c r="B33" s="424"/>
      <c r="C33" s="425"/>
      <c r="D33" s="426"/>
      <c r="E33" s="426"/>
      <c r="F33" s="426"/>
      <c r="G33" s="426"/>
      <c r="H33" s="426"/>
    </row>
    <row r="34" ht="15.25" spans="2:8">
      <c r="B34" s="424"/>
      <c r="C34" s="427"/>
      <c r="D34" s="428"/>
      <c r="E34" s="428"/>
      <c r="F34" s="428"/>
      <c r="G34" s="428"/>
      <c r="H34" s="428"/>
    </row>
    <row r="35" ht="15.25" spans="2:8">
      <c r="B35" s="424"/>
      <c r="C35" s="427"/>
      <c r="D35" s="428"/>
      <c r="E35" s="428"/>
      <c r="F35" s="428"/>
      <c r="G35" s="428"/>
      <c r="H35" s="428"/>
    </row>
    <row r="36" ht="15.25" spans="2:8">
      <c r="B36" s="424"/>
      <c r="C36" s="427"/>
      <c r="D36" s="428"/>
      <c r="E36" s="428"/>
      <c r="F36" s="428"/>
      <c r="G36" s="428"/>
      <c r="H36" s="428"/>
    </row>
    <row r="37" ht="15.25" spans="2:8">
      <c r="B37" s="424"/>
      <c r="C37" s="427"/>
      <c r="D37" s="428"/>
      <c r="E37" s="428"/>
      <c r="F37" s="428"/>
      <c r="G37" s="428"/>
      <c r="H37" s="428"/>
    </row>
    <row r="38" ht="15.25" spans="2:8">
      <c r="B38" s="424"/>
      <c r="C38" s="427"/>
      <c r="D38" s="428"/>
      <c r="E38" s="428"/>
      <c r="F38" s="428"/>
      <c r="G38" s="428"/>
      <c r="H38" s="428"/>
    </row>
    <row r="39" ht="15.25" spans="2:8">
      <c r="B39" s="424"/>
      <c r="C39" s="427"/>
      <c r="D39" s="428"/>
      <c r="E39" s="428"/>
      <c r="F39" s="428"/>
      <c r="G39" s="428"/>
      <c r="H39" s="428"/>
    </row>
    <row r="40" ht="15.25" spans="2:8">
      <c r="B40" s="424"/>
      <c r="C40" s="427"/>
      <c r="D40" s="428"/>
      <c r="E40" s="428"/>
      <c r="F40" s="428"/>
      <c r="G40" s="428"/>
      <c r="H40" s="428"/>
    </row>
    <row r="41" ht="15.25" spans="2:8">
      <c r="B41" s="424"/>
      <c r="C41" s="427"/>
      <c r="D41" s="428"/>
      <c r="E41" s="428"/>
      <c r="F41" s="428"/>
      <c r="G41" s="428"/>
      <c r="H41" s="428"/>
    </row>
    <row r="42" ht="15.25" spans="2:8">
      <c r="B42" s="424"/>
      <c r="C42" s="427"/>
      <c r="D42" s="428"/>
      <c r="E42" s="428"/>
      <c r="F42" s="428"/>
      <c r="G42" s="428"/>
      <c r="H42" s="428"/>
    </row>
    <row r="43" ht="15.25" spans="2:8">
      <c r="B43" s="429"/>
      <c r="C43" s="430"/>
      <c r="D43" s="430"/>
      <c r="E43" s="430"/>
      <c r="F43" s="430"/>
      <c r="G43" s="430"/>
      <c r="H43" s="431"/>
    </row>
    <row r="44" ht="15.25" spans="2:8">
      <c r="B44" s="424"/>
      <c r="C44" s="425"/>
      <c r="D44" s="426"/>
      <c r="E44" s="426"/>
      <c r="F44" s="426"/>
      <c r="G44" s="426"/>
      <c r="H44" s="426"/>
    </row>
    <row r="45" ht="15.25" spans="2:8">
      <c r="B45" s="424"/>
      <c r="C45" s="427"/>
      <c r="D45" s="428"/>
      <c r="E45" s="428"/>
      <c r="F45" s="428"/>
      <c r="G45" s="428"/>
      <c r="H45" s="428"/>
    </row>
    <row r="46" ht="15.25" spans="2:8">
      <c r="B46" s="424"/>
      <c r="C46" s="427"/>
      <c r="D46" s="428"/>
      <c r="E46" s="428"/>
      <c r="F46" s="428"/>
      <c r="G46" s="428"/>
      <c r="H46" s="428"/>
    </row>
    <row r="47" ht="15.25" spans="2:8">
      <c r="B47" s="424"/>
      <c r="C47" s="427"/>
      <c r="D47" s="432"/>
      <c r="E47" s="433"/>
      <c r="F47" s="433"/>
      <c r="G47" s="433"/>
      <c r="H47" s="426"/>
    </row>
    <row r="48" ht="15.25" spans="2:9">
      <c r="B48" s="424"/>
      <c r="C48" s="427"/>
      <c r="D48" s="428"/>
      <c r="E48" s="428"/>
      <c r="F48" s="428"/>
      <c r="G48" s="428"/>
      <c r="H48" s="428"/>
      <c r="I48" s="440"/>
    </row>
    <row r="49" ht="15.25" spans="2:8">
      <c r="B49" s="424"/>
      <c r="C49" s="427"/>
      <c r="D49" s="428"/>
      <c r="E49" s="428"/>
      <c r="F49" s="428"/>
      <c r="G49" s="428"/>
      <c r="H49" s="428"/>
    </row>
    <row r="50" ht="15.25" spans="2:13">
      <c r="B50" s="424"/>
      <c r="C50" s="427"/>
      <c r="D50" s="428"/>
      <c r="E50" s="428"/>
      <c r="F50" s="428"/>
      <c r="G50" s="428"/>
      <c r="H50" s="428"/>
      <c r="I50" s="441"/>
      <c r="J50" s="441"/>
      <c r="K50" s="441"/>
      <c r="L50" s="441"/>
      <c r="M50" s="441"/>
    </row>
    <row r="51" ht="15.25" spans="2:8">
      <c r="B51" s="429"/>
      <c r="C51" s="430"/>
      <c r="D51" s="430"/>
      <c r="E51" s="430"/>
      <c r="F51" s="430"/>
      <c r="G51" s="430"/>
      <c r="H51" s="431"/>
    </row>
    <row r="52" ht="15.25" spans="2:8">
      <c r="B52" s="424"/>
      <c r="C52" s="425"/>
      <c r="D52" s="426"/>
      <c r="E52" s="426"/>
      <c r="F52" s="426"/>
      <c r="G52" s="426"/>
      <c r="H52" s="426"/>
    </row>
    <row r="53" ht="15.25" spans="2:8">
      <c r="B53" s="424"/>
      <c r="C53" s="427"/>
      <c r="D53" s="428"/>
      <c r="E53" s="428"/>
      <c r="F53" s="428"/>
      <c r="G53" s="428"/>
      <c r="H53" s="428"/>
    </row>
    <row r="54" ht="15.25" spans="2:8">
      <c r="B54" s="424"/>
      <c r="C54" s="427"/>
      <c r="D54" s="428"/>
      <c r="E54" s="428"/>
      <c r="F54" s="428"/>
      <c r="G54" s="428"/>
      <c r="H54" s="428"/>
    </row>
    <row r="55" ht="15.25" spans="2:8">
      <c r="B55" s="434"/>
      <c r="C55" s="427"/>
      <c r="D55" s="428"/>
      <c r="E55" s="428"/>
      <c r="F55" s="428"/>
      <c r="G55" s="428"/>
      <c r="H55" s="428"/>
    </row>
    <row r="60" spans="2:9">
      <c r="B60" s="246"/>
      <c r="C60" s="246"/>
      <c r="D60" s="246"/>
      <c r="E60" s="246"/>
      <c r="F60" s="246"/>
      <c r="G60" s="246"/>
      <c r="H60" s="246"/>
      <c r="I60" s="246"/>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272</v>
      </c>
      <c r="B1" s="1" t="s">
        <v>273</v>
      </c>
      <c r="C1" s="1" t="s">
        <v>274</v>
      </c>
      <c r="D1" s="5" t="s">
        <v>404</v>
      </c>
      <c r="E1" s="5" t="s">
        <v>276</v>
      </c>
      <c r="F1" s="6" t="s">
        <v>277</v>
      </c>
      <c r="G1" s="6" t="s">
        <v>278</v>
      </c>
      <c r="H1" s="6" t="s">
        <v>405</v>
      </c>
      <c r="I1" s="6" t="s">
        <v>406</v>
      </c>
      <c r="J1" s="6" t="s">
        <v>281</v>
      </c>
      <c r="K1" s="6" t="s">
        <v>282</v>
      </c>
      <c r="L1" s="6" t="s">
        <v>407</v>
      </c>
      <c r="M1" s="6" t="s">
        <v>408</v>
      </c>
      <c r="N1" s="5" t="s">
        <v>143</v>
      </c>
      <c r="O1" s="5" t="s">
        <v>409</v>
      </c>
      <c r="P1" s="5" t="s">
        <v>410</v>
      </c>
      <c r="Q1" s="5" t="s">
        <v>411</v>
      </c>
      <c r="R1" s="5" t="s">
        <v>412</v>
      </c>
      <c r="S1" s="5" t="s">
        <v>413</v>
      </c>
      <c r="T1" s="5" t="s">
        <v>414</v>
      </c>
      <c r="U1" s="5" t="s">
        <v>28</v>
      </c>
      <c r="V1" s="5" t="s">
        <v>139</v>
      </c>
      <c r="W1" s="1" t="s">
        <v>289</v>
      </c>
      <c r="X1" s="1" t="s">
        <v>415</v>
      </c>
      <c r="AA1" s="30"/>
      <c r="AB1" s="30"/>
      <c r="AC1" s="30"/>
      <c r="AD1" s="30"/>
      <c r="AE1" s="30"/>
      <c r="AF1" s="30"/>
      <c r="AG1" s="30"/>
      <c r="AH1" s="30"/>
      <c r="AI1" s="30"/>
      <c r="AJ1" s="30"/>
      <c r="AK1" s="30"/>
    </row>
    <row r="2" s="2" customFormat="1" spans="5:37">
      <c r="E2" s="7" t="s">
        <v>290</v>
      </c>
      <c r="F2" s="8"/>
      <c r="G2" s="8"/>
      <c r="H2" s="8"/>
      <c r="I2" s="8"/>
      <c r="J2" s="8"/>
      <c r="K2" s="8"/>
      <c r="L2" s="8"/>
      <c r="M2" s="8"/>
      <c r="N2" s="7"/>
      <c r="O2" s="7" t="s">
        <v>416</v>
      </c>
      <c r="P2" s="7" t="s">
        <v>416</v>
      </c>
      <c r="Q2" s="7" t="s">
        <v>416</v>
      </c>
      <c r="R2" s="7" t="s">
        <v>416</v>
      </c>
      <c r="S2" s="7" t="s">
        <v>416</v>
      </c>
      <c r="T2" s="7" t="s">
        <v>416</v>
      </c>
      <c r="U2" s="7" t="s">
        <v>292</v>
      </c>
      <c r="V2" s="7" t="s">
        <v>293</v>
      </c>
      <c r="AA2" s="30"/>
      <c r="AB2" s="30"/>
      <c r="AC2" s="30"/>
      <c r="AD2" s="30"/>
      <c r="AE2" s="30"/>
      <c r="AF2" s="30"/>
      <c r="AG2" s="30"/>
      <c r="AH2" s="30"/>
      <c r="AI2" s="30"/>
      <c r="AJ2" s="30"/>
      <c r="AK2" s="30"/>
    </row>
    <row r="3" spans="1:33">
      <c r="A3" s="3" t="s">
        <v>417</v>
      </c>
      <c r="B3" s="3" t="s">
        <v>208</v>
      </c>
      <c r="C3" s="3" t="s">
        <v>418</v>
      </c>
      <c r="D3" s="9" t="s">
        <v>419</v>
      </c>
      <c r="E3" s="4" t="s">
        <v>298</v>
      </c>
      <c r="F3" s="10" t="s">
        <v>300</v>
      </c>
      <c r="G3" s="11" t="s">
        <v>299</v>
      </c>
      <c r="H3" s="11" t="s">
        <v>420</v>
      </c>
      <c r="I3" s="11" t="s">
        <v>421</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422</v>
      </c>
      <c r="Y3" s="3" t="s">
        <v>423</v>
      </c>
      <c r="AG3" s="4"/>
    </row>
    <row r="4" spans="1:33">
      <c r="A4" s="3" t="s">
        <v>417</v>
      </c>
      <c r="B4" s="3" t="s">
        <v>211</v>
      </c>
      <c r="C4" s="3" t="s">
        <v>424</v>
      </c>
      <c r="D4" s="9" t="s">
        <v>425</v>
      </c>
      <c r="E4" s="4" t="s">
        <v>298</v>
      </c>
      <c r="F4" s="10" t="s">
        <v>300</v>
      </c>
      <c r="G4" s="11" t="s">
        <v>299</v>
      </c>
      <c r="H4" s="11" t="s">
        <v>420</v>
      </c>
      <c r="I4" s="11" t="s">
        <v>426</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422</v>
      </c>
      <c r="Y4" s="3" t="s">
        <v>427</v>
      </c>
      <c r="AG4" s="4"/>
    </row>
    <row r="5" spans="1:33">
      <c r="A5" s="3" t="s">
        <v>417</v>
      </c>
      <c r="B5" s="3" t="s">
        <v>239</v>
      </c>
      <c r="C5" s="3" t="s">
        <v>428</v>
      </c>
      <c r="D5" s="4" t="s">
        <v>429</v>
      </c>
      <c r="E5" s="4" t="s">
        <v>298</v>
      </c>
      <c r="F5" s="10" t="s">
        <v>300</v>
      </c>
      <c r="G5" s="11" t="s">
        <v>299</v>
      </c>
      <c r="H5" s="11" t="s">
        <v>420</v>
      </c>
      <c r="I5" s="11" t="s">
        <v>421</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422</v>
      </c>
      <c r="X5" s="3" t="s">
        <v>430</v>
      </c>
      <c r="Y5" s="3" t="s">
        <v>431</v>
      </c>
      <c r="AG5" s="4"/>
    </row>
    <row r="6" spans="1:33">
      <c r="A6" s="3" t="s">
        <v>417</v>
      </c>
      <c r="B6" s="3" t="s">
        <v>242</v>
      </c>
      <c r="C6" s="3" t="s">
        <v>432</v>
      </c>
      <c r="D6" s="12" t="s">
        <v>433</v>
      </c>
      <c r="E6" s="4" t="s">
        <v>298</v>
      </c>
      <c r="F6" s="10" t="s">
        <v>300</v>
      </c>
      <c r="G6" s="11" t="s">
        <v>299</v>
      </c>
      <c r="H6" s="11" t="s">
        <v>420</v>
      </c>
      <c r="I6" s="11" t="s">
        <v>426</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434</v>
      </c>
      <c r="X6" s="3" t="s">
        <v>430</v>
      </c>
      <c r="Y6" s="3" t="s">
        <v>435</v>
      </c>
      <c r="AG6" s="4"/>
    </row>
    <row r="7" spans="1:33">
      <c r="A7" s="3" t="s">
        <v>436</v>
      </c>
      <c r="B7" s="13" t="s">
        <v>243</v>
      </c>
      <c r="C7" s="3" t="s">
        <v>437</v>
      </c>
      <c r="D7" s="12" t="s">
        <v>438</v>
      </c>
      <c r="E7" s="4" t="s">
        <v>298</v>
      </c>
      <c r="F7" s="10" t="s">
        <v>300</v>
      </c>
      <c r="G7" s="11" t="s">
        <v>299</v>
      </c>
      <c r="H7" s="11"/>
      <c r="I7" s="11" t="s">
        <v>439</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434</v>
      </c>
      <c r="X7" s="3" t="s">
        <v>430</v>
      </c>
      <c r="Y7" s="3" t="s">
        <v>440</v>
      </c>
      <c r="AG7" s="4"/>
    </row>
    <row r="8" spans="1:33">
      <c r="A8" s="3" t="s">
        <v>436</v>
      </c>
      <c r="B8" s="3" t="s">
        <v>246</v>
      </c>
      <c r="C8" s="3" t="s">
        <v>441</v>
      </c>
      <c r="D8" s="12" t="s">
        <v>438</v>
      </c>
      <c r="E8" s="4" t="s">
        <v>298</v>
      </c>
      <c r="F8" s="10" t="s">
        <v>300</v>
      </c>
      <c r="G8" s="11" t="s">
        <v>299</v>
      </c>
      <c r="H8" s="11"/>
      <c r="I8" s="11" t="s">
        <v>442</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434</v>
      </c>
      <c r="X8" s="3" t="s">
        <v>430</v>
      </c>
      <c r="Y8" s="3" t="s">
        <v>440</v>
      </c>
      <c r="AG8" s="4"/>
    </row>
    <row r="9" spans="1:33">
      <c r="A9" s="3" t="s">
        <v>436</v>
      </c>
      <c r="B9" s="3" t="s">
        <v>247</v>
      </c>
      <c r="C9" s="3" t="s">
        <v>443</v>
      </c>
      <c r="D9" s="12" t="s">
        <v>444</v>
      </c>
      <c r="E9" s="4" t="s">
        <v>298</v>
      </c>
      <c r="F9" s="10" t="s">
        <v>300</v>
      </c>
      <c r="G9" s="11" t="s">
        <v>299</v>
      </c>
      <c r="H9" s="11"/>
      <c r="I9" s="11" t="s">
        <v>426</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434</v>
      </c>
      <c r="X9" s="3" t="s">
        <v>430</v>
      </c>
      <c r="Y9" s="3" t="s">
        <v>445</v>
      </c>
      <c r="AG9" s="4"/>
    </row>
    <row r="10" spans="1:33">
      <c r="A10" s="3" t="s">
        <v>436</v>
      </c>
      <c r="B10" s="3" t="s">
        <v>250</v>
      </c>
      <c r="C10" s="3" t="s">
        <v>446</v>
      </c>
      <c r="D10" s="14" t="s">
        <v>447</v>
      </c>
      <c r="E10" s="4" t="s">
        <v>298</v>
      </c>
      <c r="F10" s="10" t="s">
        <v>300</v>
      </c>
      <c r="G10" s="11" t="s">
        <v>299</v>
      </c>
      <c r="H10" s="11" t="s">
        <v>420</v>
      </c>
      <c r="I10" s="11" t="s">
        <v>426</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434</v>
      </c>
      <c r="Y10" s="3" t="s">
        <v>448</v>
      </c>
      <c r="AG10" s="4"/>
    </row>
    <row r="11" spans="1:33">
      <c r="A11" s="3" t="s">
        <v>436</v>
      </c>
      <c r="B11" s="3" t="s">
        <v>218</v>
      </c>
      <c r="C11" s="3" t="s">
        <v>449</v>
      </c>
      <c r="D11" s="14" t="s">
        <v>450</v>
      </c>
      <c r="E11" s="4" t="s">
        <v>298</v>
      </c>
      <c r="F11" s="10" t="s">
        <v>300</v>
      </c>
      <c r="G11" s="11" t="s">
        <v>299</v>
      </c>
      <c r="H11" s="11"/>
      <c r="I11" s="11" t="s">
        <v>442</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434</v>
      </c>
      <c r="Y11" s="3" t="s">
        <v>451</v>
      </c>
      <c r="AG11" s="4"/>
    </row>
    <row r="12" spans="1:33">
      <c r="A12" s="3" t="s">
        <v>436</v>
      </c>
      <c r="B12" s="3" t="s">
        <v>219</v>
      </c>
      <c r="C12" s="3" t="s">
        <v>452</v>
      </c>
      <c r="D12" s="9" t="s">
        <v>453</v>
      </c>
      <c r="E12" s="4" t="s">
        <v>298</v>
      </c>
      <c r="F12" s="10" t="s">
        <v>300</v>
      </c>
      <c r="G12" s="11" t="s">
        <v>299</v>
      </c>
      <c r="H12" s="11"/>
      <c r="I12" s="11" t="s">
        <v>426</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434</v>
      </c>
      <c r="Y12" s="3" t="s">
        <v>454</v>
      </c>
      <c r="AG12" s="4"/>
    </row>
    <row r="13" spans="1:33">
      <c r="A13" s="3" t="s">
        <v>436</v>
      </c>
      <c r="B13" s="15" t="s">
        <v>252</v>
      </c>
      <c r="C13" s="3" t="s">
        <v>455</v>
      </c>
      <c r="D13" s="14" t="s">
        <v>456</v>
      </c>
      <c r="E13" s="4" t="s">
        <v>298</v>
      </c>
      <c r="F13" s="11" t="s">
        <v>329</v>
      </c>
      <c r="G13" s="10" t="s">
        <v>300</v>
      </c>
      <c r="H13" s="11" t="s">
        <v>299</v>
      </c>
      <c r="I13" s="10" t="s">
        <v>457</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434</v>
      </c>
      <c r="Y13" s="3" t="s">
        <v>458</v>
      </c>
      <c r="AG13" s="4"/>
    </row>
    <row r="14" spans="1:33">
      <c r="A14" s="3" t="s">
        <v>436</v>
      </c>
      <c r="B14" s="15" t="s">
        <v>254</v>
      </c>
      <c r="C14" s="3" t="s">
        <v>459</v>
      </c>
      <c r="D14" s="14" t="s">
        <v>456</v>
      </c>
      <c r="E14" s="4" t="s">
        <v>298</v>
      </c>
      <c r="F14" s="11" t="s">
        <v>329</v>
      </c>
      <c r="G14" s="10" t="s">
        <v>300</v>
      </c>
      <c r="H14" s="11" t="s">
        <v>299</v>
      </c>
      <c r="I14" s="10" t="s">
        <v>460</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434</v>
      </c>
      <c r="Y14" s="3" t="s">
        <v>458</v>
      </c>
      <c r="AG14" s="4"/>
    </row>
    <row r="15" spans="1:33">
      <c r="A15" s="3" t="s">
        <v>436</v>
      </c>
      <c r="B15" s="15" t="s">
        <v>255</v>
      </c>
      <c r="C15" s="3" t="s">
        <v>461</v>
      </c>
      <c r="D15" s="14" t="s">
        <v>456</v>
      </c>
      <c r="E15" s="4" t="s">
        <v>298</v>
      </c>
      <c r="F15" s="11" t="s">
        <v>329</v>
      </c>
      <c r="G15" s="10" t="s">
        <v>300</v>
      </c>
      <c r="H15" s="11" t="s">
        <v>299</v>
      </c>
      <c r="I15" s="10" t="s">
        <v>462</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434</v>
      </c>
      <c r="Y15" s="3" t="s">
        <v>458</v>
      </c>
      <c r="AG15" s="4"/>
    </row>
    <row r="16" spans="1:33">
      <c r="A16" s="3" t="s">
        <v>436</v>
      </c>
      <c r="B16" s="15" t="s">
        <v>257</v>
      </c>
      <c r="C16" s="3" t="s">
        <v>463</v>
      </c>
      <c r="D16" s="14" t="s">
        <v>456</v>
      </c>
      <c r="E16" s="4" t="s">
        <v>298</v>
      </c>
      <c r="F16" s="11" t="s">
        <v>329</v>
      </c>
      <c r="G16" s="10" t="s">
        <v>300</v>
      </c>
      <c r="H16" s="11" t="s">
        <v>299</v>
      </c>
      <c r="I16" s="10" t="s">
        <v>464</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434</v>
      </c>
      <c r="Y16" s="3" t="s">
        <v>458</v>
      </c>
      <c r="AG16" s="4"/>
    </row>
    <row r="17" spans="1:33">
      <c r="A17" s="3" t="s">
        <v>436</v>
      </c>
      <c r="B17" s="15" t="s">
        <v>258</v>
      </c>
      <c r="C17" s="3" t="s">
        <v>465</v>
      </c>
      <c r="D17" s="14" t="s">
        <v>456</v>
      </c>
      <c r="E17" s="4" t="s">
        <v>298</v>
      </c>
      <c r="F17" s="11" t="s">
        <v>329</v>
      </c>
      <c r="G17" s="10" t="s">
        <v>300</v>
      </c>
      <c r="H17" s="11" t="s">
        <v>299</v>
      </c>
      <c r="I17" s="10" t="s">
        <v>466</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434</v>
      </c>
      <c r="Y17" s="3" t="s">
        <v>458</v>
      </c>
      <c r="AG17" s="4"/>
    </row>
    <row r="18" spans="1:33">
      <c r="A18" s="3" t="s">
        <v>436</v>
      </c>
      <c r="B18" s="15" t="s">
        <v>260</v>
      </c>
      <c r="C18" s="3" t="s">
        <v>467</v>
      </c>
      <c r="D18" s="14" t="s">
        <v>456</v>
      </c>
      <c r="E18" s="4" t="s">
        <v>298</v>
      </c>
      <c r="F18" s="11" t="s">
        <v>329</v>
      </c>
      <c r="G18" s="10" t="s">
        <v>300</v>
      </c>
      <c r="H18" s="11" t="s">
        <v>299</v>
      </c>
      <c r="I18" s="10" t="s">
        <v>468</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434</v>
      </c>
      <c r="Y18" s="3" t="s">
        <v>458</v>
      </c>
      <c r="AG18" s="4"/>
    </row>
    <row r="19" spans="1:33">
      <c r="A19" s="3" t="s">
        <v>436</v>
      </c>
      <c r="B19" s="15" t="s">
        <v>262</v>
      </c>
      <c r="C19" s="3" t="s">
        <v>469</v>
      </c>
      <c r="D19" s="14" t="s">
        <v>456</v>
      </c>
      <c r="E19" s="4" t="s">
        <v>298</v>
      </c>
      <c r="F19" s="11" t="s">
        <v>329</v>
      </c>
      <c r="G19" s="10" t="s">
        <v>300</v>
      </c>
      <c r="H19" s="11" t="s">
        <v>299</v>
      </c>
      <c r="I19" s="10" t="s">
        <v>470</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434</v>
      </c>
      <c r="Y19" s="3" t="s">
        <v>458</v>
      </c>
      <c r="AG19" s="4"/>
    </row>
    <row r="20" spans="1:33">
      <c r="A20" s="3" t="s">
        <v>471</v>
      </c>
      <c r="B20" s="3" t="s">
        <v>263</v>
      </c>
      <c r="C20" s="3" t="s">
        <v>472</v>
      </c>
      <c r="D20" s="14" t="s">
        <v>473</v>
      </c>
      <c r="E20" s="4" t="s">
        <v>316</v>
      </c>
      <c r="F20" s="10" t="s">
        <v>300</v>
      </c>
      <c r="G20" s="11" t="s">
        <v>299</v>
      </c>
      <c r="H20" s="11"/>
      <c r="I20" s="11" t="s">
        <v>442</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434</v>
      </c>
      <c r="Y20" s="3" t="s">
        <v>474</v>
      </c>
      <c r="AG20" s="4"/>
    </row>
    <row r="21" spans="1:33">
      <c r="A21" s="3" t="s">
        <v>471</v>
      </c>
      <c r="B21" s="3" t="s">
        <v>266</v>
      </c>
      <c r="C21" s="3" t="s">
        <v>475</v>
      </c>
      <c r="D21" s="14" t="s">
        <v>476</v>
      </c>
      <c r="E21" s="4" t="s">
        <v>316</v>
      </c>
      <c r="F21" s="10" t="s">
        <v>300</v>
      </c>
      <c r="G21" s="11" t="s">
        <v>299</v>
      </c>
      <c r="H21" s="11"/>
      <c r="I21" s="11" t="s">
        <v>421</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434</v>
      </c>
      <c r="Y21" s="3" t="s">
        <v>477</v>
      </c>
      <c r="AG21" s="4"/>
    </row>
    <row r="22" spans="1:33">
      <c r="A22" s="3" t="s">
        <v>471</v>
      </c>
      <c r="B22" s="3" t="s">
        <v>267</v>
      </c>
      <c r="C22" s="3" t="s">
        <v>478</v>
      </c>
      <c r="D22" s="14" t="s">
        <v>479</v>
      </c>
      <c r="E22" s="4" t="s">
        <v>316</v>
      </c>
      <c r="F22" s="10" t="s">
        <v>300</v>
      </c>
      <c r="G22" s="11" t="s">
        <v>299</v>
      </c>
      <c r="H22" s="11"/>
      <c r="I22" s="11" t="s">
        <v>426</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434</v>
      </c>
      <c r="Y22" s="3" t="s">
        <v>480</v>
      </c>
      <c r="AG22" s="4"/>
    </row>
    <row r="26" spans="2:3">
      <c r="B26" s="16"/>
      <c r="C26" s="16"/>
    </row>
    <row r="28" spans="13:20">
      <c r="M28" s="29" t="s">
        <v>481</v>
      </c>
      <c r="N28" s="29"/>
      <c r="O28" s="29"/>
      <c r="P28" s="29" t="s">
        <v>482</v>
      </c>
      <c r="Q28" s="29"/>
      <c r="R28" s="29"/>
      <c r="S28" s="29"/>
      <c r="T28" s="29"/>
    </row>
    <row r="30" spans="2:30">
      <c r="B30" s="17" t="s">
        <v>483</v>
      </c>
      <c r="C30" s="18" t="s">
        <v>274</v>
      </c>
      <c r="M30" s="29"/>
      <c r="N30" s="29"/>
      <c r="O30" s="29" t="s">
        <v>484</v>
      </c>
      <c r="P30" s="29"/>
      <c r="Q30" s="29" t="s">
        <v>485</v>
      </c>
      <c r="R30" s="29"/>
      <c r="S30" s="29" t="s">
        <v>486</v>
      </c>
      <c r="T30" s="29"/>
      <c r="W30" s="29"/>
      <c r="X30" s="29"/>
      <c r="Y30" s="29"/>
      <c r="Z30" s="29"/>
      <c r="AA30" s="29"/>
      <c r="AB30" s="29"/>
      <c r="AC30" s="29"/>
      <c r="AD30" s="29"/>
    </row>
    <row r="31" spans="2:20">
      <c r="B31" s="19" t="s">
        <v>487</v>
      </c>
      <c r="C31" s="20" t="s">
        <v>488</v>
      </c>
      <c r="M31" s="29"/>
      <c r="N31" s="29"/>
      <c r="O31" s="29">
        <v>2012</v>
      </c>
      <c r="P31" s="29">
        <v>2025</v>
      </c>
      <c r="Q31" s="29">
        <v>2012</v>
      </c>
      <c r="R31" s="29">
        <v>2025</v>
      </c>
      <c r="S31" s="29">
        <v>2012</v>
      </c>
      <c r="T31" s="29">
        <v>2025</v>
      </c>
    </row>
    <row r="32" spans="2:30">
      <c r="B32" s="19" t="s">
        <v>489</v>
      </c>
      <c r="C32" s="20" t="s">
        <v>490</v>
      </c>
      <c r="M32" s="29" t="s">
        <v>487</v>
      </c>
      <c r="N32" s="29" t="s">
        <v>491</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492</v>
      </c>
      <c r="C33" s="20" t="s">
        <v>493</v>
      </c>
      <c r="M33" s="29" t="s">
        <v>489</v>
      </c>
      <c r="N33" s="29" t="s">
        <v>494</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495</v>
      </c>
      <c r="C34" s="20" t="s">
        <v>496</v>
      </c>
      <c r="M34" s="29" t="s">
        <v>492</v>
      </c>
      <c r="N34" s="29" t="s">
        <v>497</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498</v>
      </c>
      <c r="C35" s="20" t="s">
        <v>499</v>
      </c>
      <c r="M35" s="29" t="s">
        <v>495</v>
      </c>
      <c r="N35" s="29" t="s">
        <v>500</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501</v>
      </c>
      <c r="C36" s="20" t="s">
        <v>502</v>
      </c>
      <c r="M36" s="29" t="s">
        <v>503</v>
      </c>
      <c r="N36" s="29" t="s">
        <v>504</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505</v>
      </c>
      <c r="C37" s="20" t="s">
        <v>506</v>
      </c>
      <c r="W37" s="29"/>
      <c r="X37" s="29"/>
      <c r="Y37" s="29"/>
      <c r="Z37" s="29"/>
      <c r="AA37" s="29"/>
      <c r="AB37" s="29"/>
      <c r="AC37" s="29"/>
      <c r="AD37" s="29"/>
    </row>
    <row r="38" spans="2:30">
      <c r="B38" s="19" t="s">
        <v>507</v>
      </c>
      <c r="C38" s="20" t="s">
        <v>508</v>
      </c>
      <c r="M38" s="29" t="s">
        <v>509</v>
      </c>
      <c r="N38" s="29" t="s">
        <v>510</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511</v>
      </c>
      <c r="C39" s="20" t="s">
        <v>512</v>
      </c>
    </row>
    <row r="40" spans="2:30">
      <c r="B40" s="19" t="s">
        <v>513</v>
      </c>
      <c r="C40" s="20" t="s">
        <v>514</v>
      </c>
      <c r="M40" s="29" t="s">
        <v>515</v>
      </c>
      <c r="N40" s="29" t="s">
        <v>516</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503</v>
      </c>
      <c r="C41" s="20" t="s">
        <v>517</v>
      </c>
      <c r="M41" s="29" t="s">
        <v>518</v>
      </c>
      <c r="N41" s="29" t="s">
        <v>519</v>
      </c>
      <c r="O41" s="29">
        <v>41.443518996</v>
      </c>
      <c r="P41" s="29">
        <v>28.2687505364979</v>
      </c>
      <c r="Q41" s="29">
        <v>1.1302777908</v>
      </c>
      <c r="R41" s="29">
        <v>0.770965923722669</v>
      </c>
      <c r="S41" s="29">
        <v>0.11302777908</v>
      </c>
      <c r="T41" s="29">
        <v>0.0770965923722669</v>
      </c>
    </row>
    <row r="42" spans="2:30">
      <c r="B42" s="19" t="s">
        <v>520</v>
      </c>
      <c r="C42" s="20" t="s">
        <v>521</v>
      </c>
      <c r="M42" s="29" t="s">
        <v>522</v>
      </c>
      <c r="N42" s="29" t="s">
        <v>523</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524</v>
      </c>
      <c r="C43" s="20" t="s">
        <v>525</v>
      </c>
      <c r="M43" s="29" t="s">
        <v>526</v>
      </c>
      <c r="N43" s="29" t="s">
        <v>527</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509</v>
      </c>
      <c r="C44" s="20" t="s">
        <v>528</v>
      </c>
      <c r="W44" s="29"/>
      <c r="X44" s="29"/>
      <c r="Y44" s="29"/>
      <c r="Z44" s="29"/>
      <c r="AA44" s="29"/>
      <c r="AB44" s="29"/>
      <c r="AC44" s="29"/>
      <c r="AD44" s="29"/>
    </row>
    <row r="45" spans="2:30">
      <c r="B45" s="19" t="s">
        <v>529</v>
      </c>
      <c r="C45" s="20" t="s">
        <v>530</v>
      </c>
      <c r="W45" s="29"/>
      <c r="X45" s="29"/>
      <c r="Y45" s="29"/>
      <c r="Z45" s="29"/>
      <c r="AA45" s="29"/>
      <c r="AB45" s="29"/>
      <c r="AC45" s="29"/>
      <c r="AD45" s="29"/>
    </row>
    <row r="46" spans="2:18">
      <c r="B46" s="19" t="s">
        <v>531</v>
      </c>
      <c r="C46" s="20" t="s">
        <v>532</v>
      </c>
      <c r="M46" s="29" t="s">
        <v>513</v>
      </c>
      <c r="N46" s="29" t="s">
        <v>533</v>
      </c>
      <c r="O46" s="29">
        <v>3.5260105546848</v>
      </c>
      <c r="P46" s="29">
        <v>2.71158106132005</v>
      </c>
      <c r="Q46" s="29">
        <v>0.3025275327984</v>
      </c>
      <c r="R46" s="29">
        <v>0.23265044608959</v>
      </c>
    </row>
    <row r="47" ht="15.25" spans="2:18">
      <c r="B47" s="21" t="s">
        <v>534</v>
      </c>
      <c r="C47" s="22" t="s">
        <v>535</v>
      </c>
      <c r="M47" s="29" t="s">
        <v>505</v>
      </c>
      <c r="N47" s="29" t="s">
        <v>536</v>
      </c>
      <c r="O47" s="29">
        <v>13.2516683534175</v>
      </c>
      <c r="P47" s="29">
        <v>10.1908296588276</v>
      </c>
      <c r="Q47" s="29">
        <v>0.609576744257206</v>
      </c>
      <c r="R47" s="29">
        <v>0.468778164306072</v>
      </c>
    </row>
    <row r="48" spans="13:28">
      <c r="M48" s="29" t="s">
        <v>507</v>
      </c>
      <c r="N48" s="29" t="s">
        <v>537</v>
      </c>
      <c r="O48" s="29">
        <v>23.6746743204907</v>
      </c>
      <c r="P48" s="29">
        <v>18.2063546108986</v>
      </c>
      <c r="Q48" s="29">
        <v>1.08903501874257</v>
      </c>
      <c r="R48" s="29">
        <v>0.837492312101335</v>
      </c>
      <c r="W48" s="29"/>
      <c r="X48" s="29"/>
      <c r="Y48" s="29"/>
      <c r="Z48" s="29"/>
      <c r="AA48" s="29"/>
      <c r="AB48" s="29"/>
    </row>
    <row r="49" spans="13:28">
      <c r="M49" s="29" t="s">
        <v>498</v>
      </c>
      <c r="N49" s="29" t="s">
        <v>538</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tabSelected="1" zoomScale="86" zoomScaleNormal="86" topLeftCell="A50" workbookViewId="0">
      <pane xSplit="1" topLeftCell="B1" activePane="topRight" state="frozen"/>
      <selection/>
      <selection pane="topRight" activeCell="B80" sqref="B80"/>
    </sheetView>
  </sheetViews>
  <sheetFormatPr defaultColWidth="11.4545454545455" defaultRowHeight="12.5"/>
  <cols>
    <col min="1" max="1" width="66.3636363636364" style="109" customWidth="1"/>
    <col min="2" max="2" width="93.8181818181818" style="109" customWidth="1"/>
    <col min="3" max="3" width="29.8909090909091"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41" t="s">
        <v>86</v>
      </c>
      <c r="B1" s="241" t="s">
        <v>87</v>
      </c>
    </row>
    <row r="2" ht="42" customHeight="1" spans="1:7">
      <c r="A2" s="241" t="s">
        <v>88</v>
      </c>
      <c r="B2" s="184" t="s">
        <v>8</v>
      </c>
      <c r="E2" s="223" t="s">
        <v>89</v>
      </c>
      <c r="F2" s="242"/>
      <c r="G2" s="243"/>
    </row>
    <row r="3" ht="42" customHeight="1" spans="1:2">
      <c r="A3" s="241" t="s">
        <v>90</v>
      </c>
      <c r="B3" s="244" t="s">
        <v>91</v>
      </c>
    </row>
    <row r="4" ht="42" customHeight="1" spans="1:3">
      <c r="A4" s="241" t="s">
        <v>92</v>
      </c>
      <c r="B4" s="184" t="s">
        <v>8</v>
      </c>
      <c r="C4" s="183" t="s">
        <v>93</v>
      </c>
    </row>
    <row r="5" ht="23" spans="1:23">
      <c r="A5" s="108" t="s">
        <v>94</v>
      </c>
      <c r="B5" s="109" t="s">
        <v>95</v>
      </c>
      <c r="W5" s="241" t="s">
        <v>96</v>
      </c>
    </row>
    <row r="6" ht="15.5" spans="1:1">
      <c r="A6" s="187"/>
    </row>
    <row r="7" ht="13" spans="5:16">
      <c r="E7" s="245"/>
      <c r="G7" s="111"/>
      <c r="H7" s="111"/>
      <c r="I7" s="111"/>
      <c r="J7" s="111"/>
      <c r="K7" s="111"/>
      <c r="L7" s="111"/>
      <c r="M7" s="111"/>
      <c r="N7" s="109"/>
      <c r="P7"/>
    </row>
    <row r="8" ht="22.5" spans="1:16">
      <c r="A8" s="243"/>
      <c r="E8" s="245"/>
      <c r="G8" s="111"/>
      <c r="H8" s="111"/>
      <c r="I8" s="111"/>
      <c r="J8" s="111"/>
      <c r="K8" s="111"/>
      <c r="L8" s="111"/>
      <c r="M8" s="111"/>
      <c r="N8" s="109"/>
      <c r="P8"/>
    </row>
    <row r="9" ht="13" spans="5:16">
      <c r="E9" s="245"/>
      <c r="G9" s="153" t="s">
        <v>12</v>
      </c>
      <c r="H9" s="111"/>
      <c r="I9" s="111"/>
      <c r="J9" s="111"/>
      <c r="K9" s="111"/>
      <c r="L9" s="111"/>
      <c r="M9" s="245"/>
      <c r="N9" s="109"/>
      <c r="P9"/>
    </row>
    <row r="10" ht="26" spans="2:21">
      <c r="B10" s="112" t="s">
        <v>14</v>
      </c>
      <c r="C10" s="113" t="s">
        <v>15</v>
      </c>
      <c r="D10" s="112" t="s">
        <v>16</v>
      </c>
      <c r="E10" s="112" t="s">
        <v>17</v>
      </c>
      <c r="F10" s="114" t="s">
        <v>97</v>
      </c>
      <c r="G10" s="114" t="s">
        <v>98</v>
      </c>
      <c r="H10" s="114" t="s">
        <v>99</v>
      </c>
      <c r="I10" s="280" t="s">
        <v>42</v>
      </c>
      <c r="J10" s="280" t="s">
        <v>100</v>
      </c>
      <c r="K10" s="280" t="s">
        <v>101</v>
      </c>
      <c r="L10" s="114" t="s">
        <v>21</v>
      </c>
      <c r="M10" s="280" t="s">
        <v>102</v>
      </c>
      <c r="N10" s="280" t="s">
        <v>23</v>
      </c>
      <c r="O10" s="280" t="s">
        <v>24</v>
      </c>
      <c r="P10" s="281" t="s">
        <v>28</v>
      </c>
      <c r="Q10" s="114" t="s">
        <v>29</v>
      </c>
      <c r="R10" s="114" t="s">
        <v>30</v>
      </c>
      <c r="U10"/>
    </row>
    <row r="11" ht="25" spans="2:25">
      <c r="B11" s="115" t="s">
        <v>31</v>
      </c>
      <c r="C11" s="115" t="s">
        <v>32</v>
      </c>
      <c r="D11" s="115" t="s">
        <v>33</v>
      </c>
      <c r="E11" s="115" t="s">
        <v>34</v>
      </c>
      <c r="F11" s="116"/>
      <c r="G11" s="116"/>
      <c r="H11" s="116"/>
      <c r="I11" s="282"/>
      <c r="J11" s="116"/>
      <c r="K11" s="116"/>
      <c r="L11" s="116"/>
      <c r="M11" s="282" t="s">
        <v>103</v>
      </c>
      <c r="N11" s="282" t="s">
        <v>103</v>
      </c>
      <c r="O11" s="282" t="s">
        <v>103</v>
      </c>
      <c r="P11" s="116" t="s">
        <v>36</v>
      </c>
      <c r="Q11" s="116"/>
      <c r="R11" s="116"/>
      <c r="U11"/>
      <c r="Y11" s="241" t="s">
        <v>104</v>
      </c>
    </row>
    <row r="12" ht="13" spans="2:21">
      <c r="B12" s="212" t="str">
        <f>B98</f>
        <v>SCOAH2GC01</v>
      </c>
      <c r="C12" s="212" t="str">
        <f>C98</f>
        <v>H2 Production-Coal Gasification</v>
      </c>
      <c r="D12" s="215" t="s">
        <v>105</v>
      </c>
      <c r="E12" s="214"/>
      <c r="F12" s="198">
        <f>1/54.5*100</f>
        <v>1.8348623853211</v>
      </c>
      <c r="G12" s="198">
        <f t="shared" ref="G12:H12" si="0">1/54.5*100</f>
        <v>1.8348623853211</v>
      </c>
      <c r="H12" s="198">
        <f t="shared" si="0"/>
        <v>1.8348623853211</v>
      </c>
      <c r="I12" s="283"/>
      <c r="J12" s="284"/>
      <c r="K12" s="284"/>
      <c r="L12" s="207">
        <v>0.95</v>
      </c>
      <c r="M12" s="201">
        <f>1.35*512</f>
        <v>691.2</v>
      </c>
      <c r="N12" s="201">
        <f>M12*0.95</f>
        <v>656.64</v>
      </c>
      <c r="O12" s="201">
        <f>M12*0.9</f>
        <v>622.08</v>
      </c>
      <c r="P12" s="285">
        <v>40</v>
      </c>
      <c r="Q12" s="324">
        <v>2021</v>
      </c>
      <c r="R12" s="325">
        <v>31.536</v>
      </c>
      <c r="U12"/>
    </row>
    <row r="13" ht="13" spans="2:21">
      <c r="B13" s="215"/>
      <c r="C13" s="215"/>
      <c r="E13" s="246" t="s">
        <v>83</v>
      </c>
      <c r="F13" s="198"/>
      <c r="G13" s="198"/>
      <c r="H13" s="198"/>
      <c r="I13" s="283">
        <f>'INPUT-Data(EUTIMES-HP)'!R3</f>
        <v>1</v>
      </c>
      <c r="J13" s="286">
        <f>I13</f>
        <v>1</v>
      </c>
      <c r="K13" s="286">
        <f>J13</f>
        <v>1</v>
      </c>
      <c r="L13" s="215"/>
      <c r="M13" s="287"/>
      <c r="N13" s="288"/>
      <c r="O13" s="288"/>
      <c r="P13" s="289"/>
      <c r="Q13" s="326"/>
      <c r="R13" s="327"/>
      <c r="U13"/>
    </row>
    <row r="14" ht="13" spans="2:21">
      <c r="B14" s="215"/>
      <c r="C14" s="215"/>
      <c r="D14" s="215"/>
      <c r="E14" s="156" t="s">
        <v>106</v>
      </c>
      <c r="F14" s="198"/>
      <c r="G14" s="198"/>
      <c r="H14" s="198"/>
      <c r="I14" s="283">
        <f>ReferEMI!U2</f>
        <v>181.015795795796</v>
      </c>
      <c r="J14" s="284">
        <f>ReferEMI!U3</f>
        <v>189.357537537538</v>
      </c>
      <c r="K14" s="284">
        <f>ReferEMI!U4</f>
        <v>191.86006006006</v>
      </c>
      <c r="L14" s="215"/>
      <c r="M14" s="287"/>
      <c r="N14" s="288"/>
      <c r="O14" s="288"/>
      <c r="P14" s="289"/>
      <c r="Q14" s="326"/>
      <c r="R14" s="327"/>
      <c r="U14"/>
    </row>
    <row r="15" s="193" customFormat="1" ht="13" spans="2:21">
      <c r="B15" s="215" t="s">
        <v>107</v>
      </c>
      <c r="C15" s="215"/>
      <c r="D15" s="215"/>
      <c r="L15" s="215"/>
      <c r="M15" s="287"/>
      <c r="N15" s="288"/>
      <c r="O15" s="288"/>
      <c r="P15" s="289"/>
      <c r="Q15" s="326"/>
      <c r="R15" s="327"/>
      <c r="U15" s="203"/>
    </row>
    <row r="16" s="193" customFormat="1" ht="13" spans="2:21">
      <c r="B16" s="156" t="s">
        <v>107</v>
      </c>
      <c r="C16" s="212"/>
      <c r="D16" s="215"/>
      <c r="E16" s="215"/>
      <c r="F16" s="198"/>
      <c r="G16" s="198"/>
      <c r="H16" s="198"/>
      <c r="I16" s="283"/>
      <c r="J16" s="284"/>
      <c r="K16" s="284"/>
      <c r="L16" s="207"/>
      <c r="M16" s="201"/>
      <c r="N16" s="201"/>
      <c r="O16" s="201"/>
      <c r="P16" s="285"/>
      <c r="Q16" s="324"/>
      <c r="R16" s="325"/>
      <c r="U16" s="203"/>
    </row>
    <row r="17" s="193" customFormat="1" ht="13" spans="2:21">
      <c r="B17" s="156" t="s">
        <v>107</v>
      </c>
      <c r="C17" s="212"/>
      <c r="D17" s="215"/>
      <c r="E17" s="156"/>
      <c r="F17" s="141"/>
      <c r="G17" s="247"/>
      <c r="H17" s="247"/>
      <c r="I17" s="283"/>
      <c r="J17" s="284"/>
      <c r="K17" s="284"/>
      <c r="L17" s="207"/>
      <c r="M17" s="201"/>
      <c r="N17" s="201"/>
      <c r="O17" s="201"/>
      <c r="P17" s="285"/>
      <c r="Q17" s="326"/>
      <c r="R17" s="325"/>
      <c r="U17" s="203"/>
    </row>
    <row r="18" s="193" customFormat="1" ht="13" spans="2:21">
      <c r="B18" s="156" t="s">
        <v>107</v>
      </c>
      <c r="C18" s="212"/>
      <c r="D18" s="215"/>
      <c r="E18" s="214"/>
      <c r="F18" s="247"/>
      <c r="G18" s="247"/>
      <c r="H18" s="247"/>
      <c r="I18" s="290"/>
      <c r="J18" s="291"/>
      <c r="K18" s="291"/>
      <c r="L18" s="207"/>
      <c r="M18" s="201"/>
      <c r="N18" s="201"/>
      <c r="O18" s="201"/>
      <c r="P18" s="285"/>
      <c r="Q18" s="326"/>
      <c r="R18" s="325"/>
      <c r="U18" s="203"/>
    </row>
    <row r="19" s="235" customFormat="1" ht="13" spans="2:21">
      <c r="B19" s="248" t="s">
        <v>107</v>
      </c>
      <c r="C19" s="248" t="str">
        <f>C100</f>
        <v>H2 Production-Coal Gasification + Carbon Capture</v>
      </c>
      <c r="D19" s="249" t="s">
        <v>105</v>
      </c>
      <c r="E19" s="249"/>
      <c r="F19" s="250">
        <f>1/51*100</f>
        <v>1.96078431372549</v>
      </c>
      <c r="G19" s="250">
        <f t="shared" ref="G19:H19" si="1">1/51*100</f>
        <v>1.96078431372549</v>
      </c>
      <c r="H19" s="250">
        <f t="shared" si="1"/>
        <v>1.96078431372549</v>
      </c>
      <c r="I19" s="292"/>
      <c r="J19" s="293"/>
      <c r="K19" s="293"/>
      <c r="L19" s="294">
        <v>0.95</v>
      </c>
      <c r="M19" s="295">
        <f>(807+966)/2*1.35</f>
        <v>1196.775</v>
      </c>
      <c r="N19" s="295">
        <f>M19*0.95</f>
        <v>1136.93625</v>
      </c>
      <c r="O19" s="295">
        <f>M19*0.9</f>
        <v>1077.0975</v>
      </c>
      <c r="P19" s="296">
        <v>40</v>
      </c>
      <c r="Q19" s="296">
        <v>2021</v>
      </c>
      <c r="R19" s="328">
        <v>31.536</v>
      </c>
      <c r="U19" s="329"/>
    </row>
    <row r="20" s="235" customFormat="1" ht="13" spans="2:21">
      <c r="B20" s="248" t="s">
        <v>107</v>
      </c>
      <c r="C20" s="248"/>
      <c r="D20" s="249" t="s">
        <v>38</v>
      </c>
      <c r="E20" s="249"/>
      <c r="F20" s="250"/>
      <c r="G20" s="250"/>
      <c r="H20" s="250"/>
      <c r="I20" s="292"/>
      <c r="J20" s="293"/>
      <c r="K20" s="293"/>
      <c r="L20" s="294"/>
      <c r="M20" s="295"/>
      <c r="N20" s="295"/>
      <c r="O20" s="295"/>
      <c r="P20" s="296"/>
      <c r="Q20" s="330"/>
      <c r="R20" s="331"/>
      <c r="U20" s="329"/>
    </row>
    <row r="21" s="235" customFormat="1" ht="13" spans="2:21">
      <c r="B21" s="248" t="s">
        <v>107</v>
      </c>
      <c r="C21" s="248"/>
      <c r="D21" s="249"/>
      <c r="E21" s="251" t="s">
        <v>83</v>
      </c>
      <c r="F21" s="250"/>
      <c r="G21" s="250"/>
      <c r="H21" s="250"/>
      <c r="I21" s="292">
        <f>'INPUT-Data(EUTIMES-HP)'!R5</f>
        <v>1</v>
      </c>
      <c r="J21" s="293">
        <f>I21</f>
        <v>1</v>
      </c>
      <c r="K21" s="293">
        <f>J21</f>
        <v>1</v>
      </c>
      <c r="L21" s="294"/>
      <c r="M21" s="295"/>
      <c r="N21" s="295"/>
      <c r="O21" s="295"/>
      <c r="P21" s="296"/>
      <c r="Q21" s="330"/>
      <c r="R21" s="331"/>
      <c r="U21" s="329"/>
    </row>
    <row r="22" ht="13" spans="2:21">
      <c r="B22" s="215" t="s">
        <v>107</v>
      </c>
      <c r="C22" s="215"/>
      <c r="D22" s="215"/>
      <c r="E22" s="156"/>
      <c r="F22" s="198"/>
      <c r="G22" s="198"/>
      <c r="H22" s="198"/>
      <c r="I22" s="283"/>
      <c r="J22" s="284"/>
      <c r="K22" s="284"/>
      <c r="L22" s="297"/>
      <c r="M22" s="201"/>
      <c r="N22" s="201"/>
      <c r="O22" s="201"/>
      <c r="P22" s="298"/>
      <c r="Q22" s="324"/>
      <c r="R22" s="332"/>
      <c r="U22"/>
    </row>
    <row r="23" ht="13" spans="2:21">
      <c r="B23" s="252" t="s">
        <v>107</v>
      </c>
      <c r="C23" s="253"/>
      <c r="D23" s="254"/>
      <c r="E23" s="255"/>
      <c r="F23" s="256"/>
      <c r="G23" s="256"/>
      <c r="H23" s="256"/>
      <c r="I23" s="299"/>
      <c r="J23" s="300"/>
      <c r="K23" s="300"/>
      <c r="L23" s="297"/>
      <c r="M23" s="301"/>
      <c r="N23" s="301"/>
      <c r="O23" s="301"/>
      <c r="P23" s="298"/>
      <c r="Q23" s="326"/>
      <c r="R23" s="332"/>
      <c r="U23"/>
    </row>
    <row r="24" ht="13" spans="2:37">
      <c r="B24" s="252" t="s">
        <v>107</v>
      </c>
      <c r="C24" s="253"/>
      <c r="D24" s="254"/>
      <c r="E24" s="255"/>
      <c r="F24" s="257"/>
      <c r="G24" s="257"/>
      <c r="H24" s="257"/>
      <c r="I24" s="302"/>
      <c r="J24" s="303"/>
      <c r="K24" s="303"/>
      <c r="L24" s="297"/>
      <c r="M24" s="301"/>
      <c r="N24" s="301"/>
      <c r="O24" s="301"/>
      <c r="P24" s="298"/>
      <c r="Q24" s="326"/>
      <c r="R24" s="332"/>
      <c r="U24"/>
      <c r="AK24" s="109">
        <f>0.4*1.5*1000*365*40</f>
        <v>8760000</v>
      </c>
    </row>
    <row r="25" ht="13" spans="2:21">
      <c r="B25" s="212" t="str">
        <f>B103</f>
        <v>SBIOH2GC01</v>
      </c>
      <c r="C25" s="212" t="str">
        <f>C103</f>
        <v>H2 Production-Biomass Gasification</v>
      </c>
      <c r="D25" s="215" t="s">
        <v>108</v>
      </c>
      <c r="E25" s="214"/>
      <c r="F25" s="198">
        <f>1/54.3*100</f>
        <v>1.84162062615101</v>
      </c>
      <c r="G25" s="198">
        <f>1/57.3*100</f>
        <v>1.74520069808028</v>
      </c>
      <c r="H25" s="198">
        <f>1/64.3*100</f>
        <v>1.5552099533437</v>
      </c>
      <c r="I25" s="283"/>
      <c r="J25" s="284"/>
      <c r="K25" s="284"/>
      <c r="L25" s="207">
        <v>0.95</v>
      </c>
      <c r="M25" s="201">
        <f>(533+1081)/2*1.35</f>
        <v>1089.45</v>
      </c>
      <c r="N25" s="201">
        <f>M25*0.95</f>
        <v>1034.9775</v>
      </c>
      <c r="O25" s="201">
        <f>M25*0.9</f>
        <v>980.505</v>
      </c>
      <c r="P25" s="285">
        <v>40</v>
      </c>
      <c r="Q25" s="324">
        <v>2021</v>
      </c>
      <c r="R25" s="325">
        <v>31.536</v>
      </c>
      <c r="U25"/>
    </row>
    <row r="26" ht="13" spans="2:21">
      <c r="B26" s="212"/>
      <c r="C26" s="212"/>
      <c r="D26" s="258" t="s">
        <v>38</v>
      </c>
      <c r="E26" s="214"/>
      <c r="F26" s="198">
        <v>0</v>
      </c>
      <c r="G26" s="198">
        <v>0</v>
      </c>
      <c r="H26" s="198">
        <v>0</v>
      </c>
      <c r="I26" s="283"/>
      <c r="J26" s="284"/>
      <c r="K26" s="284"/>
      <c r="L26" s="207"/>
      <c r="M26" s="201"/>
      <c r="N26" s="201"/>
      <c r="O26" s="201"/>
      <c r="P26" s="285"/>
      <c r="Q26" s="326"/>
      <c r="R26" s="327"/>
      <c r="U26"/>
    </row>
    <row r="27" ht="13" spans="2:21">
      <c r="B27" s="212"/>
      <c r="C27" s="212"/>
      <c r="D27" s="215"/>
      <c r="E27" s="246" t="s">
        <v>83</v>
      </c>
      <c r="F27" s="226"/>
      <c r="G27" s="198"/>
      <c r="H27" s="198"/>
      <c r="I27" s="283">
        <f>'INPUT-Data(EUTIMES-HP)'!R7</f>
        <v>1</v>
      </c>
      <c r="J27" s="284">
        <f>I27</f>
        <v>1</v>
      </c>
      <c r="K27" s="284">
        <f>J27</f>
        <v>1</v>
      </c>
      <c r="L27" s="207"/>
      <c r="M27" s="201"/>
      <c r="N27" s="201"/>
      <c r="O27" s="201"/>
      <c r="P27" s="285"/>
      <c r="Q27" s="326"/>
      <c r="R27" s="327"/>
      <c r="U27"/>
    </row>
    <row r="28" ht="13" spans="2:21">
      <c r="B28" s="215"/>
      <c r="C28" s="215"/>
      <c r="D28" s="215"/>
      <c r="E28" s="156" t="s">
        <v>106</v>
      </c>
      <c r="F28" s="198"/>
      <c r="G28" s="198"/>
      <c r="H28" s="198"/>
      <c r="I28" s="283">
        <f>ReferEMI!Y2</f>
        <v>175.176576576577</v>
      </c>
      <c r="J28" s="284">
        <f>ReferEMI!Y3</f>
        <v>166.834834834835</v>
      </c>
      <c r="K28" s="284">
        <f>ReferEMI!Y4</f>
        <v>150.151351351351</v>
      </c>
      <c r="L28" s="297"/>
      <c r="M28" s="201"/>
      <c r="N28" s="201"/>
      <c r="O28" s="201"/>
      <c r="P28" s="298"/>
      <c r="Q28" s="324"/>
      <c r="R28" s="332"/>
      <c r="U28"/>
    </row>
    <row r="29" s="235" customFormat="1" ht="13" spans="2:21">
      <c r="B29" s="259" t="s">
        <v>107</v>
      </c>
      <c r="C29" s="259"/>
      <c r="D29" s="260"/>
      <c r="E29" s="260"/>
      <c r="F29" s="261"/>
      <c r="G29" s="262"/>
      <c r="H29" s="262"/>
      <c r="I29" s="304"/>
      <c r="J29" s="305"/>
      <c r="K29" s="305"/>
      <c r="L29" s="306"/>
      <c r="M29" s="307"/>
      <c r="N29" s="307"/>
      <c r="O29" s="307"/>
      <c r="P29" s="308"/>
      <c r="Q29" s="330"/>
      <c r="R29" s="333"/>
      <c r="U29" s="329"/>
    </row>
    <row r="30" s="235" customFormat="1" ht="13" spans="2:21">
      <c r="B30" s="259" t="s">
        <v>107</v>
      </c>
      <c r="C30" s="259"/>
      <c r="D30" s="260"/>
      <c r="E30" s="259"/>
      <c r="F30" s="263"/>
      <c r="G30" s="263"/>
      <c r="H30" s="263"/>
      <c r="I30" s="304"/>
      <c r="J30" s="305"/>
      <c r="K30" s="305"/>
      <c r="L30" s="306"/>
      <c r="M30" s="307"/>
      <c r="N30" s="307"/>
      <c r="O30" s="307"/>
      <c r="P30" s="308"/>
      <c r="Q30" s="330"/>
      <c r="R30" s="333"/>
      <c r="U30" s="329"/>
    </row>
    <row r="31" s="235" customFormat="1" ht="13" spans="2:21">
      <c r="B31" s="248" t="s">
        <v>107</v>
      </c>
      <c r="C31" s="248" t="str">
        <f>C104</f>
        <v>H2 Production-Biomass Gasification + Carbon Capture</v>
      </c>
      <c r="D31" s="249" t="s">
        <v>108</v>
      </c>
      <c r="E31" s="249"/>
      <c r="F31" s="250">
        <f>1/54.3*100</f>
        <v>1.84162062615101</v>
      </c>
      <c r="G31" s="250">
        <f>1/57.3*100</f>
        <v>1.74520069808028</v>
      </c>
      <c r="H31" s="250">
        <f>1/64.3*100</f>
        <v>1.5552099533437</v>
      </c>
      <c r="I31" s="292"/>
      <c r="J31" s="293"/>
      <c r="K31" s="293"/>
      <c r="L31" s="294">
        <v>0.95</v>
      </c>
      <c r="M31" s="295">
        <f>(1135+1297)/2*1.35</f>
        <v>1641.6</v>
      </c>
      <c r="N31" s="295">
        <f>M31*0.95</f>
        <v>1559.52</v>
      </c>
      <c r="O31" s="295">
        <f>M31*0.9</f>
        <v>1477.44</v>
      </c>
      <c r="P31" s="296">
        <v>40</v>
      </c>
      <c r="Q31" s="296">
        <v>2021</v>
      </c>
      <c r="R31" s="328">
        <v>31.536</v>
      </c>
      <c r="U31" s="329"/>
    </row>
    <row r="32" s="235" customFormat="1" ht="13" spans="2:21">
      <c r="B32" s="248" t="s">
        <v>107</v>
      </c>
      <c r="C32" s="248"/>
      <c r="D32" s="249" t="s">
        <v>38</v>
      </c>
      <c r="E32" s="249"/>
      <c r="F32" s="250"/>
      <c r="G32" s="250" t="str">
        <f>IF('INPUT-Data(EUTIMES-HP)'!P9=0,"",'INPUT-Data(EUTIMES-HP)'!P9)</f>
        <v/>
      </c>
      <c r="H32" s="250" t="str">
        <f>IF('INPUT-Data(EUTIMES-HP)'!Q9=0,"",'INPUT-Data(EUTIMES-HP)'!Q9)</f>
        <v/>
      </c>
      <c r="I32" s="292"/>
      <c r="J32" s="293"/>
      <c r="K32" s="293"/>
      <c r="L32" s="294"/>
      <c r="M32" s="295"/>
      <c r="N32" s="295"/>
      <c r="O32" s="295"/>
      <c r="P32" s="296"/>
      <c r="Q32" s="330"/>
      <c r="R32" s="331"/>
      <c r="U32" s="329"/>
    </row>
    <row r="33" s="235" customFormat="1" ht="13" spans="2:21">
      <c r="B33" s="248" t="s">
        <v>107</v>
      </c>
      <c r="C33" s="248"/>
      <c r="D33" s="249"/>
      <c r="E33" s="251" t="s">
        <v>83</v>
      </c>
      <c r="F33" s="264"/>
      <c r="G33" s="264"/>
      <c r="H33" s="264"/>
      <c r="I33" s="292">
        <f>'INPUT-Data(EUTIMES-HP)'!R9</f>
        <v>1</v>
      </c>
      <c r="J33" s="293">
        <f>I33</f>
        <v>1</v>
      </c>
      <c r="K33" s="293">
        <f>J33</f>
        <v>1</v>
      </c>
      <c r="L33" s="294"/>
      <c r="M33" s="295"/>
      <c r="N33" s="295"/>
      <c r="O33" s="295"/>
      <c r="P33" s="296"/>
      <c r="Q33" s="330"/>
      <c r="R33" s="331"/>
      <c r="U33" s="329"/>
    </row>
    <row r="34" s="193" customFormat="1" ht="13" spans="2:21">
      <c r="B34" s="215" t="s">
        <v>107</v>
      </c>
      <c r="C34" s="215"/>
      <c r="D34" s="215"/>
      <c r="E34" s="156"/>
      <c r="F34" s="198"/>
      <c r="G34" s="198"/>
      <c r="H34" s="198"/>
      <c r="I34" s="283"/>
      <c r="J34" s="284"/>
      <c r="K34" s="284"/>
      <c r="L34" s="207"/>
      <c r="M34" s="201"/>
      <c r="N34" s="201"/>
      <c r="O34" s="201"/>
      <c r="P34" s="285"/>
      <c r="Q34" s="324"/>
      <c r="R34" s="325"/>
      <c r="U34" s="203"/>
    </row>
    <row r="35" s="193" customFormat="1" ht="13" spans="2:21">
      <c r="B35" s="156" t="s">
        <v>107</v>
      </c>
      <c r="C35" s="212"/>
      <c r="D35" s="215"/>
      <c r="E35" s="214"/>
      <c r="F35" s="198"/>
      <c r="G35" s="198"/>
      <c r="H35" s="198"/>
      <c r="I35" s="283"/>
      <c r="J35" s="284"/>
      <c r="K35" s="284"/>
      <c r="L35" s="207"/>
      <c r="M35" s="201"/>
      <c r="N35" s="201"/>
      <c r="O35" s="201"/>
      <c r="P35" s="285"/>
      <c r="Q35" s="326"/>
      <c r="R35" s="325"/>
      <c r="U35" s="203"/>
    </row>
    <row r="36" s="193" customFormat="1" ht="13" spans="2:21">
      <c r="B36" s="265" t="s">
        <v>107</v>
      </c>
      <c r="C36" s="266"/>
      <c r="D36" s="267"/>
      <c r="E36" s="265"/>
      <c r="F36" s="141"/>
      <c r="G36" s="141"/>
      <c r="H36" s="141"/>
      <c r="I36" s="283"/>
      <c r="J36" s="309"/>
      <c r="K36" s="309"/>
      <c r="L36" s="310"/>
      <c r="M36" s="201"/>
      <c r="N36" s="201"/>
      <c r="O36" s="201"/>
      <c r="P36" s="285"/>
      <c r="Q36" s="326"/>
      <c r="R36" s="325"/>
      <c r="U36" s="203"/>
    </row>
    <row r="37" s="193" customFormat="1" ht="13" spans="2:21">
      <c r="B37" s="265" t="s">
        <v>107</v>
      </c>
      <c r="C37" s="212"/>
      <c r="D37" s="215"/>
      <c r="E37" s="214"/>
      <c r="F37" s="198"/>
      <c r="G37" s="198"/>
      <c r="H37" s="198"/>
      <c r="I37" s="283"/>
      <c r="J37" s="284"/>
      <c r="K37" s="284"/>
      <c r="L37" s="207"/>
      <c r="M37" s="201"/>
      <c r="N37" s="201"/>
      <c r="O37" s="201"/>
      <c r="P37" s="285"/>
      <c r="Q37" s="324"/>
      <c r="R37" s="325"/>
      <c r="U37" s="203"/>
    </row>
    <row r="38" s="193" customFormat="1" ht="13" spans="2:21">
      <c r="B38" s="265" t="s">
        <v>107</v>
      </c>
      <c r="C38" s="212"/>
      <c r="D38" s="215"/>
      <c r="E38" s="214"/>
      <c r="F38" s="198"/>
      <c r="G38" s="198"/>
      <c r="H38" s="198"/>
      <c r="I38" s="283"/>
      <c r="J38" s="284"/>
      <c r="K38" s="284"/>
      <c r="L38" s="207"/>
      <c r="M38" s="201"/>
      <c r="N38" s="201"/>
      <c r="O38" s="201"/>
      <c r="P38" s="285"/>
      <c r="Q38" s="326"/>
      <c r="R38" s="325"/>
      <c r="U38" s="203"/>
    </row>
    <row r="39" s="193" customFormat="1" ht="13" spans="2:21">
      <c r="B39" s="265" t="s">
        <v>107</v>
      </c>
      <c r="C39" s="212"/>
      <c r="D39" s="215"/>
      <c r="E39" s="156"/>
      <c r="F39" s="141"/>
      <c r="G39" s="141"/>
      <c r="H39" s="141"/>
      <c r="I39" s="283"/>
      <c r="J39" s="284"/>
      <c r="K39" s="284"/>
      <c r="L39" s="207"/>
      <c r="M39" s="201"/>
      <c r="N39" s="201"/>
      <c r="O39" s="201"/>
      <c r="P39" s="285"/>
      <c r="Q39" s="326"/>
      <c r="R39" s="325"/>
      <c r="U39" s="203"/>
    </row>
    <row r="40" ht="13" spans="2:21">
      <c r="B40" s="268" t="str">
        <f>B107</f>
        <v>SGASH2RC01</v>
      </c>
      <c r="C40" s="268" t="str">
        <f>C107</f>
        <v>H2 Production-Methane Steam Reforming</v>
      </c>
      <c r="D40" s="269" t="s">
        <v>109</v>
      </c>
      <c r="E40" s="270"/>
      <c r="F40" s="198">
        <f>1/76.6*100</f>
        <v>1.30548302872063</v>
      </c>
      <c r="G40" s="198">
        <f t="shared" ref="G40:H40" si="2">1/76.6*100</f>
        <v>1.30548302872063</v>
      </c>
      <c r="H40" s="198">
        <f t="shared" si="2"/>
        <v>1.30548302872063</v>
      </c>
      <c r="I40" s="311"/>
      <c r="J40" s="269"/>
      <c r="K40" s="269"/>
      <c r="L40" s="312">
        <v>0.95</v>
      </c>
      <c r="M40" s="313">
        <f>(371+778)/2*1.35</f>
        <v>775.575</v>
      </c>
      <c r="N40" s="201">
        <f>M40*0.95</f>
        <v>736.79625</v>
      </c>
      <c r="O40" s="201">
        <f>M40*0.9</f>
        <v>698.0175</v>
      </c>
      <c r="P40" s="314">
        <v>40</v>
      </c>
      <c r="Q40" s="324">
        <v>2021</v>
      </c>
      <c r="R40" s="334">
        <v>31.536</v>
      </c>
      <c r="U40"/>
    </row>
    <row r="41" ht="13" spans="2:21">
      <c r="B41" s="268"/>
      <c r="C41" s="268"/>
      <c r="D41" s="269" t="s">
        <v>38</v>
      </c>
      <c r="E41" s="270"/>
      <c r="F41" s="271">
        <v>0</v>
      </c>
      <c r="G41" s="271">
        <v>0</v>
      </c>
      <c r="H41" s="271">
        <v>0</v>
      </c>
      <c r="I41" s="311"/>
      <c r="J41" s="269"/>
      <c r="K41" s="269"/>
      <c r="L41" s="312"/>
      <c r="M41" s="313"/>
      <c r="N41" s="313"/>
      <c r="O41" s="313"/>
      <c r="P41" s="314"/>
      <c r="Q41" s="326"/>
      <c r="R41" s="334"/>
      <c r="U41"/>
    </row>
    <row r="42" ht="13" spans="2:21">
      <c r="B42" s="268"/>
      <c r="C42" s="268"/>
      <c r="D42" s="269"/>
      <c r="E42" s="246" t="s">
        <v>83</v>
      </c>
      <c r="F42" s="272"/>
      <c r="G42" s="272"/>
      <c r="H42" s="272"/>
      <c r="I42" s="315">
        <f>'INPUT-Data(EUTIMES-HP)'!R12</f>
        <v>1</v>
      </c>
      <c r="J42" s="284">
        <f>I42</f>
        <v>1</v>
      </c>
      <c r="K42" s="284">
        <f>J42</f>
        <v>1</v>
      </c>
      <c r="L42" s="312"/>
      <c r="M42" s="313"/>
      <c r="N42" s="313"/>
      <c r="O42" s="313"/>
      <c r="P42" s="314"/>
      <c r="Q42" s="326"/>
      <c r="R42" s="334"/>
      <c r="U42"/>
    </row>
    <row r="43" ht="13" spans="2:21">
      <c r="B43" s="215"/>
      <c r="C43" s="215"/>
      <c r="D43" s="215"/>
      <c r="E43" s="156" t="s">
        <v>106</v>
      </c>
      <c r="F43" s="198"/>
      <c r="G43" s="198"/>
      <c r="H43" s="198"/>
      <c r="I43" s="283">
        <f>ReferEMI!W2</f>
        <v>75.0756756756757</v>
      </c>
      <c r="J43" s="284">
        <f>ReferEMI!W3</f>
        <v>75.0756756756757</v>
      </c>
      <c r="K43" s="284">
        <f>ReferEMI!W4</f>
        <v>75.0756756756757</v>
      </c>
      <c r="L43" s="297"/>
      <c r="M43" s="301"/>
      <c r="N43" s="301"/>
      <c r="O43" s="301"/>
      <c r="P43" s="298"/>
      <c r="Q43" s="324"/>
      <c r="R43" s="332"/>
      <c r="U43"/>
    </row>
    <row r="44" ht="13" spans="2:21">
      <c r="B44" s="156" t="s">
        <v>107</v>
      </c>
      <c r="C44" s="212"/>
      <c r="D44" s="215"/>
      <c r="E44" s="214"/>
      <c r="F44" s="198"/>
      <c r="G44" s="198"/>
      <c r="H44" s="198"/>
      <c r="I44" s="283"/>
      <c r="J44" s="284"/>
      <c r="K44" s="284"/>
      <c r="L44" s="207"/>
      <c r="M44" s="201"/>
      <c r="N44" s="201"/>
      <c r="O44" s="201"/>
      <c r="P44" s="285"/>
      <c r="Q44" s="326"/>
      <c r="R44" s="325"/>
      <c r="U44"/>
    </row>
    <row r="45" ht="13" spans="2:21">
      <c r="B45" s="156" t="s">
        <v>107</v>
      </c>
      <c r="C45" s="212"/>
      <c r="D45" s="215"/>
      <c r="E45" s="156"/>
      <c r="F45" s="226"/>
      <c r="G45" s="226"/>
      <c r="H45" s="226"/>
      <c r="I45" s="283"/>
      <c r="J45" s="284"/>
      <c r="K45" s="284"/>
      <c r="L45" s="207"/>
      <c r="M45" s="201"/>
      <c r="N45" s="201"/>
      <c r="O45" s="201"/>
      <c r="P45" s="285"/>
      <c r="Q45" s="326"/>
      <c r="R45" s="325"/>
      <c r="U45"/>
    </row>
    <row r="46" s="235" customFormat="1" ht="13" spans="2:21">
      <c r="B46" s="273" t="s">
        <v>107</v>
      </c>
      <c r="C46" s="273" t="str">
        <f>C109</f>
        <v>H2 Production-Methane Steam Reforming + Carbon Capture</v>
      </c>
      <c r="D46" s="274" t="s">
        <v>109</v>
      </c>
      <c r="E46" s="274"/>
      <c r="F46" s="250">
        <f>1/77.3*100</f>
        <v>1.29366106080207</v>
      </c>
      <c r="G46" s="250">
        <f t="shared" ref="G46:H46" si="3">1/77.3*100</f>
        <v>1.29366106080207</v>
      </c>
      <c r="H46" s="250">
        <f t="shared" si="3"/>
        <v>1.29366106080207</v>
      </c>
      <c r="I46" s="316"/>
      <c r="J46" s="274"/>
      <c r="K46" s="274"/>
      <c r="L46" s="317">
        <v>0.95</v>
      </c>
      <c r="M46" s="318">
        <f>(696+814)/2*1.35</f>
        <v>1019.25</v>
      </c>
      <c r="N46" s="295">
        <f>M46*0.95</f>
        <v>968.2875</v>
      </c>
      <c r="O46" s="295">
        <f>M46*0.9</f>
        <v>917.325</v>
      </c>
      <c r="P46" s="319">
        <v>40</v>
      </c>
      <c r="Q46" s="296">
        <v>2021</v>
      </c>
      <c r="R46" s="335">
        <v>31.536</v>
      </c>
      <c r="U46" s="329"/>
    </row>
    <row r="47" s="235" customFormat="1" ht="13" spans="2:21">
      <c r="B47" s="273" t="s">
        <v>107</v>
      </c>
      <c r="C47" s="273"/>
      <c r="D47" s="274" t="s">
        <v>38</v>
      </c>
      <c r="E47" s="274"/>
      <c r="F47" s="275">
        <f>I49*1000*0.18/(2.77778*10^8)</f>
        <v>0</v>
      </c>
      <c r="G47" s="275">
        <f>F47</f>
        <v>0</v>
      </c>
      <c r="H47" s="275">
        <f>G47</f>
        <v>0</v>
      </c>
      <c r="I47" s="316"/>
      <c r="J47" s="274"/>
      <c r="K47" s="274"/>
      <c r="L47" s="317"/>
      <c r="M47" s="318"/>
      <c r="N47" s="318"/>
      <c r="O47" s="318"/>
      <c r="P47" s="319"/>
      <c r="Q47" s="330"/>
      <c r="R47" s="335"/>
      <c r="U47" s="329"/>
    </row>
    <row r="48" s="235" customFormat="1" ht="13" spans="2:21">
      <c r="B48" s="273" t="s">
        <v>107</v>
      </c>
      <c r="C48" s="273"/>
      <c r="D48" s="274"/>
      <c r="E48" s="251" t="s">
        <v>83</v>
      </c>
      <c r="F48" s="276"/>
      <c r="G48" s="276"/>
      <c r="H48" s="276"/>
      <c r="I48" s="320">
        <f>'INPUT-Data(EUTIMES-HP)'!R14</f>
        <v>1</v>
      </c>
      <c r="J48" s="321">
        <f>I48</f>
        <v>1</v>
      </c>
      <c r="K48" s="321">
        <f>J48</f>
        <v>1</v>
      </c>
      <c r="L48" s="317"/>
      <c r="M48" s="318"/>
      <c r="N48" s="318"/>
      <c r="O48" s="318"/>
      <c r="P48" s="319"/>
      <c r="Q48" s="330"/>
      <c r="R48" s="335"/>
      <c r="U48" s="329"/>
    </row>
    <row r="49" ht="13" spans="2:21">
      <c r="B49" s="215" t="s">
        <v>107</v>
      </c>
      <c r="C49" s="215"/>
      <c r="D49" s="215"/>
      <c r="E49" s="156"/>
      <c r="F49" s="198"/>
      <c r="G49" s="198"/>
      <c r="H49" s="198"/>
      <c r="I49" s="283"/>
      <c r="J49" s="284"/>
      <c r="K49" s="284"/>
      <c r="L49" s="297"/>
      <c r="M49" s="301"/>
      <c r="N49" s="301"/>
      <c r="O49" s="301"/>
      <c r="P49" s="298"/>
      <c r="Q49" s="324"/>
      <c r="R49" s="332"/>
      <c r="U49"/>
    </row>
    <row r="50" ht="13" spans="2:21">
      <c r="B50" s="156" t="s">
        <v>107</v>
      </c>
      <c r="C50" s="212"/>
      <c r="D50" s="215"/>
      <c r="E50" s="214"/>
      <c r="F50" s="198"/>
      <c r="G50" s="198"/>
      <c r="H50" s="198"/>
      <c r="I50" s="283"/>
      <c r="J50" s="284"/>
      <c r="K50" s="284"/>
      <c r="L50" s="207"/>
      <c r="M50" s="201"/>
      <c r="N50" s="322"/>
      <c r="O50" s="322"/>
      <c r="P50" s="285"/>
      <c r="Q50" s="326"/>
      <c r="R50" s="325"/>
      <c r="U50"/>
    </row>
    <row r="51" ht="13" spans="2:21">
      <c r="B51" s="156" t="s">
        <v>107</v>
      </c>
      <c r="C51" s="212"/>
      <c r="D51" s="215"/>
      <c r="E51" s="156"/>
      <c r="F51" s="226"/>
      <c r="G51" s="226"/>
      <c r="H51" s="226"/>
      <c r="I51" s="283"/>
      <c r="J51" s="284"/>
      <c r="K51" s="284"/>
      <c r="L51" s="207"/>
      <c r="M51" s="201"/>
      <c r="N51" s="201"/>
      <c r="O51" s="201"/>
      <c r="P51" s="285"/>
      <c r="Q51" s="326"/>
      <c r="R51" s="325"/>
      <c r="U51"/>
    </row>
    <row r="52" ht="13" spans="2:21">
      <c r="B52" s="277" t="s">
        <v>107</v>
      </c>
      <c r="C52" s="212"/>
      <c r="D52" s="269"/>
      <c r="E52" s="270"/>
      <c r="F52" s="271"/>
      <c r="G52" s="271"/>
      <c r="H52" s="271"/>
      <c r="I52" s="311"/>
      <c r="J52" s="269"/>
      <c r="K52" s="269"/>
      <c r="L52" s="312"/>
      <c r="M52" s="313"/>
      <c r="N52" s="201"/>
      <c r="O52" s="201"/>
      <c r="P52" s="314"/>
      <c r="Q52" s="324"/>
      <c r="R52" s="334"/>
      <c r="U52"/>
    </row>
    <row r="53" ht="13" spans="2:21">
      <c r="B53" s="277" t="s">
        <v>107</v>
      </c>
      <c r="C53" s="212"/>
      <c r="D53" s="269"/>
      <c r="E53" s="270"/>
      <c r="F53" s="271"/>
      <c r="G53" s="271"/>
      <c r="H53" s="271"/>
      <c r="I53" s="311"/>
      <c r="J53" s="269"/>
      <c r="K53" s="269"/>
      <c r="L53" s="312"/>
      <c r="M53" s="313"/>
      <c r="N53" s="313"/>
      <c r="O53" s="313"/>
      <c r="P53" s="314"/>
      <c r="Q53" s="326"/>
      <c r="R53" s="334"/>
      <c r="U53"/>
    </row>
    <row r="54" ht="13" spans="2:21">
      <c r="B54" s="277" t="s">
        <v>107</v>
      </c>
      <c r="C54" s="212"/>
      <c r="D54" s="269"/>
      <c r="E54" s="277"/>
      <c r="F54" s="272"/>
      <c r="G54" s="272"/>
      <c r="H54" s="272"/>
      <c r="I54" s="315"/>
      <c r="J54" s="323"/>
      <c r="K54" s="323"/>
      <c r="L54" s="312"/>
      <c r="M54" s="313"/>
      <c r="N54" s="313"/>
      <c r="O54" s="313"/>
      <c r="P54" s="314"/>
      <c r="Q54" s="326"/>
      <c r="R54" s="334"/>
      <c r="U54"/>
    </row>
    <row r="55" ht="13" spans="2:21">
      <c r="B55" s="277" t="s">
        <v>107</v>
      </c>
      <c r="C55" s="212"/>
      <c r="D55" s="215"/>
      <c r="E55" s="214"/>
      <c r="F55" s="198"/>
      <c r="G55" s="198"/>
      <c r="H55" s="198"/>
      <c r="I55" s="283"/>
      <c r="J55" s="284"/>
      <c r="K55" s="284"/>
      <c r="L55" s="207"/>
      <c r="M55" s="313"/>
      <c r="N55" s="201"/>
      <c r="O55" s="201"/>
      <c r="P55" s="285"/>
      <c r="Q55" s="324"/>
      <c r="R55" s="325"/>
      <c r="U55"/>
    </row>
    <row r="56" ht="13" spans="2:21">
      <c r="B56" s="277" t="s">
        <v>107</v>
      </c>
      <c r="C56" s="212"/>
      <c r="D56" s="278"/>
      <c r="E56" s="214"/>
      <c r="F56" s="198"/>
      <c r="G56" s="198"/>
      <c r="H56" s="198"/>
      <c r="I56" s="283"/>
      <c r="J56" s="284"/>
      <c r="K56" s="284"/>
      <c r="L56" s="207"/>
      <c r="M56" s="201"/>
      <c r="N56" s="201"/>
      <c r="O56" s="201"/>
      <c r="P56" s="285"/>
      <c r="Q56" s="326"/>
      <c r="R56" s="325"/>
      <c r="U56"/>
    </row>
    <row r="57" ht="13" spans="2:21">
      <c r="B57" s="277" t="s">
        <v>107</v>
      </c>
      <c r="C57" s="212"/>
      <c r="D57" s="215"/>
      <c r="E57" s="156"/>
      <c r="F57" s="226"/>
      <c r="G57" s="226"/>
      <c r="H57" s="226"/>
      <c r="I57" s="283"/>
      <c r="J57" s="284"/>
      <c r="K57" s="284"/>
      <c r="L57" s="207"/>
      <c r="M57" s="201"/>
      <c r="N57" s="201"/>
      <c r="O57" s="201"/>
      <c r="P57" s="285"/>
      <c r="Q57" s="326"/>
      <c r="R57" s="325"/>
      <c r="U57"/>
    </row>
    <row r="58" ht="13" spans="2:21">
      <c r="B58" s="277" t="s">
        <v>107</v>
      </c>
      <c r="C58" s="212"/>
      <c r="D58" s="269"/>
      <c r="E58" s="270"/>
      <c r="F58" s="271"/>
      <c r="G58" s="271"/>
      <c r="H58" s="271"/>
      <c r="I58" s="311"/>
      <c r="J58" s="269"/>
      <c r="K58" s="269"/>
      <c r="L58" s="312"/>
      <c r="M58" s="313"/>
      <c r="N58" s="201"/>
      <c r="O58" s="201"/>
      <c r="P58" s="314"/>
      <c r="Q58" s="324"/>
      <c r="R58" s="334"/>
      <c r="U58"/>
    </row>
    <row r="59" ht="13" spans="2:21">
      <c r="B59" s="277" t="s">
        <v>107</v>
      </c>
      <c r="C59" s="212"/>
      <c r="D59" s="278"/>
      <c r="E59" s="270"/>
      <c r="F59" s="271"/>
      <c r="G59" s="271"/>
      <c r="H59" s="271"/>
      <c r="I59" s="311"/>
      <c r="J59" s="269"/>
      <c r="K59" s="269"/>
      <c r="L59" s="312"/>
      <c r="M59" s="313"/>
      <c r="N59" s="313"/>
      <c r="O59" s="313"/>
      <c r="P59" s="314"/>
      <c r="Q59" s="326"/>
      <c r="R59" s="334"/>
      <c r="U59"/>
    </row>
    <row r="60" ht="13" spans="2:21">
      <c r="B60" s="277" t="s">
        <v>107</v>
      </c>
      <c r="C60" s="212"/>
      <c r="D60" s="269"/>
      <c r="E60" s="277"/>
      <c r="F60" s="272"/>
      <c r="G60" s="272"/>
      <c r="H60" s="272"/>
      <c r="I60" s="315"/>
      <c r="J60" s="323"/>
      <c r="K60" s="323"/>
      <c r="L60" s="312"/>
      <c r="M60" s="313"/>
      <c r="N60" s="313"/>
      <c r="O60" s="313"/>
      <c r="P60" s="314"/>
      <c r="Q60" s="326"/>
      <c r="R60" s="334"/>
      <c r="U60"/>
    </row>
    <row r="61" ht="13" spans="2:21">
      <c r="B61" s="156" t="s">
        <v>107</v>
      </c>
      <c r="C61" s="212"/>
      <c r="D61" s="215"/>
      <c r="E61" s="214"/>
      <c r="F61" s="247"/>
      <c r="G61" s="198"/>
      <c r="H61" s="198"/>
      <c r="I61" s="283"/>
      <c r="J61" s="284"/>
      <c r="K61" s="284"/>
      <c r="L61" s="207"/>
      <c r="M61" s="201"/>
      <c r="N61" s="201"/>
      <c r="O61" s="201"/>
      <c r="P61" s="285"/>
      <c r="Q61" s="324"/>
      <c r="R61" s="325"/>
      <c r="U61"/>
    </row>
    <row r="62" ht="13" spans="2:21">
      <c r="B62" s="156" t="s">
        <v>107</v>
      </c>
      <c r="C62" s="212"/>
      <c r="D62" s="279"/>
      <c r="E62" s="214"/>
      <c r="F62" s="198"/>
      <c r="G62" s="198"/>
      <c r="H62" s="198"/>
      <c r="I62" s="283"/>
      <c r="J62" s="284"/>
      <c r="K62" s="284"/>
      <c r="L62" s="207"/>
      <c r="M62" s="201"/>
      <c r="N62" s="201"/>
      <c r="O62" s="201"/>
      <c r="P62" s="285"/>
      <c r="Q62" s="326"/>
      <c r="R62" s="325"/>
      <c r="U62"/>
    </row>
    <row r="63" ht="13" spans="2:21">
      <c r="B63" s="156" t="s">
        <v>107</v>
      </c>
      <c r="C63" s="212"/>
      <c r="D63" s="215"/>
      <c r="E63" s="156"/>
      <c r="F63" s="226"/>
      <c r="G63" s="226"/>
      <c r="H63" s="226"/>
      <c r="I63" s="283"/>
      <c r="J63" s="284"/>
      <c r="K63" s="284"/>
      <c r="L63" s="207"/>
      <c r="M63" s="201"/>
      <c r="N63" s="201"/>
      <c r="O63" s="201"/>
      <c r="P63" s="285"/>
      <c r="Q63" s="326"/>
      <c r="R63" s="325"/>
      <c r="U63"/>
    </row>
    <row r="64" ht="13" spans="2:21">
      <c r="B64" s="156" t="s">
        <v>107</v>
      </c>
      <c r="C64" s="212"/>
      <c r="D64" s="269"/>
      <c r="E64" s="270"/>
      <c r="F64" s="271"/>
      <c r="G64" s="271"/>
      <c r="H64" s="271"/>
      <c r="I64" s="311"/>
      <c r="J64" s="269"/>
      <c r="K64" s="269"/>
      <c r="L64" s="312"/>
      <c r="M64" s="313"/>
      <c r="N64" s="313"/>
      <c r="O64" s="313"/>
      <c r="P64" s="314"/>
      <c r="Q64" s="324"/>
      <c r="R64" s="334"/>
      <c r="U64"/>
    </row>
    <row r="65" ht="13" spans="2:21">
      <c r="B65" s="156" t="s">
        <v>107</v>
      </c>
      <c r="C65" s="212"/>
      <c r="D65" s="269"/>
      <c r="E65" s="270"/>
      <c r="F65" s="271"/>
      <c r="G65" s="271"/>
      <c r="H65" s="271"/>
      <c r="I65" s="311"/>
      <c r="J65" s="269"/>
      <c r="K65" s="269"/>
      <c r="L65" s="312"/>
      <c r="M65" s="313"/>
      <c r="N65" s="313"/>
      <c r="O65" s="313"/>
      <c r="P65" s="314"/>
      <c r="Q65" s="326"/>
      <c r="R65" s="334"/>
      <c r="U65"/>
    </row>
    <row r="66" ht="13" spans="2:21">
      <c r="B66" s="156" t="s">
        <v>107</v>
      </c>
      <c r="C66" s="212"/>
      <c r="D66" s="269"/>
      <c r="E66" s="277"/>
      <c r="F66" s="272"/>
      <c r="G66" s="272"/>
      <c r="H66" s="272"/>
      <c r="I66" s="315"/>
      <c r="J66" s="323"/>
      <c r="K66" s="323"/>
      <c r="L66" s="312"/>
      <c r="M66" s="313"/>
      <c r="N66" s="313"/>
      <c r="O66" s="313"/>
      <c r="P66" s="314"/>
      <c r="Q66" s="326"/>
      <c r="R66" s="334"/>
      <c r="U66"/>
    </row>
    <row r="67" ht="13" spans="2:21">
      <c r="B67" s="156" t="s">
        <v>107</v>
      </c>
      <c r="C67" s="212"/>
      <c r="D67" s="215"/>
      <c r="E67" s="193"/>
      <c r="F67" s="198"/>
      <c r="G67" s="198"/>
      <c r="H67" s="198"/>
      <c r="I67" s="365"/>
      <c r="J67" s="215"/>
      <c r="K67" s="215"/>
      <c r="L67" s="207"/>
      <c r="M67" s="201"/>
      <c r="N67" s="201"/>
      <c r="O67" s="201"/>
      <c r="P67" s="285"/>
      <c r="Q67" s="324"/>
      <c r="R67" s="325"/>
      <c r="U67"/>
    </row>
    <row r="68" ht="13" spans="2:21">
      <c r="B68" s="156" t="s">
        <v>107</v>
      </c>
      <c r="C68" s="212"/>
      <c r="D68" s="215"/>
      <c r="E68" s="215"/>
      <c r="F68" s="198"/>
      <c r="G68" s="198"/>
      <c r="H68" s="198"/>
      <c r="I68" s="365"/>
      <c r="J68" s="215"/>
      <c r="K68" s="215"/>
      <c r="L68" s="207"/>
      <c r="M68" s="201"/>
      <c r="N68" s="201"/>
      <c r="O68" s="201"/>
      <c r="P68" s="366"/>
      <c r="Q68" s="326"/>
      <c r="R68" s="325"/>
      <c r="U68"/>
    </row>
    <row r="69" ht="13" spans="2:21">
      <c r="B69" s="156" t="s">
        <v>107</v>
      </c>
      <c r="C69" s="266"/>
      <c r="D69" s="267"/>
      <c r="E69" s="265"/>
      <c r="F69" s="141"/>
      <c r="G69" s="141"/>
      <c r="H69" s="141"/>
      <c r="I69" s="283"/>
      <c r="J69" s="309"/>
      <c r="K69" s="309"/>
      <c r="L69" s="310"/>
      <c r="M69" s="201"/>
      <c r="N69" s="201"/>
      <c r="O69" s="201"/>
      <c r="P69" s="367"/>
      <c r="Q69" s="326"/>
      <c r="R69" s="325"/>
      <c r="U69"/>
    </row>
    <row r="70" ht="14.5" spans="2:21">
      <c r="B70" s="336" t="s">
        <v>107</v>
      </c>
      <c r="C70" s="336"/>
      <c r="D70" s="337"/>
      <c r="E70" s="338"/>
      <c r="F70" s="339"/>
      <c r="G70" s="339"/>
      <c r="H70" s="339"/>
      <c r="I70" s="368"/>
      <c r="J70" s="339"/>
      <c r="K70" s="339"/>
      <c r="L70" s="369"/>
      <c r="M70" s="370"/>
      <c r="N70" s="370"/>
      <c r="O70" s="370"/>
      <c r="P70" s="371"/>
      <c r="Q70" s="387"/>
      <c r="R70" s="388"/>
      <c r="U70"/>
    </row>
    <row r="71" ht="14.5" spans="2:21">
      <c r="B71" s="337" t="s">
        <v>107</v>
      </c>
      <c r="C71" s="337"/>
      <c r="D71" s="337"/>
      <c r="E71" s="336"/>
      <c r="F71" s="339"/>
      <c r="G71" s="339"/>
      <c r="H71" s="339"/>
      <c r="I71" s="368"/>
      <c r="J71" s="339"/>
      <c r="K71" s="339"/>
      <c r="L71" s="369"/>
      <c r="M71" s="370"/>
      <c r="N71" s="370"/>
      <c r="O71" s="370"/>
      <c r="P71" s="371"/>
      <c r="Q71" s="387"/>
      <c r="R71" s="388"/>
      <c r="U71"/>
    </row>
    <row r="72" ht="13" spans="2:21">
      <c r="B72" s="340" t="str">
        <f>B117</f>
        <v>SELCH2EC01</v>
      </c>
      <c r="C72" s="340" t="s">
        <v>110</v>
      </c>
      <c r="D72" s="341" t="s">
        <v>38</v>
      </c>
      <c r="E72" s="342"/>
      <c r="F72" s="284">
        <f>1/67*100</f>
        <v>1.49253731343284</v>
      </c>
      <c r="G72" s="284">
        <f>1/68*100</f>
        <v>1.47058823529412</v>
      </c>
      <c r="H72" s="284">
        <f>1/75*100</f>
        <v>1.33333333333333</v>
      </c>
      <c r="I72" s="368"/>
      <c r="J72" s="339"/>
      <c r="K72" s="339"/>
      <c r="L72" s="369">
        <v>0.95</v>
      </c>
      <c r="M72" s="370">
        <f>1.35*562</f>
        <v>758.7</v>
      </c>
      <c r="N72" s="201">
        <f>M72*0.95</f>
        <v>720.765</v>
      </c>
      <c r="O72" s="201">
        <f>M72*0.9</f>
        <v>682.83</v>
      </c>
      <c r="P72" s="372">
        <v>40</v>
      </c>
      <c r="Q72" s="387">
        <v>2021</v>
      </c>
      <c r="R72" s="388">
        <v>31.536</v>
      </c>
      <c r="U72"/>
    </row>
    <row r="73" ht="13" spans="2:21">
      <c r="B73" s="340"/>
      <c r="C73" s="340"/>
      <c r="D73" s="341"/>
      <c r="E73" s="246" t="s">
        <v>83</v>
      </c>
      <c r="F73" s="339"/>
      <c r="G73" s="339"/>
      <c r="H73" s="339"/>
      <c r="I73" s="368">
        <f>'INPUT-Data(EUTIMES-HP)'!R22</f>
        <v>1</v>
      </c>
      <c r="J73" s="339">
        <f>I73</f>
        <v>1</v>
      </c>
      <c r="K73" s="339">
        <f>J73</f>
        <v>1</v>
      </c>
      <c r="L73" s="369"/>
      <c r="M73" s="370"/>
      <c r="N73" s="313"/>
      <c r="O73" s="313"/>
      <c r="P73" s="373"/>
      <c r="Q73" s="387"/>
      <c r="R73" s="388"/>
      <c r="U73"/>
    </row>
    <row r="74" ht="13" spans="2:21">
      <c r="B74" s="215"/>
      <c r="C74" s="215"/>
      <c r="D74" s="215"/>
      <c r="E74" s="156"/>
      <c r="F74" s="284"/>
      <c r="G74" s="284"/>
      <c r="H74" s="284"/>
      <c r="I74" s="374"/>
      <c r="J74" s="284"/>
      <c r="K74" s="284"/>
      <c r="L74" s="297"/>
      <c r="M74" s="375"/>
      <c r="N74" s="375"/>
      <c r="O74" s="375"/>
      <c r="P74" s="376"/>
      <c r="Q74" s="389"/>
      <c r="R74" s="390"/>
      <c r="U74"/>
    </row>
    <row r="75" ht="13" spans="2:21">
      <c r="B75" s="343"/>
      <c r="C75" s="343"/>
      <c r="D75" s="258"/>
      <c r="E75" s="343"/>
      <c r="F75" s="344"/>
      <c r="G75" s="344"/>
      <c r="H75" s="344"/>
      <c r="I75" s="258"/>
      <c r="J75" s="258"/>
      <c r="K75" s="258"/>
      <c r="L75" s="377"/>
      <c r="M75" s="378"/>
      <c r="N75" s="378"/>
      <c r="O75" s="378"/>
      <c r="P75" s="379"/>
      <c r="Q75" s="379"/>
      <c r="R75" s="391"/>
      <c r="S75" s="258"/>
      <c r="T75" s="258"/>
      <c r="U75" s="392"/>
    </row>
    <row r="76" ht="13" spans="2:21">
      <c r="B76" s="343"/>
      <c r="C76" s="343"/>
      <c r="D76" s="258"/>
      <c r="E76" s="343"/>
      <c r="F76" s="344"/>
      <c r="G76" s="344"/>
      <c r="H76" s="344"/>
      <c r="I76" s="344"/>
      <c r="J76" s="344"/>
      <c r="K76" s="344"/>
      <c r="L76" s="377"/>
      <c r="M76" s="378"/>
      <c r="N76" s="378"/>
      <c r="O76" s="378"/>
      <c r="P76" s="379"/>
      <c r="Q76" s="379"/>
      <c r="R76" s="391"/>
      <c r="S76" s="258"/>
      <c r="T76" s="258"/>
      <c r="U76" s="392"/>
    </row>
    <row r="77" ht="13" spans="2:21">
      <c r="B77" s="258"/>
      <c r="C77" s="258"/>
      <c r="D77" s="258"/>
      <c r="E77" s="343"/>
      <c r="F77" s="344"/>
      <c r="G77" s="344"/>
      <c r="H77" s="344"/>
      <c r="I77" s="344"/>
      <c r="J77" s="344"/>
      <c r="K77" s="344"/>
      <c r="L77" s="377"/>
      <c r="M77" s="378"/>
      <c r="N77" s="378"/>
      <c r="O77" s="378"/>
      <c r="P77" s="379"/>
      <c r="Q77" s="379"/>
      <c r="R77" s="391"/>
      <c r="S77" s="258"/>
      <c r="T77" s="258"/>
      <c r="U77" s="392"/>
    </row>
    <row r="78" ht="13" spans="2:21">
      <c r="B78" s="343"/>
      <c r="C78" s="343"/>
      <c r="D78" s="345"/>
      <c r="E78" s="343"/>
      <c r="F78" s="344"/>
      <c r="G78" s="344"/>
      <c r="H78" s="344"/>
      <c r="I78" s="344"/>
      <c r="J78" s="344"/>
      <c r="K78" s="344"/>
      <c r="L78" s="377"/>
      <c r="M78" s="378"/>
      <c r="N78" s="378"/>
      <c r="O78" s="378"/>
      <c r="P78" s="379"/>
      <c r="Q78" s="379"/>
      <c r="R78" s="391"/>
      <c r="S78" s="258"/>
      <c r="T78" s="258"/>
      <c r="U78" s="392"/>
    </row>
    <row r="79" ht="13" spans="2:21">
      <c r="B79" s="343"/>
      <c r="C79" s="343"/>
      <c r="D79" s="258"/>
      <c r="E79" s="343"/>
      <c r="F79" s="344"/>
      <c r="G79" s="344"/>
      <c r="H79" s="344"/>
      <c r="I79" s="344"/>
      <c r="J79" s="344"/>
      <c r="K79" s="344"/>
      <c r="L79" s="377"/>
      <c r="M79" s="378"/>
      <c r="N79" s="378"/>
      <c r="O79" s="378"/>
      <c r="P79" s="380"/>
      <c r="Q79" s="379"/>
      <c r="R79" s="391"/>
      <c r="S79" s="258"/>
      <c r="T79" s="258"/>
      <c r="U79" s="392"/>
    </row>
    <row r="80" ht="13" spans="2:21">
      <c r="B80" s="258"/>
      <c r="C80" s="258"/>
      <c r="D80" s="258"/>
      <c r="E80" s="343"/>
      <c r="F80" s="344"/>
      <c r="G80" s="344"/>
      <c r="H80" s="344"/>
      <c r="I80" s="344"/>
      <c r="J80" s="344"/>
      <c r="K80" s="344"/>
      <c r="L80" s="377"/>
      <c r="M80" s="378"/>
      <c r="N80" s="378"/>
      <c r="O80" s="378"/>
      <c r="P80" s="379"/>
      <c r="Q80" s="379"/>
      <c r="R80" s="391"/>
      <c r="S80" s="258"/>
      <c r="T80" s="258"/>
      <c r="U80" s="392"/>
    </row>
    <row r="81" spans="2:21">
      <c r="B81" s="343"/>
      <c r="C81" s="343"/>
      <c r="D81" s="258"/>
      <c r="E81" s="343"/>
      <c r="F81" s="344"/>
      <c r="G81" s="344"/>
      <c r="H81" s="344"/>
      <c r="I81" s="344"/>
      <c r="J81" s="344"/>
      <c r="K81" s="344"/>
      <c r="L81" s="344"/>
      <c r="M81" s="377"/>
      <c r="N81" s="378"/>
      <c r="O81" s="378"/>
      <c r="P81" s="378"/>
      <c r="Q81" s="380"/>
      <c r="R81" s="380"/>
      <c r="S81" s="393"/>
      <c r="T81" s="258"/>
      <c r="U81" s="392"/>
    </row>
    <row r="82" spans="2:21">
      <c r="B82" s="343"/>
      <c r="C82" s="343"/>
      <c r="D82" s="258"/>
      <c r="E82" s="343"/>
      <c r="F82" s="344"/>
      <c r="G82" s="344"/>
      <c r="H82" s="344"/>
      <c r="I82" s="344"/>
      <c r="J82" s="344"/>
      <c r="K82" s="344"/>
      <c r="L82" s="344"/>
      <c r="M82" s="377"/>
      <c r="N82" s="378"/>
      <c r="O82" s="378"/>
      <c r="P82" s="378"/>
      <c r="Q82" s="378"/>
      <c r="R82" s="380"/>
      <c r="S82" s="393"/>
      <c r="T82" s="392"/>
      <c r="U82" s="258"/>
    </row>
    <row r="83" spans="1:2">
      <c r="A83" s="193"/>
      <c r="B83" s="194"/>
    </row>
    <row r="84" spans="1:13">
      <c r="A84" s="193"/>
      <c r="B84" s="194"/>
      <c r="C84" s="194"/>
      <c r="D84" s="194"/>
      <c r="E84" s="346"/>
      <c r="F84" s="346"/>
      <c r="G84" s="346"/>
      <c r="H84" s="346"/>
      <c r="I84" s="346"/>
      <c r="J84" s="346"/>
      <c r="K84" s="346"/>
      <c r="L84" s="381"/>
      <c r="M84" s="350"/>
    </row>
    <row r="85" s="236" customFormat="1" ht="13" spans="2:18">
      <c r="B85" s="347"/>
      <c r="C85" s="347"/>
      <c r="D85" s="348"/>
      <c r="E85" s="348"/>
      <c r="F85" s="348"/>
      <c r="G85" s="348"/>
      <c r="H85" s="348"/>
      <c r="I85" s="348"/>
      <c r="J85" s="348"/>
      <c r="K85" s="348"/>
      <c r="L85" s="347"/>
      <c r="M85" s="347"/>
      <c r="N85" s="348"/>
      <c r="O85" s="348"/>
      <c r="P85" s="348"/>
      <c r="R85" s="394"/>
    </row>
    <row r="86" s="215" customFormat="1" ht="13" spans="2:18">
      <c r="B86" s="349"/>
      <c r="C86" s="349"/>
      <c r="D86" s="349"/>
      <c r="E86" s="349"/>
      <c r="F86" s="349"/>
      <c r="G86" s="349"/>
      <c r="H86" s="349"/>
      <c r="I86" s="349"/>
      <c r="J86" s="349"/>
      <c r="K86" s="349"/>
      <c r="L86" s="349"/>
      <c r="M86" s="349"/>
      <c r="N86" s="349"/>
      <c r="O86" s="349"/>
      <c r="P86" s="349"/>
      <c r="Q86" s="349"/>
      <c r="R86" s="206"/>
    </row>
    <row r="87" s="215" customFormat="1" spans="2:18">
      <c r="B87" s="214"/>
      <c r="C87" s="214"/>
      <c r="D87" s="214"/>
      <c r="E87" s="346"/>
      <c r="F87" s="350"/>
      <c r="G87" s="350"/>
      <c r="H87" s="351"/>
      <c r="I87" s="382"/>
      <c r="J87" s="382"/>
      <c r="K87" s="382"/>
      <c r="L87" s="382"/>
      <c r="M87" s="351"/>
      <c r="O87" s="383"/>
      <c r="P87" s="350"/>
      <c r="Q87" s="206"/>
      <c r="R87" s="206"/>
    </row>
    <row r="88" s="215" customFormat="1" spans="2:18">
      <c r="B88" s="214"/>
      <c r="C88" s="214"/>
      <c r="D88" s="214"/>
      <c r="E88" s="352"/>
      <c r="F88" s="346"/>
      <c r="G88" s="346"/>
      <c r="H88" s="351"/>
      <c r="I88" s="351"/>
      <c r="J88" s="351"/>
      <c r="K88" s="351"/>
      <c r="L88" s="381"/>
      <c r="M88" s="351"/>
      <c r="N88" s="383"/>
      <c r="O88" s="383"/>
      <c r="P88" s="350"/>
      <c r="Q88" s="206"/>
      <c r="R88" s="395"/>
    </row>
    <row r="89" s="215" customFormat="1" spans="2:18">
      <c r="B89" s="214"/>
      <c r="C89" s="214"/>
      <c r="D89" s="214"/>
      <c r="E89" s="352"/>
      <c r="F89" s="346"/>
      <c r="G89" s="346"/>
      <c r="H89" s="351"/>
      <c r="I89" s="351"/>
      <c r="J89" s="351"/>
      <c r="K89" s="351"/>
      <c r="L89" s="381"/>
      <c r="M89" s="351"/>
      <c r="N89" s="383"/>
      <c r="O89" s="383"/>
      <c r="P89" s="350"/>
      <c r="Q89" s="206"/>
      <c r="R89" s="395"/>
    </row>
    <row r="90" s="215" customFormat="1" spans="2:18">
      <c r="B90" s="214"/>
      <c r="C90" s="214"/>
      <c r="D90" s="214"/>
      <c r="E90" s="214"/>
      <c r="F90" s="353"/>
      <c r="G90" s="214"/>
      <c r="H90" s="214"/>
      <c r="I90" s="214"/>
      <c r="J90" s="214"/>
      <c r="K90" s="214"/>
      <c r="L90" s="214"/>
      <c r="M90" s="214"/>
      <c r="N90" s="214"/>
      <c r="O90" s="214"/>
      <c r="P90" s="214"/>
      <c r="Q90" s="214"/>
      <c r="R90" s="206"/>
    </row>
    <row r="91" s="215" customFormat="1" spans="2:18">
      <c r="B91" s="214"/>
      <c r="C91" s="214"/>
      <c r="D91" s="214"/>
      <c r="E91" s="346"/>
      <c r="F91" s="350"/>
      <c r="G91" s="346"/>
      <c r="H91" s="351"/>
      <c r="I91" s="351"/>
      <c r="J91" s="351"/>
      <c r="K91" s="351"/>
      <c r="L91" s="381"/>
      <c r="M91" s="383"/>
      <c r="N91" s="206"/>
      <c r="O91" s="206"/>
      <c r="R91" s="206"/>
    </row>
    <row r="92" s="215" customFormat="1" ht="13" spans="2:18">
      <c r="B92" s="214"/>
      <c r="C92" s="214"/>
      <c r="D92" s="279"/>
      <c r="E92" s="346"/>
      <c r="F92" s="350"/>
      <c r="G92" s="346"/>
      <c r="H92" s="351"/>
      <c r="I92" s="351"/>
      <c r="J92" s="351"/>
      <c r="K92" s="351"/>
      <c r="L92" s="381"/>
      <c r="M92" s="383"/>
      <c r="N92" s="206"/>
      <c r="O92" s="206"/>
      <c r="R92" s="206"/>
    </row>
    <row r="93" s="215" customFormat="1" spans="2:18">
      <c r="B93" s="214"/>
      <c r="C93" s="214"/>
      <c r="D93" s="214"/>
      <c r="E93" s="346"/>
      <c r="F93" s="346"/>
      <c r="G93" s="346"/>
      <c r="H93" s="346"/>
      <c r="I93" s="346"/>
      <c r="J93" s="346"/>
      <c r="K93" s="346"/>
      <c r="L93" s="381"/>
      <c r="M93" s="350"/>
      <c r="N93" s="206"/>
      <c r="R93" s="206"/>
    </row>
    <row r="94" spans="1:13">
      <c r="A94" s="193"/>
      <c r="B94" s="194"/>
      <c r="C94" s="194"/>
      <c r="D94" s="194"/>
      <c r="E94" s="346"/>
      <c r="F94" s="346"/>
      <c r="G94" s="346"/>
      <c r="H94" s="350"/>
      <c r="I94" s="346"/>
      <c r="J94" s="346"/>
      <c r="K94" s="346"/>
      <c r="L94" s="381"/>
      <c r="M94" s="350"/>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5"/>
      <c r="J97" s="215"/>
      <c r="K97" s="215"/>
      <c r="L97" s="284"/>
    </row>
    <row r="98" spans="1:17">
      <c r="A98" s="180" t="s">
        <v>111</v>
      </c>
      <c r="B98" s="181" t="str">
        <f>'INPUT-Data(EUTIMES-HP)'!B3</f>
        <v>SCOAH2GC01</v>
      </c>
      <c r="C98" s="180" t="s">
        <v>112</v>
      </c>
      <c r="D98" s="155" t="s">
        <v>63</v>
      </c>
      <c r="E98" s="156" t="s">
        <v>64</v>
      </c>
      <c r="F98" s="155" t="s">
        <v>65</v>
      </c>
      <c r="G98" s="155"/>
      <c r="H98" s="155"/>
      <c r="M98"/>
      <c r="O98"/>
      <c r="P98"/>
      <c r="Q98"/>
    </row>
    <row r="99" ht="14.5" spans="1:17">
      <c r="A99" s="180"/>
      <c r="B99" s="181" t="s">
        <v>107</v>
      </c>
      <c r="C99" s="180"/>
      <c r="D99" s="155"/>
      <c r="E99" s="156"/>
      <c r="F99" s="155"/>
      <c r="G99" s="155"/>
      <c r="H99" s="155"/>
      <c r="M99" s="384"/>
      <c r="N99" s="384"/>
      <c r="O99" s="384"/>
      <c r="P99" s="384"/>
      <c r="Q99" s="384"/>
    </row>
    <row r="100" ht="14.5" spans="1:17">
      <c r="A100" s="180"/>
      <c r="B100" s="181" t="str">
        <f>'INPUT-Data(EUTIMES-HP)'!B5</f>
        <v>SCOAH2GCC01</v>
      </c>
      <c r="C100" s="180" t="s">
        <v>113</v>
      </c>
      <c r="D100" s="155" t="s">
        <v>63</v>
      </c>
      <c r="E100" s="156" t="s">
        <v>64</v>
      </c>
      <c r="F100" s="155" t="s">
        <v>65</v>
      </c>
      <c r="G100" s="155"/>
      <c r="H100" s="155"/>
      <c r="M100" s="384"/>
      <c r="N100" s="385"/>
      <c r="O100" s="385"/>
      <c r="P100" s="385"/>
      <c r="Q100" s="385"/>
    </row>
    <row r="101" spans="1:8">
      <c r="A101" s="180"/>
      <c r="B101" s="181" t="s">
        <v>107</v>
      </c>
      <c r="C101" s="180"/>
      <c r="D101" s="155"/>
      <c r="E101" s="156"/>
      <c r="F101" s="155"/>
      <c r="G101" s="155"/>
      <c r="H101" s="155"/>
    </row>
    <row r="102" spans="1:8">
      <c r="A102" s="180"/>
      <c r="B102" s="181" t="s">
        <v>107</v>
      </c>
      <c r="C102" s="180"/>
      <c r="D102" s="155"/>
      <c r="E102" s="156"/>
      <c r="F102" s="155"/>
      <c r="G102" s="155"/>
      <c r="H102" s="155"/>
    </row>
    <row r="103" spans="1:8">
      <c r="A103" s="180"/>
      <c r="B103" s="181" t="str">
        <f>'INPUT-Data(EUTIMES-HP)'!B8</f>
        <v>SBIOH2GC01</v>
      </c>
      <c r="C103" s="180" t="s">
        <v>114</v>
      </c>
      <c r="D103" s="155" t="s">
        <v>63</v>
      </c>
      <c r="E103" s="156" t="s">
        <v>64</v>
      </c>
      <c r="F103" s="155" t="s">
        <v>65</v>
      </c>
      <c r="G103" s="155"/>
      <c r="H103" s="155"/>
    </row>
    <row r="104" spans="1:8">
      <c r="A104" s="180"/>
      <c r="B104" s="181" t="str">
        <f>'INPUT-Data(EUTIMES-HP)'!B9</f>
        <v>SBIOH2GCC01</v>
      </c>
      <c r="C104" s="180" t="s">
        <v>115</v>
      </c>
      <c r="D104" s="155" t="s">
        <v>63</v>
      </c>
      <c r="E104" s="156" t="s">
        <v>64</v>
      </c>
      <c r="F104" s="155" t="s">
        <v>65</v>
      </c>
      <c r="G104" s="155"/>
      <c r="H104" s="155"/>
    </row>
    <row r="105" spans="1:2">
      <c r="A105" s="354"/>
      <c r="B105" s="109" t="s">
        <v>107</v>
      </c>
    </row>
    <row r="106" spans="1:8">
      <c r="A106" s="180"/>
      <c r="B106" s="181" t="s">
        <v>107</v>
      </c>
      <c r="C106" s="180"/>
      <c r="D106" s="155"/>
      <c r="E106" s="156"/>
      <c r="F106" s="155"/>
      <c r="G106" s="155"/>
      <c r="H106" s="155"/>
    </row>
    <row r="107" spans="1:8">
      <c r="A107" s="180"/>
      <c r="B107" s="181" t="str">
        <f>'INPUT-Data(EUTIMES-HP)'!B12</f>
        <v>SGASH2RC01</v>
      </c>
      <c r="C107" s="180" t="s">
        <v>116</v>
      </c>
      <c r="D107" s="155" t="s">
        <v>63</v>
      </c>
      <c r="E107" s="156" t="s">
        <v>64</v>
      </c>
      <c r="F107" s="155" t="s">
        <v>65</v>
      </c>
      <c r="G107" s="155"/>
      <c r="H107" s="155"/>
    </row>
    <row r="108" spans="1:8">
      <c r="A108" s="180"/>
      <c r="B108" s="181" t="s">
        <v>107</v>
      </c>
      <c r="C108" s="180"/>
      <c r="D108" s="155"/>
      <c r="E108" s="156"/>
      <c r="F108" s="155"/>
      <c r="G108" s="155"/>
      <c r="H108" s="155"/>
    </row>
    <row r="109" spans="1:8">
      <c r="A109" s="180"/>
      <c r="B109" s="181" t="str">
        <f>'INPUT-Data(EUTIMES-HP)'!B14</f>
        <v>SGASH2RCC01</v>
      </c>
      <c r="C109" s="180" t="s">
        <v>117</v>
      </c>
      <c r="D109" s="155" t="s">
        <v>63</v>
      </c>
      <c r="E109" s="156" t="s">
        <v>64</v>
      </c>
      <c r="F109" s="155" t="s">
        <v>65</v>
      </c>
      <c r="G109" s="155"/>
      <c r="H109" s="155"/>
    </row>
    <row r="110" spans="1:8">
      <c r="A110" s="180"/>
      <c r="B110" s="181" t="s">
        <v>107</v>
      </c>
      <c r="C110" s="180"/>
      <c r="D110" s="155"/>
      <c r="E110" s="156"/>
      <c r="F110" s="155"/>
      <c r="G110" s="155"/>
      <c r="H110" s="155"/>
    </row>
    <row r="111" spans="1:2">
      <c r="A111" s="180"/>
      <c r="B111" s="109" t="s">
        <v>107</v>
      </c>
    </row>
    <row r="112" spans="1:8">
      <c r="A112" s="180"/>
      <c r="B112" s="181" t="s">
        <v>107</v>
      </c>
      <c r="C112" s="180"/>
      <c r="D112" s="155"/>
      <c r="E112" s="156"/>
      <c r="F112" s="155"/>
      <c r="G112" s="155"/>
      <c r="H112" s="155"/>
    </row>
    <row r="113" spans="1:8">
      <c r="A113" s="180"/>
      <c r="B113" s="109" t="s">
        <v>107</v>
      </c>
      <c r="C113" s="180"/>
      <c r="D113" s="155"/>
      <c r="E113" s="156"/>
      <c r="F113" s="155"/>
      <c r="G113" s="155"/>
      <c r="H113" s="155"/>
    </row>
    <row r="114" spans="1:8">
      <c r="A114" s="180"/>
      <c r="B114" s="181" t="s">
        <v>107</v>
      </c>
      <c r="C114" s="180"/>
      <c r="D114" s="155"/>
      <c r="E114" s="156"/>
      <c r="F114" s="155"/>
      <c r="G114" s="155"/>
      <c r="H114" s="155"/>
    </row>
    <row r="115" spans="1:8">
      <c r="A115" s="180"/>
      <c r="B115" s="109" t="s">
        <v>107</v>
      </c>
      <c r="C115" s="180"/>
      <c r="D115" s="155"/>
      <c r="E115" s="156"/>
      <c r="F115" s="155"/>
      <c r="G115" s="155"/>
      <c r="H115" s="155"/>
    </row>
    <row r="116" spans="1:8">
      <c r="A116" s="354"/>
      <c r="B116" s="181" t="s">
        <v>107</v>
      </c>
      <c r="C116" s="354"/>
      <c r="D116" s="266"/>
      <c r="E116" s="265"/>
      <c r="F116" s="266"/>
      <c r="G116" s="266"/>
      <c r="H116" s="266"/>
    </row>
    <row r="117" spans="1:8">
      <c r="A117" s="180"/>
      <c r="B117" s="181" t="str">
        <f>'INPUT-Data(EUTIMES-HP)'!B22</f>
        <v>SELCH2EC01</v>
      </c>
      <c r="C117" s="180" t="s">
        <v>118</v>
      </c>
      <c r="D117" s="155" t="s">
        <v>63</v>
      </c>
      <c r="E117" s="156" t="s">
        <v>64</v>
      </c>
      <c r="F117" s="155" t="s">
        <v>65</v>
      </c>
      <c r="G117" s="155"/>
      <c r="H117" s="155"/>
    </row>
    <row r="118" spans="1:8">
      <c r="A118" s="180"/>
      <c r="B118" s="181" t="s">
        <v>107</v>
      </c>
      <c r="C118" s="180"/>
      <c r="D118" s="155"/>
      <c r="E118" s="156"/>
      <c r="F118" s="155"/>
      <c r="G118" s="155"/>
      <c r="H118" s="155"/>
    </row>
    <row r="119" ht="14.5" spans="1:17">
      <c r="A119" s="354"/>
      <c r="B119" s="181" t="s">
        <v>107</v>
      </c>
      <c r="C119" s="354"/>
      <c r="D119" s="266"/>
      <c r="E119" s="265"/>
      <c r="F119" s="266"/>
      <c r="G119" s="266"/>
      <c r="H119" s="266"/>
      <c r="I119" s="386"/>
      <c r="J119" s="386"/>
      <c r="K119" s="386"/>
      <c r="L119" s="386"/>
      <c r="M119" s="386"/>
      <c r="O119" s="386"/>
      <c r="P119" s="386"/>
      <c r="Q119" s="386"/>
    </row>
    <row r="120" ht="14.5" spans="1:17">
      <c r="A120" s="180"/>
      <c r="B120" s="181" t="s">
        <v>44</v>
      </c>
      <c r="C120" s="180" t="s">
        <v>119</v>
      </c>
      <c r="D120" s="155" t="s">
        <v>63</v>
      </c>
      <c r="E120" s="156" t="s">
        <v>64</v>
      </c>
      <c r="F120" s="155" t="s">
        <v>65</v>
      </c>
      <c r="G120" s="155"/>
      <c r="H120" s="155"/>
      <c r="I120" s="386"/>
      <c r="J120" s="386"/>
      <c r="K120" s="386"/>
      <c r="L120" s="386"/>
      <c r="M120" s="386"/>
      <c r="O120" s="386"/>
      <c r="P120" s="386"/>
      <c r="Q120" s="386"/>
    </row>
    <row r="122" s="193" customFormat="1" spans="1:18">
      <c r="A122" s="355"/>
      <c r="B122" s="355"/>
      <c r="C122" s="355"/>
      <c r="D122" s="356"/>
      <c r="E122" s="355"/>
      <c r="F122" s="356"/>
      <c r="G122" s="356"/>
      <c r="H122" s="356"/>
      <c r="N122" s="203"/>
      <c r="R122" s="203"/>
    </row>
    <row r="123" s="215" customFormat="1" spans="1:18">
      <c r="A123" s="355"/>
      <c r="B123" s="357" t="str">
        <f>'INPUT-Data(EUTIMES-HP)'!B10</f>
        <v>SGASH2KC01</v>
      </c>
      <c r="C123" s="358" t="str">
        <f>'INPUT-Data(EUTIMES-HP)'!C10</f>
        <v>H2 Production-Kvaerner Process, centralized</v>
      </c>
      <c r="D123" s="359" t="s">
        <v>63</v>
      </c>
      <c r="E123" s="357" t="s">
        <v>64</v>
      </c>
      <c r="F123" s="359" t="s">
        <v>65</v>
      </c>
      <c r="G123" s="359"/>
      <c r="H123" s="359"/>
      <c r="R123" s="203"/>
    </row>
    <row r="124" s="237" customFormat="1" spans="1:18">
      <c r="A124" s="360"/>
      <c r="B124" s="361" t="str">
        <f>'INPUT-Data(EUTIMES-HP)'!B16</f>
        <v>SGASSH2RC01</v>
      </c>
      <c r="C124" s="362" t="str">
        <f>'INPUT-Data(EUTIMES-HP)'!C16</f>
        <v>H2 Production-Solar Steam Reforming of Methane, centralized</v>
      </c>
      <c r="D124" s="363" t="s">
        <v>63</v>
      </c>
      <c r="E124" s="173" t="s">
        <v>64</v>
      </c>
      <c r="F124" s="363" t="s">
        <v>65</v>
      </c>
      <c r="G124" s="363"/>
      <c r="H124" s="363"/>
      <c r="R124" s="396"/>
    </row>
    <row r="125" s="237" customFormat="1" spans="1:18">
      <c r="A125" s="360"/>
      <c r="B125" s="360"/>
      <c r="C125" s="360"/>
      <c r="D125" s="360"/>
      <c r="E125" s="360"/>
      <c r="F125" s="360"/>
      <c r="G125" s="364"/>
      <c r="H125" s="360"/>
      <c r="R125" s="396"/>
    </row>
    <row r="126" spans="1:8">
      <c r="A126"/>
      <c r="B126"/>
      <c r="C126"/>
      <c r="D126"/>
      <c r="E126"/>
      <c r="F126"/>
      <c r="G126"/>
      <c r="H126"/>
    </row>
    <row r="127" spans="1:8">
      <c r="A127"/>
      <c r="B127"/>
      <c r="C127"/>
      <c r="D127"/>
      <c r="E127"/>
      <c r="F127"/>
      <c r="G127"/>
      <c r="H127"/>
    </row>
    <row r="128" spans="1:13">
      <c r="A128"/>
      <c r="B128"/>
      <c r="C128"/>
      <c r="D128"/>
      <c r="E128"/>
      <c r="F128"/>
      <c r="G128"/>
      <c r="H128"/>
      <c r="I128" s="194"/>
      <c r="J128" s="194"/>
      <c r="K128" s="194"/>
      <c r="L128" s="194"/>
      <c r="M128" s="194"/>
    </row>
    <row r="129" spans="1:13">
      <c r="A129"/>
      <c r="B129"/>
      <c r="C129"/>
      <c r="D129"/>
      <c r="E129"/>
      <c r="F129"/>
      <c r="G129"/>
      <c r="H129"/>
      <c r="I129" s="194"/>
      <c r="J129" s="194"/>
      <c r="K129" s="194"/>
      <c r="L129" s="194"/>
      <c r="M129" s="194"/>
    </row>
    <row r="130" s="234" customFormat="1" ht="14.5" spans="1:18">
      <c r="A130" s="397"/>
      <c r="F130" s="215"/>
      <c r="G130" s="398"/>
      <c r="H130" s="398"/>
      <c r="I130" s="399"/>
      <c r="J130" s="399"/>
      <c r="K130" s="399"/>
      <c r="L130" s="399"/>
      <c r="M130" s="399"/>
      <c r="R130"/>
    </row>
    <row r="131" ht="14.5" spans="1:13">
      <c r="A131" s="153"/>
      <c r="B131" s="156"/>
      <c r="C131" s="156"/>
      <c r="D131" s="398"/>
      <c r="E131" s="156"/>
      <c r="F131" s="156"/>
      <c r="G131" s="153"/>
      <c r="H131" s="153"/>
      <c r="I131" s="386"/>
      <c r="J131" s="386"/>
      <c r="K131" s="386"/>
      <c r="L131" s="386"/>
      <c r="M131" s="386"/>
    </row>
    <row r="132" s="193" customFormat="1" spans="1:18">
      <c r="A132" s="155"/>
      <c r="B132" s="155"/>
      <c r="C132" s="155"/>
      <c r="D132" s="156"/>
      <c r="E132" s="212"/>
      <c r="F132" s="155"/>
      <c r="G132" s="155"/>
      <c r="H132" s="155"/>
      <c r="N132" s="203"/>
      <c r="R132" s="203"/>
    </row>
    <row r="133" spans="1:8">
      <c r="A133" s="153"/>
      <c r="B133" s="153"/>
      <c r="C133" s="153"/>
      <c r="D133" s="153"/>
      <c r="E133" s="153"/>
      <c r="F133" s="155"/>
      <c r="G133" s="153"/>
      <c r="H133" s="153"/>
    </row>
    <row r="134" spans="6:6">
      <c r="F134" s="193"/>
    </row>
    <row r="135" spans="6:6">
      <c r="F135" s="193"/>
    </row>
    <row r="139" spans="15:17">
      <c r="O139" s="238"/>
      <c r="P139" s="238"/>
      <c r="Q139" s="238"/>
    </row>
    <row r="140" ht="13" spans="15:17">
      <c r="O140" s="239"/>
      <c r="P140" s="239"/>
      <c r="Q140" s="239"/>
    </row>
    <row r="141" spans="15:17">
      <c r="O141" s="240"/>
      <c r="P141" s="240"/>
      <c r="Q141" s="240"/>
    </row>
    <row r="142" spans="15:17">
      <c r="O142" s="240"/>
      <c r="P142" s="240"/>
      <c r="Q142" s="240"/>
    </row>
    <row r="143" spans="1:12">
      <c r="A143" s="194"/>
      <c r="B143" s="194"/>
      <c r="C143" s="194"/>
      <c r="D143" s="194"/>
      <c r="E143" s="194"/>
      <c r="F143" s="194"/>
      <c r="G143" s="194"/>
      <c r="H143" s="194"/>
      <c r="I143" s="194"/>
      <c r="J143" s="194"/>
      <c r="K143" s="194"/>
      <c r="L143" s="194"/>
    </row>
    <row r="144" spans="1:12">
      <c r="A144" s="194"/>
      <c r="B144" s="194"/>
      <c r="C144" s="194"/>
      <c r="D144" s="194"/>
      <c r="E144" s="194"/>
      <c r="F144" s="194"/>
      <c r="G144" s="194"/>
      <c r="H144" s="194"/>
      <c r="I144" s="194"/>
      <c r="J144" s="194"/>
      <c r="K144" s="194"/>
      <c r="L144" s="194"/>
    </row>
    <row r="145" spans="13:13">
      <c r="M145" s="238"/>
    </row>
    <row r="146" ht="13" spans="13:13">
      <c r="M146" s="239"/>
    </row>
    <row r="147" spans="13:13">
      <c r="M147" s="240"/>
    </row>
    <row r="148" spans="13:13">
      <c r="M148" s="240"/>
    </row>
    <row r="151" s="238" customFormat="1" spans="1:18">
      <c r="A151" s="109"/>
      <c r="B151" s="109"/>
      <c r="C151" s="109"/>
      <c r="D151" s="109"/>
      <c r="E151" s="109"/>
      <c r="F151" s="109"/>
      <c r="G151" s="109"/>
      <c r="H151" s="109"/>
      <c r="I151" s="109"/>
      <c r="J151" s="109"/>
      <c r="K151" s="109"/>
      <c r="L151" s="109"/>
      <c r="M151" s="109"/>
      <c r="O151" s="109"/>
      <c r="P151" s="109"/>
      <c r="Q151" s="109"/>
      <c r="R151"/>
    </row>
    <row r="152" s="239" customFormat="1" ht="15" customHeight="1" spans="1:18">
      <c r="A152" s="109"/>
      <c r="B152" s="109"/>
      <c r="C152" s="109"/>
      <c r="D152" s="109"/>
      <c r="E152" s="109"/>
      <c r="F152" s="109"/>
      <c r="G152" s="109"/>
      <c r="H152" s="109"/>
      <c r="I152" s="109"/>
      <c r="J152" s="109"/>
      <c r="K152" s="109"/>
      <c r="L152" s="109"/>
      <c r="M152" s="109"/>
      <c r="O152" s="109"/>
      <c r="P152" s="109"/>
      <c r="Q152" s="109"/>
      <c r="R152"/>
    </row>
    <row r="153" s="240" customFormat="1" spans="1:18">
      <c r="A153" s="109"/>
      <c r="B153" s="109"/>
      <c r="C153" s="109"/>
      <c r="D153" s="109"/>
      <c r="E153" s="109"/>
      <c r="F153" s="109"/>
      <c r="G153" s="109"/>
      <c r="H153" s="109"/>
      <c r="I153" s="109"/>
      <c r="J153" s="109"/>
      <c r="K153" s="109"/>
      <c r="L153" s="109"/>
      <c r="M153" s="109"/>
      <c r="O153" s="109"/>
      <c r="P153" s="109"/>
      <c r="Q153" s="109"/>
      <c r="R153"/>
    </row>
    <row r="154" s="240" customFormat="1" spans="1:18">
      <c r="A154" s="109"/>
      <c r="B154" s="109"/>
      <c r="C154" s="109"/>
      <c r="D154" s="109"/>
      <c r="E154" s="109"/>
      <c r="F154" s="109"/>
      <c r="G154" s="109"/>
      <c r="H154" s="109"/>
      <c r="I154" s="109"/>
      <c r="J154" s="109"/>
      <c r="K154" s="109"/>
      <c r="L154" s="109"/>
      <c r="M154" s="109"/>
      <c r="O154" s="109"/>
      <c r="P154" s="109"/>
      <c r="Q154" s="109"/>
      <c r="R154"/>
    </row>
    <row r="157" spans="9:12">
      <c r="I157" s="238"/>
      <c r="J157" s="238"/>
      <c r="K157" s="238"/>
      <c r="L157" s="238"/>
    </row>
    <row r="158" ht="13" spans="9:12">
      <c r="I158" s="239"/>
      <c r="J158" s="239"/>
      <c r="K158" s="239"/>
      <c r="L158" s="239"/>
    </row>
    <row r="159" spans="9:12">
      <c r="I159" s="240"/>
      <c r="J159" s="240"/>
      <c r="K159" s="240"/>
      <c r="L159" s="240"/>
    </row>
    <row r="160" spans="1:12">
      <c r="A160" s="240"/>
      <c r="B160" s="240"/>
      <c r="C160" s="240"/>
      <c r="D160" s="240"/>
      <c r="E160" s="240"/>
      <c r="F160" s="240"/>
      <c r="G160" s="240"/>
      <c r="H160" s="240"/>
      <c r="I160" s="240"/>
      <c r="J160" s="240"/>
      <c r="K160" s="240"/>
      <c r="L160" s="240"/>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62" zoomScaleNormal="62" topLeftCell="A2" workbookViewId="0">
      <selection activeCell="F39" sqref="F39"/>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4" ht="13" spans="5:5">
      <c r="E4" s="110" t="s">
        <v>12</v>
      </c>
    </row>
    <row r="7" spans="2:6">
      <c r="B7" s="109"/>
      <c r="C7" s="109"/>
      <c r="F7" s="109"/>
    </row>
    <row r="8" ht="13" spans="2:6">
      <c r="B8" s="112" t="s">
        <v>14</v>
      </c>
      <c r="C8" s="112" t="s">
        <v>16</v>
      </c>
      <c r="D8" s="112" t="s">
        <v>121</v>
      </c>
      <c r="E8" s="112" t="s">
        <v>17</v>
      </c>
      <c r="F8" s="234" t="s">
        <v>122</v>
      </c>
    </row>
    <row r="9" ht="25.75" spans="2:6">
      <c r="B9" s="190" t="s">
        <v>31</v>
      </c>
      <c r="C9" s="190" t="s">
        <v>33</v>
      </c>
      <c r="D9" s="190" t="s">
        <v>123</v>
      </c>
      <c r="E9" s="190" t="s">
        <v>34</v>
      </c>
      <c r="F9" s="234"/>
    </row>
    <row r="10" spans="2:6">
      <c r="B10" s="193" t="s">
        <v>124</v>
      </c>
      <c r="C10" s="194" t="str">
        <f>SUP_HFC!C23</f>
        <v>SYNH2CT_RAW</v>
      </c>
      <c r="E10" s="194" t="str">
        <f>'NOUSE-SUP_HS'!D10</f>
        <v>SYNH2CT_UG</v>
      </c>
      <c r="F10" s="234">
        <v>1</v>
      </c>
    </row>
    <row r="11" spans="2:6">
      <c r="B11" s="193" t="s">
        <v>125</v>
      </c>
      <c r="C11" s="194" t="str">
        <f>C10</f>
        <v>SYNH2CT_RAW</v>
      </c>
      <c r="D11" s="199"/>
      <c r="E11" s="194" t="str">
        <f>'NOUSE-SUP_HS'!D12</f>
        <v>SYNH2CT_GT</v>
      </c>
      <c r="F11" s="234">
        <v>1</v>
      </c>
    </row>
    <row r="12" spans="2:6">
      <c r="B12" s="193" t="s">
        <v>126</v>
      </c>
      <c r="C12" s="194" t="str">
        <f>C11</f>
        <v>SYNH2CT_RAW</v>
      </c>
      <c r="E12" t="e">
        <f>'NOUSE-SUP_HS'!#REF!</f>
        <v>#REF!</v>
      </c>
      <c r="F12" s="234">
        <v>1</v>
      </c>
    </row>
    <row r="13" spans="2:6">
      <c r="B13" s="193" t="s">
        <v>127</v>
      </c>
      <c r="C13" s="194" t="str">
        <f>C12</f>
        <v>SYNH2CT_RAW</v>
      </c>
      <c r="E13" t="str">
        <f>'NOUSE-SUP_HS'!AC12</f>
        <v>SYNH2CT_NH</v>
      </c>
      <c r="F13" s="234">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80" t="s">
        <v>111</v>
      </c>
      <c r="C22" s="181" t="str">
        <f>B10</f>
        <v>STHP2HS_UG</v>
      </c>
      <c r="D22" s="180"/>
      <c r="E22" s="155" t="s">
        <v>63</v>
      </c>
      <c r="F22" s="156" t="s">
        <v>128</v>
      </c>
      <c r="G22" s="155" t="s">
        <v>65</v>
      </c>
      <c r="H22" s="155"/>
      <c r="I22" s="155"/>
    </row>
    <row r="23" spans="3:7">
      <c r="C23" s="181" t="str">
        <f>B11</f>
        <v>STHP2HS_GT</v>
      </c>
      <c r="E23" s="155" t="s">
        <v>63</v>
      </c>
      <c r="F23" s="156" t="s">
        <v>128</v>
      </c>
      <c r="G23" s="155" t="s">
        <v>65</v>
      </c>
    </row>
    <row r="24" spans="3:7">
      <c r="C24" s="181" t="str">
        <f>B12</f>
        <v>STHP2HS_LH</v>
      </c>
      <c r="E24" s="155" t="s">
        <v>63</v>
      </c>
      <c r="F24" s="156" t="s">
        <v>128</v>
      </c>
      <c r="G24" s="155" t="s">
        <v>65</v>
      </c>
    </row>
    <row r="25" spans="3:7">
      <c r="C25" s="181" t="str">
        <f>B13</f>
        <v>STHP2HS_NH</v>
      </c>
      <c r="E25" s="155" t="s">
        <v>63</v>
      </c>
      <c r="F25" s="156" t="s">
        <v>128</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A1:AS44"/>
  <sheetViews>
    <sheetView zoomScale="46" zoomScaleNormal="46" topLeftCell="T1" workbookViewId="0">
      <selection activeCell="AA51" sqref="AA5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row r="8" ht="25" spans="1:45">
      <c r="A8" s="112" t="s">
        <v>14</v>
      </c>
      <c r="B8" s="112" t="s">
        <v>16</v>
      </c>
      <c r="C8" s="112" t="s">
        <v>121</v>
      </c>
      <c r="D8" s="112" t="s">
        <v>17</v>
      </c>
      <c r="E8" s="188" t="s">
        <v>139</v>
      </c>
      <c r="F8" s="189" t="s">
        <v>28</v>
      </c>
      <c r="G8" s="189" t="s">
        <v>107</v>
      </c>
      <c r="H8" s="189" t="s">
        <v>107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107</v>
      </c>
      <c r="AG8" s="189" t="s">
        <v>107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
        <v>147</v>
      </c>
      <c r="E10" s="195">
        <v>2021</v>
      </c>
      <c r="F10" s="196">
        <v>30</v>
      </c>
      <c r="G10" s="197"/>
      <c r="H10" s="198"/>
      <c r="I10" s="195"/>
      <c r="J10" s="217">
        <f>0.08*277.78</f>
        <v>22.2224</v>
      </c>
      <c r="K10" s="218">
        <f>J10*0.8</f>
        <v>17.77792</v>
      </c>
      <c r="L10" s="218">
        <f>J10*0.7</f>
        <v>15.55568</v>
      </c>
      <c r="M10" s="219">
        <f>J10*2%</f>
        <v>0.444448</v>
      </c>
      <c r="N10" s="219">
        <f t="shared" ref="N10:O10" si="0">K10*2%</f>
        <v>0.3555584</v>
      </c>
      <c r="O10" s="219">
        <f t="shared" si="0"/>
        <v>0.3111136</v>
      </c>
      <c r="P10" s="220">
        <v>1</v>
      </c>
      <c r="Q10" s="227"/>
      <c r="R10" s="227"/>
      <c r="S10" s="228">
        <v>1</v>
      </c>
      <c r="T10" s="197">
        <v>1</v>
      </c>
      <c r="W10" s="109"/>
      <c r="X10" s="109"/>
      <c r="Y10" s="109"/>
      <c r="Z10" s="193" t="str">
        <f>AA25</f>
        <v>STH2SLH2</v>
      </c>
      <c r="AA10" t="s">
        <v>83</v>
      </c>
      <c r="AC10" s="194" t="s">
        <v>148</v>
      </c>
      <c r="AD10" s="195">
        <v>2021</v>
      </c>
      <c r="AE10" s="196">
        <v>15</v>
      </c>
      <c r="AF10" s="231"/>
      <c r="AG10" s="198"/>
      <c r="AH10" s="195"/>
      <c r="AI10" s="217">
        <f>105/33.3*1.35*277.78</f>
        <v>1182.44189189189</v>
      </c>
      <c r="AJ10" s="218">
        <f>AI10*0.8</f>
        <v>945.953513513513</v>
      </c>
      <c r="AK10" s="218">
        <f>AI10*0.7</f>
        <v>827.709324324324</v>
      </c>
      <c r="AL10" s="164">
        <f>AI10*2%</f>
        <v>23.6488378378378</v>
      </c>
      <c r="AM10" s="164">
        <f t="shared" ref="AM10" si="1">AJ10*2%</f>
        <v>18.9190702702703</v>
      </c>
      <c r="AN10" s="164">
        <f t="shared" ref="AN10" si="2">AK10*2%</f>
        <v>16.5541864864865</v>
      </c>
      <c r="AO10" s="220">
        <v>1</v>
      </c>
      <c r="AP10" s="227"/>
      <c r="AQ10" s="227"/>
      <c r="AR10" s="228">
        <v>1</v>
      </c>
      <c r="AS10" s="232">
        <v>0.998098958333333</v>
      </c>
    </row>
    <row r="11" ht="13" spans="1:45">
      <c r="A11" s="193" t="s">
        <v>107</v>
      </c>
      <c r="C11" s="199"/>
      <c r="D11" s="194"/>
      <c r="E11" s="195"/>
      <c r="F11" s="196"/>
      <c r="G11" s="200"/>
      <c r="H11" s="201"/>
      <c r="I11" s="195"/>
      <c r="J11" s="164"/>
      <c r="K11" s="164"/>
      <c r="L11" s="164"/>
      <c r="M11" s="195"/>
      <c r="N11" s="195"/>
      <c r="O11" s="195"/>
      <c r="P11" s="221"/>
      <c r="Q11" s="227"/>
      <c r="R11" s="227"/>
      <c r="S11" s="228"/>
      <c r="T11" s="200"/>
      <c r="W11" s="109"/>
      <c r="X11" s="109"/>
      <c r="Y11" s="109"/>
      <c r="Z11" s="193" t="s">
        <v>107</v>
      </c>
      <c r="AB11" s="199"/>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
        <v>149</v>
      </c>
      <c r="E12" s="195">
        <v>2021</v>
      </c>
      <c r="F12" s="196">
        <v>15</v>
      </c>
      <c r="G12" s="197"/>
      <c r="H12" s="202"/>
      <c r="I12" s="222"/>
      <c r="J12" s="217">
        <f>35*277.78*1.35</f>
        <v>13125.105</v>
      </c>
      <c r="K12" s="218">
        <f>J12*0.8</f>
        <v>10500.084</v>
      </c>
      <c r="L12" s="218">
        <f>J12*0.7</f>
        <v>9187.5735</v>
      </c>
      <c r="M12" s="164">
        <f>J12*2%</f>
        <v>262.5021</v>
      </c>
      <c r="N12" s="164">
        <f t="shared" ref="N12" si="3">K12*2%</f>
        <v>210.00168</v>
      </c>
      <c r="O12" s="164">
        <f t="shared" ref="O12" si="4">L12*2%</f>
        <v>183.75147</v>
      </c>
      <c r="P12" s="220">
        <v>1</v>
      </c>
      <c r="Q12" s="215"/>
      <c r="R12" s="215"/>
      <c r="S12" s="228">
        <v>1</v>
      </c>
      <c r="T12" s="197">
        <v>0.85</v>
      </c>
      <c r="W12" s="109"/>
      <c r="X12" s="109"/>
      <c r="Y12" s="109"/>
      <c r="Z12" s="193" t="str">
        <f>AA26</f>
        <v>STH2SNH3</v>
      </c>
      <c r="AA12" t="s">
        <v>83</v>
      </c>
      <c r="AC12" s="194" t="s">
        <v>150</v>
      </c>
      <c r="AD12" s="195">
        <v>2021</v>
      </c>
      <c r="AE12" s="196">
        <v>23</v>
      </c>
      <c r="AF12" s="197"/>
      <c r="AG12" s="202"/>
      <c r="AH12" s="222"/>
      <c r="AI12" s="217">
        <f>93/1000*1.5*277.78</f>
        <v>38.75031</v>
      </c>
      <c r="AJ12" s="218">
        <f>AI12*0.8</f>
        <v>31.000248</v>
      </c>
      <c r="AK12" s="218">
        <f>AI12*0.7</f>
        <v>27.125217</v>
      </c>
      <c r="AL12" s="164">
        <f>AI12*2%</f>
        <v>0.7750062</v>
      </c>
      <c r="AM12" s="164">
        <f t="shared" ref="AM12" si="5">AJ12*2%</f>
        <v>0.62000496</v>
      </c>
      <c r="AN12" s="164">
        <f t="shared" ref="AN12" si="6">AK12*2%</f>
        <v>0.54250434</v>
      </c>
      <c r="AO12" s="220">
        <v>1</v>
      </c>
      <c r="AP12" s="215"/>
      <c r="AQ12" s="215"/>
      <c r="AR12" s="228">
        <v>1</v>
      </c>
      <c r="AS12" s="233">
        <v>0.92</v>
      </c>
    </row>
    <row r="13" ht="13" spans="1:45">
      <c r="A13" s="193"/>
      <c r="B13" s="194"/>
      <c r="C13" s="199"/>
      <c r="D13" s="194"/>
      <c r="E13" s="195"/>
      <c r="F13" s="196"/>
      <c r="G13" s="200"/>
      <c r="H13" s="201"/>
      <c r="I13" s="195"/>
      <c r="M13" s="195"/>
      <c r="N13" s="195"/>
      <c r="O13" s="195"/>
      <c r="P13" s="221"/>
      <c r="Q13" s="215"/>
      <c r="R13" s="215"/>
      <c r="S13" s="228"/>
      <c r="T13" s="226"/>
      <c r="W13" s="109"/>
      <c r="X13" s="109"/>
      <c r="Y13" s="109"/>
      <c r="Z13" s="193"/>
      <c r="AA13" s="194"/>
      <c r="AB13" s="199"/>
      <c r="AC13" s="194"/>
      <c r="AD13" s="195"/>
      <c r="AE13" s="196"/>
      <c r="AF13" s="200"/>
      <c r="AG13" s="201"/>
      <c r="AH13" s="195"/>
      <c r="AL13" s="195"/>
      <c r="AM13" s="195"/>
      <c r="AN13" s="195"/>
      <c r="AO13" s="221"/>
      <c r="AP13" s="215"/>
      <c r="AQ13" s="215"/>
      <c r="AR13" s="228"/>
      <c r="AS13" s="226"/>
    </row>
    <row r="14" ht="13" spans="1:45">
      <c r="A14" s="194"/>
      <c r="B14" s="194"/>
      <c r="D14" s="199"/>
      <c r="E14" s="203"/>
      <c r="F14" s="204"/>
      <c r="G14" s="205"/>
      <c r="H14" s="204"/>
      <c r="I14" s="208"/>
      <c r="J14" s="223"/>
      <c r="K14" s="223"/>
      <c r="L14" s="223"/>
      <c r="P14" s="224"/>
      <c r="R14" s="206"/>
      <c r="S14" s="204"/>
      <c r="T14" s="229"/>
      <c r="W14" s="109"/>
      <c r="X14" s="109"/>
      <c r="Y14" s="109"/>
      <c r="Z14" s="194"/>
      <c r="AA14" s="194"/>
      <c r="AC14" s="199"/>
      <c r="AD14" s="203"/>
      <c r="AE14" s="204"/>
      <c r="AF14" s="205"/>
      <c r="AG14" s="204"/>
      <c r="AH14" s="208"/>
      <c r="AI14" s="223"/>
      <c r="AJ14" s="223"/>
      <c r="AK14" s="223"/>
      <c r="AO14" s="224"/>
      <c r="AQ14" s="206"/>
      <c r="AR14" s="204"/>
      <c r="AS14" s="229"/>
    </row>
    <row r="15" ht="13" spans="1:45">
      <c r="A15" s="194"/>
      <c r="B15" s="194"/>
      <c r="D15" s="199"/>
      <c r="E15" s="203"/>
      <c r="F15" s="204"/>
      <c r="G15" s="205"/>
      <c r="H15" s="204"/>
      <c r="I15" s="208"/>
      <c r="J15" s="223"/>
      <c r="K15" s="223"/>
      <c r="L15" s="223"/>
      <c r="P15" s="224"/>
      <c r="R15" s="206"/>
      <c r="S15" s="204"/>
      <c r="T15" s="229"/>
      <c r="W15" s="109"/>
      <c r="X15" s="109"/>
      <c r="Y15" s="109"/>
      <c r="Z15" s="194"/>
      <c r="AA15" s="194"/>
      <c r="AC15" s="199"/>
      <c r="AD15" s="203"/>
      <c r="AE15" s="204"/>
      <c r="AF15" s="205"/>
      <c r="AG15" s="204"/>
      <c r="AH15" s="208"/>
      <c r="AI15" s="223"/>
      <c r="AJ15" s="223"/>
      <c r="AK15" s="223"/>
      <c r="AO15" s="224"/>
      <c r="AQ15" s="206"/>
      <c r="AR15" s="204"/>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111</v>
      </c>
      <c r="B25" s="181" t="s">
        <v>151</v>
      </c>
      <c r="C25" s="181" t="s">
        <v>152</v>
      </c>
      <c r="D25" s="155" t="s">
        <v>63</v>
      </c>
      <c r="E25" s="156" t="s">
        <v>128</v>
      </c>
      <c r="F25" s="155" t="s">
        <v>65</v>
      </c>
      <c r="G25" s="212"/>
      <c r="H25" s="156"/>
      <c r="I25" s="109"/>
      <c r="J25" s="109"/>
      <c r="K25" s="109"/>
      <c r="L25" s="109"/>
      <c r="M25" s="109"/>
      <c r="N25" s="109"/>
      <c r="O25" s="109"/>
      <c r="P25" s="109"/>
      <c r="Q25" s="109"/>
      <c r="R25" s="109"/>
      <c r="S25" s="109"/>
      <c r="T25" s="109"/>
      <c r="U25" s="109"/>
      <c r="V25" s="109"/>
      <c r="W25" s="109"/>
      <c r="X25" s="109"/>
      <c r="Y25" s="109"/>
      <c r="Z25" s="180" t="s">
        <v>111</v>
      </c>
      <c r="AA25" s="181" t="s">
        <v>153</v>
      </c>
      <c r="AB25" s="181" t="s">
        <v>152</v>
      </c>
      <c r="AC25" s="155" t="s">
        <v>63</v>
      </c>
      <c r="AD25" s="156" t="s">
        <v>63</v>
      </c>
      <c r="AE25" s="155" t="s">
        <v>65</v>
      </c>
      <c r="AF25" s="212"/>
      <c r="AG25" s="156"/>
      <c r="AH25" s="109"/>
      <c r="AI25" s="109"/>
      <c r="AJ25" s="109"/>
      <c r="AK25" s="109"/>
      <c r="AL25" s="109"/>
      <c r="AM25" s="109"/>
      <c r="AN25" s="109"/>
      <c r="AO25" s="109"/>
      <c r="AP25" s="109"/>
      <c r="AQ25" s="109"/>
      <c r="AR25" s="109"/>
      <c r="AS25" s="109"/>
    </row>
    <row r="26" spans="1:45">
      <c r="A26" s="180" t="s">
        <v>111</v>
      </c>
      <c r="B26" s="181" t="s">
        <v>154</v>
      </c>
      <c r="C26" s="181" t="s">
        <v>155</v>
      </c>
      <c r="D26" s="155" t="s">
        <v>63</v>
      </c>
      <c r="E26" s="156" t="s">
        <v>128</v>
      </c>
      <c r="F26" s="155" t="s">
        <v>65</v>
      </c>
      <c r="G26" s="212"/>
      <c r="H26" s="181"/>
      <c r="I26" s="194"/>
      <c r="J26" s="109"/>
      <c r="K26" s="109"/>
      <c r="L26" s="109"/>
      <c r="M26" s="109"/>
      <c r="N26" s="109"/>
      <c r="O26" s="109"/>
      <c r="P26" s="109"/>
      <c r="Q26" s="109"/>
      <c r="R26" s="109"/>
      <c r="S26" s="109"/>
      <c r="T26" s="109"/>
      <c r="U26" s="109"/>
      <c r="V26" s="109"/>
      <c r="W26" s="109"/>
      <c r="X26" s="109"/>
      <c r="Y26" s="109"/>
      <c r="Z26" s="180" t="s">
        <v>111</v>
      </c>
      <c r="AA26" s="181" t="s">
        <v>156</v>
      </c>
      <c r="AB26" s="181" t="s">
        <v>155</v>
      </c>
      <c r="AC26" s="155" t="s">
        <v>63</v>
      </c>
      <c r="AD26" s="156" t="s">
        <v>63</v>
      </c>
      <c r="AE26" s="155" t="s">
        <v>65</v>
      </c>
      <c r="AF26" s="212"/>
      <c r="AG26" s="181"/>
      <c r="AH26" s="194"/>
      <c r="AI26" s="109"/>
      <c r="AJ26" s="109"/>
      <c r="AK26" s="109"/>
      <c r="AL26" s="109"/>
      <c r="AM26" s="109"/>
      <c r="AN26" s="109"/>
      <c r="AO26" s="109"/>
      <c r="AP26" s="109"/>
      <c r="AQ26" s="109"/>
      <c r="AR26" s="109"/>
      <c r="AS26" s="109"/>
    </row>
    <row r="27" spans="1:45">
      <c r="A27" s="180"/>
      <c r="B27" s="181"/>
      <c r="C27" s="181"/>
      <c r="D27" s="155"/>
      <c r="E27" s="156"/>
      <c r="F27" s="155"/>
      <c r="G27" s="212"/>
      <c r="H27" s="118"/>
      <c r="I27" s="109"/>
      <c r="J27" s="109"/>
      <c r="K27" s="109"/>
      <c r="L27" s="109"/>
      <c r="M27" s="109"/>
      <c r="N27" s="109"/>
      <c r="O27" s="109"/>
      <c r="P27" s="109"/>
      <c r="Q27" s="109"/>
      <c r="R27" s="109"/>
      <c r="S27" s="109"/>
      <c r="T27" s="109"/>
      <c r="U27" s="109"/>
      <c r="V27" s="109"/>
      <c r="W27" s="109"/>
      <c r="X27" s="109"/>
      <c r="Y27" s="109"/>
      <c r="Z27" s="180"/>
      <c r="AA27" s="181"/>
      <c r="AB27" s="181"/>
      <c r="AC27" s="155"/>
      <c r="AD27" s="156"/>
      <c r="AE27" s="155"/>
      <c r="AF27" s="212"/>
      <c r="AG27" s="118"/>
      <c r="AH27" s="109"/>
      <c r="AI27" s="109"/>
      <c r="AJ27" s="109"/>
      <c r="AK27" s="109"/>
      <c r="AL27" s="109"/>
      <c r="AM27" s="109"/>
      <c r="AN27" s="109"/>
      <c r="AO27" s="109"/>
      <c r="AP27" s="109"/>
      <c r="AQ27" s="109"/>
      <c r="AR27" s="109"/>
      <c r="AS27" s="109"/>
    </row>
    <row r="28" spans="1:45">
      <c r="A28" s="180"/>
      <c r="B28" s="181"/>
      <c r="C28" s="181"/>
      <c r="D28" s="155"/>
      <c r="E28" s="156"/>
      <c r="F28" s="155"/>
      <c r="G28" s="212"/>
      <c r="H28" s="118"/>
      <c r="I28" s="109"/>
      <c r="J28" s="109"/>
      <c r="K28" s="109"/>
      <c r="L28" s="109"/>
      <c r="M28" s="109"/>
      <c r="N28" s="109"/>
      <c r="O28" s="109"/>
      <c r="P28" s="109"/>
      <c r="Q28" s="109"/>
      <c r="R28" s="109"/>
      <c r="S28" s="109"/>
      <c r="T28" s="109"/>
      <c r="U28" s="109"/>
      <c r="V28" s="109"/>
      <c r="W28" s="109"/>
      <c r="X28" s="109"/>
      <c r="Y28" s="109"/>
      <c r="Z28" s="180"/>
      <c r="AA28" s="181"/>
      <c r="AB28" s="181"/>
      <c r="AC28" s="155"/>
      <c r="AD28" s="156"/>
      <c r="AE28" s="155"/>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customFormat="1"/>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107</v>
      </c>
      <c r="B37" s="156"/>
      <c r="C37" s="156"/>
      <c r="D37" s="118"/>
      <c r="E37" s="117"/>
      <c r="F37" s="118"/>
      <c r="G37" s="118"/>
      <c r="H37" s="118"/>
      <c r="Z37" s="181"/>
      <c r="AA37" s="156"/>
      <c r="AB37" s="156"/>
      <c r="AC37" s="118"/>
      <c r="AD37" s="117"/>
      <c r="AE37" s="118"/>
      <c r="AF37" s="118"/>
      <c r="AG37" s="118"/>
    </row>
    <row r="38" spans="1:33">
      <c r="A38" s="181" t="s">
        <v>107</v>
      </c>
      <c r="B38" s="156"/>
      <c r="C38" s="156"/>
      <c r="D38" s="118"/>
      <c r="E38" s="117"/>
      <c r="F38" s="118"/>
      <c r="G38" s="118"/>
      <c r="H38" s="118"/>
      <c r="Z38" s="181"/>
      <c r="AA38" s="156"/>
      <c r="AB38" s="156"/>
      <c r="AC38" s="118"/>
      <c r="AD38" s="117"/>
      <c r="AE38" s="118"/>
      <c r="AF38" s="118"/>
      <c r="AG38" s="118"/>
    </row>
    <row r="39" spans="1:8">
      <c r="A39" s="181" t="s">
        <v>82</v>
      </c>
      <c r="B39" s="156" t="str">
        <f>D10</f>
        <v>SYNH2CT_UG</v>
      </c>
      <c r="C39" s="156"/>
      <c r="D39" s="118" t="s">
        <v>63</v>
      </c>
      <c r="E39" s="117"/>
      <c r="F39" s="118" t="s">
        <v>65</v>
      </c>
      <c r="G39" s="118"/>
      <c r="H39" s="118"/>
    </row>
    <row r="40" spans="1:6">
      <c r="A40" s="181" t="s">
        <v>82</v>
      </c>
      <c r="B40" t="str">
        <f>D12</f>
        <v>SYNH2CT_GT</v>
      </c>
      <c r="D40" s="118" t="s">
        <v>63</v>
      </c>
      <c r="E40" s="117"/>
      <c r="F40" s="118" t="s">
        <v>65</v>
      </c>
    </row>
    <row r="41" spans="1:6">
      <c r="A41" s="181" t="s">
        <v>82</v>
      </c>
      <c r="B41" t="str">
        <f>AC10</f>
        <v>SYNH2CT_LH</v>
      </c>
      <c r="D41" s="118" t="s">
        <v>63</v>
      </c>
      <c r="E41" s="117"/>
      <c r="F41" s="118" t="s">
        <v>65</v>
      </c>
    </row>
    <row r="42" spans="1:6">
      <c r="A42" s="181" t="s">
        <v>82</v>
      </c>
      <c r="B42" t="str">
        <f>AC12</f>
        <v>SYNH2CT_NH</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82" zoomScaleNormal="82" topLeftCell="X13" workbookViewId="0">
      <selection activeCell="AC17" sqref="AC17"/>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 min="41" max="41" width="10.1818181818182"/>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4"/>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8" t="s">
        <v>139</v>
      </c>
      <c r="F8" s="189" t="s">
        <v>28</v>
      </c>
      <c r="G8" s="189" t="s">
        <v>157</v>
      </c>
      <c r="H8" s="189" t="s">
        <v>97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157</v>
      </c>
      <c r="AG8" s="189" t="s">
        <v>97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38.25" spans="1:45">
      <c r="A9" s="190" t="s">
        <v>31</v>
      </c>
      <c r="B9" s="190" t="s">
        <v>33</v>
      </c>
      <c r="C9" s="190" t="s">
        <v>123</v>
      </c>
      <c r="D9" s="190" t="s">
        <v>34</v>
      </c>
      <c r="E9" s="191"/>
      <c r="F9" s="192" t="s">
        <v>36</v>
      </c>
      <c r="G9" s="192" t="s">
        <v>158</v>
      </c>
      <c r="H9" s="192"/>
      <c r="I9" s="191"/>
      <c r="J9" s="191" t="s">
        <v>159</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t="s">
        <v>158</v>
      </c>
      <c r="AG9" s="192"/>
      <c r="AH9" s="191"/>
      <c r="AI9" s="191" t="s">
        <v>159</v>
      </c>
      <c r="AJ9" s="191"/>
      <c r="AK9" s="191"/>
      <c r="AL9" s="191"/>
      <c r="AM9" s="191"/>
      <c r="AN9" s="216"/>
      <c r="AO9" s="192"/>
      <c r="AP9" s="191" t="s">
        <v>145</v>
      </c>
      <c r="AQ9" s="191" t="s">
        <v>146</v>
      </c>
      <c r="AR9" s="192"/>
      <c r="AS9" s="226"/>
    </row>
    <row r="10" ht="13" spans="1:45">
      <c r="A10" s="193" t="str">
        <f>B25</f>
        <v>STH2SUG</v>
      </c>
      <c r="B10" t="s">
        <v>83</v>
      </c>
      <c r="D10" s="194" t="str">
        <f>B10</f>
        <v>SYNH2CT_RAW</v>
      </c>
      <c r="E10" s="195">
        <v>2021</v>
      </c>
      <c r="F10" s="196">
        <v>30</v>
      </c>
      <c r="G10" s="197">
        <v>1</v>
      </c>
      <c r="H10" s="198"/>
      <c r="I10" s="195"/>
      <c r="J10" s="217">
        <f>0.08*277.78*31.54</f>
        <v>700.894496</v>
      </c>
      <c r="K10" s="218">
        <f>J10*0.8</f>
        <v>560.7155968</v>
      </c>
      <c r="L10" s="218">
        <f>J10*0.7</f>
        <v>490.6261472</v>
      </c>
      <c r="M10" s="219">
        <f t="shared" ref="M10:O10" si="0">J10*2%</f>
        <v>14.01788992</v>
      </c>
      <c r="N10" s="219">
        <f t="shared" si="0"/>
        <v>11.214311936</v>
      </c>
      <c r="O10" s="219">
        <f t="shared" si="0"/>
        <v>9.812522944</v>
      </c>
      <c r="P10" s="220">
        <v>31.54</v>
      </c>
      <c r="Q10" s="227"/>
      <c r="R10" s="227"/>
      <c r="S10" s="228">
        <v>1</v>
      </c>
      <c r="T10" s="226"/>
      <c r="W10" s="109"/>
      <c r="X10" s="109"/>
      <c r="Y10" s="109"/>
      <c r="Z10" s="193" t="str">
        <f>AA25</f>
        <v>STH2SLH2</v>
      </c>
      <c r="AA10" t="s">
        <v>83</v>
      </c>
      <c r="AC10" s="194" t="str">
        <f>AA10</f>
        <v>SYNH2CT_RAW</v>
      </c>
      <c r="AD10" s="195">
        <v>2021</v>
      </c>
      <c r="AE10" s="196">
        <v>15</v>
      </c>
      <c r="AF10" s="231">
        <f>100%-0.025%*365/48</f>
        <v>0.998098958333333</v>
      </c>
      <c r="AG10" s="198"/>
      <c r="AH10" s="195"/>
      <c r="AI10" s="217">
        <f>105/33.3*1.35*277.78*31.54</f>
        <v>37294.2172702703</v>
      </c>
      <c r="AJ10" s="218">
        <f>AI10*0.8</f>
        <v>29835.3738162162</v>
      </c>
      <c r="AK10" s="218">
        <f>AI10*0.7</f>
        <v>26105.9520891892</v>
      </c>
      <c r="AL10" s="164">
        <f t="shared" ref="AL10:AN10" si="1">AI10*2%</f>
        <v>745.884345405405</v>
      </c>
      <c r="AM10" s="164">
        <f t="shared" si="1"/>
        <v>596.707476324324</v>
      </c>
      <c r="AN10" s="164">
        <f t="shared" si="1"/>
        <v>522.119041783784</v>
      </c>
      <c r="AO10" s="220">
        <v>31.54</v>
      </c>
      <c r="AP10" s="227"/>
      <c r="AQ10" s="227"/>
      <c r="AR10" s="228">
        <v>1</v>
      </c>
      <c r="AS10" s="232"/>
    </row>
    <row r="11" ht="13" spans="1:45">
      <c r="A11" s="193"/>
      <c r="C11" s="199" t="s">
        <v>160</v>
      </c>
      <c r="D11" s="194"/>
      <c r="E11" s="195"/>
      <c r="F11" s="196"/>
      <c r="G11" s="200"/>
      <c r="H11" s="201"/>
      <c r="I11" s="195"/>
      <c r="J11" s="164"/>
      <c r="K11" s="164"/>
      <c r="L11" s="164"/>
      <c r="M11" s="195"/>
      <c r="N11" s="195"/>
      <c r="O11" s="195"/>
      <c r="P11" s="221"/>
      <c r="Q11" s="227"/>
      <c r="R11" s="227"/>
      <c r="S11" s="228"/>
      <c r="T11" s="226"/>
      <c r="W11" s="109"/>
      <c r="X11" s="109"/>
      <c r="Y11" s="109"/>
      <c r="Z11" s="193"/>
      <c r="AB11" s="199" t="str">
        <f>AC14</f>
        <v>AUX_STH2SLH2</v>
      </c>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tr">
        <f>B12</f>
        <v>SYNH2CT_RAW</v>
      </c>
      <c r="E12" s="195">
        <v>2021</v>
      </c>
      <c r="F12" s="196">
        <v>15</v>
      </c>
      <c r="G12" s="197">
        <v>0.85</v>
      </c>
      <c r="H12" s="202"/>
      <c r="I12" s="222"/>
      <c r="J12" s="217">
        <f>35*277.78*1.35*31.54</f>
        <v>413965.8117</v>
      </c>
      <c r="K12" s="218">
        <f>J12*0.8</f>
        <v>331172.64936</v>
      </c>
      <c r="L12" s="218">
        <f>J12*0.7</f>
        <v>289776.06819</v>
      </c>
      <c r="M12" s="164">
        <f t="shared" ref="M12:O12" si="2">J12*2%</f>
        <v>8279.316234</v>
      </c>
      <c r="N12" s="164">
        <f t="shared" si="2"/>
        <v>6623.4529872</v>
      </c>
      <c r="O12" s="164">
        <f t="shared" si="2"/>
        <v>5795.5213638</v>
      </c>
      <c r="P12" s="220">
        <v>31.54</v>
      </c>
      <c r="Q12" s="215"/>
      <c r="R12" s="215"/>
      <c r="S12" s="228">
        <v>1</v>
      </c>
      <c r="T12" s="226"/>
      <c r="W12" s="109"/>
      <c r="X12" s="109"/>
      <c r="Y12" s="109"/>
      <c r="Z12" s="193" t="str">
        <f>AA26</f>
        <v>STH2SNH3</v>
      </c>
      <c r="AA12" t="s">
        <v>83</v>
      </c>
      <c r="AC12" s="194" t="str">
        <f>AA12</f>
        <v>SYNH2CT_RAW</v>
      </c>
      <c r="AD12" s="195">
        <v>2021</v>
      </c>
      <c r="AE12" s="196">
        <v>23</v>
      </c>
      <c r="AF12" s="197">
        <v>0.92</v>
      </c>
      <c r="AG12" s="202"/>
      <c r="AH12" s="222"/>
      <c r="AI12" s="217">
        <f>93/1000*1.5*277.78*31.54</f>
        <v>1222.1847774</v>
      </c>
      <c r="AJ12" s="218">
        <f>AI12*0.8</f>
        <v>977.74782192</v>
      </c>
      <c r="AK12" s="218">
        <f>AI12*0.7</f>
        <v>855.52934418</v>
      </c>
      <c r="AL12" s="164">
        <f t="shared" ref="AL12:AN12" si="3">AI12*2%</f>
        <v>24.443695548</v>
      </c>
      <c r="AM12" s="164">
        <f t="shared" si="3"/>
        <v>19.5549564384</v>
      </c>
      <c r="AN12" s="164">
        <f t="shared" si="3"/>
        <v>17.1105868836</v>
      </c>
      <c r="AO12" s="220">
        <v>31.54</v>
      </c>
      <c r="AP12" s="215"/>
      <c r="AQ12" s="215"/>
      <c r="AR12" s="228">
        <v>1</v>
      </c>
      <c r="AS12" s="233"/>
    </row>
    <row r="13" ht="13" spans="1:45">
      <c r="A13" s="193"/>
      <c r="B13" s="194"/>
      <c r="C13" s="199" t="s">
        <v>161</v>
      </c>
      <c r="D13" s="194"/>
      <c r="E13" s="195"/>
      <c r="F13" s="196"/>
      <c r="G13" s="200"/>
      <c r="H13" s="201"/>
      <c r="I13" s="195"/>
      <c r="M13" s="195"/>
      <c r="N13" s="195"/>
      <c r="O13" s="195"/>
      <c r="P13" s="221"/>
      <c r="Q13" s="215"/>
      <c r="R13" s="215"/>
      <c r="S13" s="228"/>
      <c r="T13" s="226"/>
      <c r="W13" s="109"/>
      <c r="X13" s="109"/>
      <c r="Y13" s="109"/>
      <c r="Z13" s="193"/>
      <c r="AA13" s="194"/>
      <c r="AB13" s="199" t="str">
        <f>AC15</f>
        <v>AUX_STH2SNH3</v>
      </c>
      <c r="AC13" s="194"/>
      <c r="AD13" s="195"/>
      <c r="AE13" s="196"/>
      <c r="AF13" s="200"/>
      <c r="AG13" s="201"/>
      <c r="AH13" s="195"/>
      <c r="AL13" s="195"/>
      <c r="AM13" s="195"/>
      <c r="AN13" s="195"/>
      <c r="AO13" s="221"/>
      <c r="AP13" s="215"/>
      <c r="AQ13" s="215"/>
      <c r="AR13" s="228"/>
      <c r="AS13" s="226"/>
    </row>
    <row r="14" ht="13" spans="1:45">
      <c r="A14" s="194" t="s">
        <v>162</v>
      </c>
      <c r="B14" s="194" t="s">
        <v>163</v>
      </c>
      <c r="D14" s="199" t="s">
        <v>160</v>
      </c>
      <c r="E14" s="203">
        <f>E10</f>
        <v>2021</v>
      </c>
      <c r="F14" s="204">
        <f>F10</f>
        <v>30</v>
      </c>
      <c r="G14" s="205"/>
      <c r="H14" s="204"/>
      <c r="I14" s="208"/>
      <c r="J14" s="223"/>
      <c r="K14" s="223"/>
      <c r="L14" s="223"/>
      <c r="P14" s="224">
        <f>P10</f>
        <v>31.54</v>
      </c>
      <c r="R14" s="206"/>
      <c r="S14" s="204">
        <v>1</v>
      </c>
      <c r="T14" s="229"/>
      <c r="W14" s="109"/>
      <c r="X14" s="109"/>
      <c r="Y14" s="109"/>
      <c r="Z14" s="194" t="s">
        <v>164</v>
      </c>
      <c r="AA14" s="194" t="s">
        <v>163</v>
      </c>
      <c r="AC14" s="199" t="s">
        <v>165</v>
      </c>
      <c r="AD14" s="203">
        <f>AD10</f>
        <v>2021</v>
      </c>
      <c r="AE14" s="204">
        <f>AE10</f>
        <v>15</v>
      </c>
      <c r="AF14" s="205"/>
      <c r="AG14" s="204"/>
      <c r="AH14" s="208"/>
      <c r="AI14" s="223"/>
      <c r="AJ14" s="223"/>
      <c r="AK14" s="223"/>
      <c r="AO14" s="224">
        <f>AO10</f>
        <v>31.54</v>
      </c>
      <c r="AQ14" s="206"/>
      <c r="AR14" s="204">
        <v>1</v>
      </c>
      <c r="AS14" s="229"/>
    </row>
    <row r="15" ht="13" spans="1:45">
      <c r="A15" s="194" t="s">
        <v>166</v>
      </c>
      <c r="B15" s="194" t="s">
        <v>163</v>
      </c>
      <c r="D15" s="199" t="s">
        <v>161</v>
      </c>
      <c r="E15" s="203">
        <f>E12</f>
        <v>2021</v>
      </c>
      <c r="F15" s="204">
        <f>F12</f>
        <v>15</v>
      </c>
      <c r="G15" s="205"/>
      <c r="H15" s="204"/>
      <c r="I15" s="208"/>
      <c r="J15" s="223"/>
      <c r="K15" s="223"/>
      <c r="L15" s="223"/>
      <c r="P15" s="224">
        <f>P12</f>
        <v>31.54</v>
      </c>
      <c r="R15" s="206"/>
      <c r="S15" s="204">
        <v>1</v>
      </c>
      <c r="T15" s="229"/>
      <c r="W15" s="109"/>
      <c r="X15" s="109"/>
      <c r="Y15" s="109"/>
      <c r="Z15" s="194" t="s">
        <v>167</v>
      </c>
      <c r="AA15" s="194" t="s">
        <v>163</v>
      </c>
      <c r="AC15" s="199" t="s">
        <v>168</v>
      </c>
      <c r="AD15" s="203">
        <f>AD12</f>
        <v>2021</v>
      </c>
      <c r="AE15" s="204">
        <f>AE12</f>
        <v>23</v>
      </c>
      <c r="AF15" s="205"/>
      <c r="AG15" s="204"/>
      <c r="AH15" s="208"/>
      <c r="AI15" s="223"/>
      <c r="AJ15" s="223"/>
      <c r="AK15" s="223"/>
      <c r="AO15" s="224">
        <f>AO12</f>
        <v>31.54</v>
      </c>
      <c r="AQ15" s="206"/>
      <c r="AR15" s="204">
        <v>1</v>
      </c>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169</v>
      </c>
      <c r="B25" s="181" t="s">
        <v>151</v>
      </c>
      <c r="C25" s="181" t="s">
        <v>152</v>
      </c>
      <c r="D25" s="155" t="s">
        <v>63</v>
      </c>
      <c r="E25" s="156" t="s">
        <v>64</v>
      </c>
      <c r="F25" s="155" t="s">
        <v>65</v>
      </c>
      <c r="G25" s="212" t="str">
        <f>D10</f>
        <v>SYNH2CT_RAW</v>
      </c>
      <c r="H25" s="156"/>
      <c r="I25" s="109"/>
      <c r="J25" s="109"/>
      <c r="K25" s="109"/>
      <c r="L25" s="109"/>
      <c r="M25" s="109"/>
      <c r="N25" s="109"/>
      <c r="O25" s="109"/>
      <c r="P25" s="109"/>
      <c r="Q25" s="109"/>
      <c r="R25" s="109"/>
      <c r="S25" s="109"/>
      <c r="T25" s="109"/>
      <c r="U25" s="109"/>
      <c r="V25" s="109"/>
      <c r="W25" s="109"/>
      <c r="X25" s="109"/>
      <c r="Y25" s="109"/>
      <c r="Z25" s="180" t="s">
        <v>169</v>
      </c>
      <c r="AA25" s="181" t="s">
        <v>153</v>
      </c>
      <c r="AB25" s="181"/>
      <c r="AC25" s="155" t="s">
        <v>63</v>
      </c>
      <c r="AD25" s="156" t="s">
        <v>64</v>
      </c>
      <c r="AE25" s="155" t="s">
        <v>65</v>
      </c>
      <c r="AF25" s="212" t="str">
        <f>AC10</f>
        <v>SYNH2CT_RAW</v>
      </c>
      <c r="AG25" s="156"/>
      <c r="AH25" s="109"/>
      <c r="AI25" s="109"/>
      <c r="AJ25" s="109"/>
      <c r="AK25" s="109"/>
      <c r="AL25" s="109"/>
      <c r="AM25" s="109"/>
      <c r="AN25" s="109"/>
      <c r="AO25" s="109"/>
      <c r="AP25" s="109"/>
      <c r="AQ25" s="109"/>
      <c r="AR25" s="109"/>
      <c r="AS25" s="109"/>
    </row>
    <row r="26" spans="1:45">
      <c r="A26" s="180" t="s">
        <v>169</v>
      </c>
      <c r="B26" s="181" t="s">
        <v>154</v>
      </c>
      <c r="C26" s="181" t="s">
        <v>155</v>
      </c>
      <c r="D26" s="155" t="s">
        <v>63</v>
      </c>
      <c r="E26" s="156" t="s">
        <v>64</v>
      </c>
      <c r="F26" s="155" t="s">
        <v>65</v>
      </c>
      <c r="G26" s="212" t="str">
        <f>D12</f>
        <v>SYNH2CT_RAW</v>
      </c>
      <c r="H26" s="181"/>
      <c r="I26" s="194"/>
      <c r="J26" s="109"/>
      <c r="K26" s="109"/>
      <c r="L26" s="109"/>
      <c r="M26" s="109"/>
      <c r="N26" s="109"/>
      <c r="O26" s="109"/>
      <c r="P26" s="109"/>
      <c r="Q26" s="109"/>
      <c r="R26" s="109"/>
      <c r="S26" s="109"/>
      <c r="T26" s="109"/>
      <c r="U26" s="109"/>
      <c r="V26" s="109"/>
      <c r="W26" s="109"/>
      <c r="X26" s="109"/>
      <c r="Y26" s="109"/>
      <c r="Z26" s="180" t="s">
        <v>169</v>
      </c>
      <c r="AA26" s="181" t="s">
        <v>156</v>
      </c>
      <c r="AB26" s="181"/>
      <c r="AC26" s="155" t="s">
        <v>63</v>
      </c>
      <c r="AD26" s="156" t="s">
        <v>64</v>
      </c>
      <c r="AE26" s="155" t="s">
        <v>65</v>
      </c>
      <c r="AF26" s="212" t="str">
        <f>AC12</f>
        <v>SYNH2CT_RAW</v>
      </c>
      <c r="AG26" s="181"/>
      <c r="AH26" s="194"/>
      <c r="AI26" s="109"/>
      <c r="AJ26" s="109"/>
      <c r="AK26" s="109"/>
      <c r="AL26" s="109"/>
      <c r="AM26" s="109"/>
      <c r="AN26" s="109"/>
      <c r="AO26" s="109"/>
      <c r="AP26" s="109"/>
      <c r="AQ26" s="109"/>
      <c r="AR26" s="109"/>
      <c r="AS26" s="109"/>
    </row>
    <row r="27" spans="1:45">
      <c r="A27" s="180" t="s">
        <v>111</v>
      </c>
      <c r="B27" s="181" t="str">
        <f>A14</f>
        <v>P_STH2SUG</v>
      </c>
      <c r="C27" s="181" t="s">
        <v>170</v>
      </c>
      <c r="D27" s="155" t="s">
        <v>63</v>
      </c>
      <c r="E27" s="156" t="s">
        <v>64</v>
      </c>
      <c r="F27" s="155" t="s">
        <v>65</v>
      </c>
      <c r="G27" s="212"/>
      <c r="H27" s="118"/>
      <c r="I27" s="109"/>
      <c r="J27" s="109"/>
      <c r="K27" s="109"/>
      <c r="L27" s="109"/>
      <c r="M27" s="109"/>
      <c r="N27" s="109"/>
      <c r="O27" s="109"/>
      <c r="P27" s="109"/>
      <c r="Q27" s="109"/>
      <c r="R27" s="109"/>
      <c r="S27" s="109"/>
      <c r="T27" s="109"/>
      <c r="U27" s="109"/>
      <c r="V27" s="109"/>
      <c r="W27" s="109"/>
      <c r="X27" s="109"/>
      <c r="Y27" s="109"/>
      <c r="Z27" s="180" t="s">
        <v>111</v>
      </c>
      <c r="AA27" s="181" t="str">
        <f>Z14</f>
        <v>P_STH2SLH2</v>
      </c>
      <c r="AB27" s="181"/>
      <c r="AC27" s="155" t="s">
        <v>63</v>
      </c>
      <c r="AD27" s="156" t="s">
        <v>64</v>
      </c>
      <c r="AE27" s="155" t="s">
        <v>65</v>
      </c>
      <c r="AF27" s="212"/>
      <c r="AG27" s="118"/>
      <c r="AH27" s="109"/>
      <c r="AI27" s="109"/>
      <c r="AJ27" s="109"/>
      <c r="AK27" s="109"/>
      <c r="AL27" s="109"/>
      <c r="AM27" s="109"/>
      <c r="AN27" s="109"/>
      <c r="AO27" s="109"/>
      <c r="AP27" s="109"/>
      <c r="AQ27" s="109"/>
      <c r="AR27" s="109"/>
      <c r="AS27" s="109"/>
    </row>
    <row r="28" spans="1:45">
      <c r="A28" s="180" t="s">
        <v>111</v>
      </c>
      <c r="B28" s="181" t="str">
        <f>A15</f>
        <v>P_STH2SGT</v>
      </c>
      <c r="C28" s="181" t="s">
        <v>171</v>
      </c>
      <c r="D28" s="155" t="s">
        <v>63</v>
      </c>
      <c r="E28" s="156" t="s">
        <v>64</v>
      </c>
      <c r="F28" s="155" t="s">
        <v>65</v>
      </c>
      <c r="G28" s="212"/>
      <c r="H28" s="118"/>
      <c r="I28" s="109"/>
      <c r="J28" s="109"/>
      <c r="K28" s="109"/>
      <c r="L28" s="109"/>
      <c r="M28" s="109"/>
      <c r="N28" s="109"/>
      <c r="O28" s="109"/>
      <c r="P28" s="109"/>
      <c r="Q28" s="109"/>
      <c r="R28" s="109"/>
      <c r="S28" s="109"/>
      <c r="T28" s="109"/>
      <c r="U28" s="109"/>
      <c r="V28" s="109"/>
      <c r="W28" s="109"/>
      <c r="X28" s="109"/>
      <c r="Y28" s="109"/>
      <c r="Z28" s="180" t="s">
        <v>111</v>
      </c>
      <c r="AA28" s="181" t="str">
        <f>Z15</f>
        <v>P_STH2SNH3</v>
      </c>
      <c r="AB28" s="181"/>
      <c r="AC28" s="155" t="s">
        <v>63</v>
      </c>
      <c r="AD28" s="156" t="s">
        <v>64</v>
      </c>
      <c r="AE28" s="155" t="s">
        <v>65</v>
      </c>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82</v>
      </c>
      <c r="B37" s="156" t="str">
        <f>D14</f>
        <v>AUX_STH2SUG</v>
      </c>
      <c r="C37" s="156" t="s">
        <v>172</v>
      </c>
      <c r="D37" s="118" t="s">
        <v>63</v>
      </c>
      <c r="E37" s="117"/>
      <c r="F37" s="118" t="s">
        <v>65</v>
      </c>
      <c r="G37" s="118"/>
      <c r="H37" s="118"/>
      <c r="Z37" s="181" t="s">
        <v>82</v>
      </c>
      <c r="AA37" s="156" t="str">
        <f>AC14</f>
        <v>AUX_STH2SLH2</v>
      </c>
      <c r="AB37" s="156" t="s">
        <v>172</v>
      </c>
      <c r="AC37" s="118" t="s">
        <v>63</v>
      </c>
      <c r="AD37" s="117" t="s">
        <v>173</v>
      </c>
      <c r="AE37" s="118" t="s">
        <v>65</v>
      </c>
      <c r="AF37" s="118"/>
      <c r="AG37" s="118"/>
    </row>
    <row r="38" spans="1:33">
      <c r="A38" s="181" t="s">
        <v>82</v>
      </c>
      <c r="B38" s="156" t="str">
        <f>D15</f>
        <v>AUX_STH2SGT</v>
      </c>
      <c r="C38" s="156" t="s">
        <v>174</v>
      </c>
      <c r="D38" s="118" t="s">
        <v>63</v>
      </c>
      <c r="E38" s="117"/>
      <c r="F38" s="118" t="s">
        <v>65</v>
      </c>
      <c r="G38" s="118"/>
      <c r="H38" s="118"/>
      <c r="Z38" s="181" t="s">
        <v>82</v>
      </c>
      <c r="AA38" s="156" t="str">
        <f>AC15</f>
        <v>AUX_STH2SNH3</v>
      </c>
      <c r="AB38" s="156" t="s">
        <v>174</v>
      </c>
      <c r="AC38" s="118" t="s">
        <v>63</v>
      </c>
      <c r="AD38" s="117" t="s">
        <v>173</v>
      </c>
      <c r="AE38" s="118" t="s">
        <v>65</v>
      </c>
      <c r="AF38" s="118"/>
      <c r="AG38" s="118"/>
    </row>
    <row r="39" spans="1:8">
      <c r="A39" s="181" t="s">
        <v>82</v>
      </c>
      <c r="B39" s="156" t="str">
        <f>D10</f>
        <v>SYNH2CT_RAW</v>
      </c>
      <c r="C39" s="156"/>
      <c r="D39" s="118" t="s">
        <v>63</v>
      </c>
      <c r="E39" s="117"/>
      <c r="F39" s="118" t="s">
        <v>65</v>
      </c>
      <c r="G39" s="118"/>
      <c r="H39" s="118"/>
    </row>
    <row r="40" spans="1:6">
      <c r="A40" s="181" t="s">
        <v>82</v>
      </c>
      <c r="B40" t="str">
        <f>D12</f>
        <v>SYNH2CT_RAW</v>
      </c>
      <c r="D40" s="118" t="s">
        <v>63</v>
      </c>
      <c r="E40" s="117"/>
      <c r="F40" s="118" t="s">
        <v>65</v>
      </c>
    </row>
    <row r="41" spans="1:6">
      <c r="A41" s="181" t="s">
        <v>82</v>
      </c>
      <c r="B41" t="str">
        <f>AC10</f>
        <v>SYNH2CT_RAW</v>
      </c>
      <c r="D41" s="118" t="s">
        <v>63</v>
      </c>
      <c r="E41" s="117"/>
      <c r="F41" s="118" t="s">
        <v>65</v>
      </c>
    </row>
    <row r="42" spans="1:6">
      <c r="A42" s="181" t="s">
        <v>82</v>
      </c>
      <c r="B42" t="str">
        <f>AC12</f>
        <v>SYNH2CT_RAW</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W48"/>
  <sheetViews>
    <sheetView zoomScale="70" zoomScaleNormal="70" workbookViewId="0">
      <selection activeCell="B36" sqref="B3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175</v>
      </c>
      <c r="C1" t="s">
        <v>176</v>
      </c>
    </row>
    <row r="3" ht="13" spans="7:7">
      <c r="G3" s="110" t="s">
        <v>12</v>
      </c>
    </row>
    <row r="4" spans="1:23">
      <c r="A4" s="165" t="s">
        <v>177</v>
      </c>
      <c r="B4" s="165" t="s">
        <v>178</v>
      </c>
      <c r="C4" t="s">
        <v>14</v>
      </c>
      <c r="D4" t="s">
        <v>15</v>
      </c>
      <c r="E4" t="s">
        <v>16</v>
      </c>
      <c r="F4" t="s">
        <v>107</v>
      </c>
      <c r="G4" t="s">
        <v>17</v>
      </c>
      <c r="H4" t="s">
        <v>107</v>
      </c>
      <c r="I4" t="s">
        <v>42</v>
      </c>
      <c r="J4" t="s">
        <v>107</v>
      </c>
      <c r="K4" t="s">
        <v>107</v>
      </c>
      <c r="L4" t="s">
        <v>107</v>
      </c>
      <c r="M4" t="s">
        <v>107</v>
      </c>
      <c r="N4" t="s">
        <v>140</v>
      </c>
      <c r="O4" t="s">
        <v>179</v>
      </c>
      <c r="P4" t="s">
        <v>180</v>
      </c>
      <c r="Q4" t="s">
        <v>9</v>
      </c>
      <c r="R4" t="s">
        <v>181</v>
      </c>
      <c r="S4" t="s">
        <v>182</v>
      </c>
      <c r="T4" t="s">
        <v>28</v>
      </c>
      <c r="U4" t="s">
        <v>29</v>
      </c>
      <c r="V4" t="s">
        <v>30</v>
      </c>
      <c r="W4" t="s">
        <v>122</v>
      </c>
    </row>
    <row r="5" spans="1:20">
      <c r="A5" s="165"/>
      <c r="B5" s="165"/>
      <c r="C5" t="s">
        <v>31</v>
      </c>
      <c r="D5" t="s">
        <v>32</v>
      </c>
      <c r="E5" t="s">
        <v>33</v>
      </c>
      <c r="G5" t="s">
        <v>34</v>
      </c>
      <c r="T5" t="s">
        <v>36</v>
      </c>
    </row>
    <row r="6" spans="1:23">
      <c r="A6" s="165"/>
      <c r="B6" s="165">
        <v>1</v>
      </c>
      <c r="C6" s="179" t="s">
        <v>183</v>
      </c>
      <c r="E6" t="s">
        <v>83</v>
      </c>
      <c r="G6" t="s">
        <v>37</v>
      </c>
      <c r="Q6">
        <f>8333*1.35/10^6</f>
        <v>0.01124955</v>
      </c>
      <c r="T6">
        <v>40</v>
      </c>
      <c r="U6">
        <v>2021</v>
      </c>
      <c r="V6">
        <v>1</v>
      </c>
      <c r="W6">
        <v>1</v>
      </c>
    </row>
    <row r="7" spans="1:3">
      <c r="A7" s="165" t="s">
        <v>38</v>
      </c>
      <c r="B7" s="165">
        <f>[2]PrimaryProdTech!$G$75</f>
        <v>0.00278251409563062</v>
      </c>
      <c r="C7" t="s">
        <v>107</v>
      </c>
    </row>
    <row r="8" spans="1:3">
      <c r="A8" s="165"/>
      <c r="B8" s="165"/>
      <c r="C8" t="s">
        <v>107</v>
      </c>
    </row>
    <row r="9" spans="1:23">
      <c r="A9" s="165"/>
      <c r="B9" s="165">
        <v>1</v>
      </c>
      <c r="C9" t="s">
        <v>184</v>
      </c>
      <c r="E9" t="s">
        <v>83</v>
      </c>
      <c r="G9" t="s">
        <v>37</v>
      </c>
      <c r="Q9">
        <f>1.2*Q6</f>
        <v>0.01349946</v>
      </c>
      <c r="T9">
        <v>40</v>
      </c>
      <c r="U9">
        <v>2021</v>
      </c>
      <c r="V9">
        <v>1</v>
      </c>
      <c r="W9">
        <v>1</v>
      </c>
    </row>
    <row r="10" spans="1:3">
      <c r="A10" s="165" t="s">
        <v>38</v>
      </c>
      <c r="B10" s="165">
        <v>0.236</v>
      </c>
      <c r="C10" t="s">
        <v>107</v>
      </c>
    </row>
    <row r="11" spans="1:3">
      <c r="A11" s="165" t="s">
        <v>185</v>
      </c>
      <c r="B11" s="165">
        <v>0.003</v>
      </c>
      <c r="C11" t="s">
        <v>107</v>
      </c>
    </row>
    <row r="12" spans="1:23">
      <c r="A12" s="165"/>
      <c r="B12" s="165">
        <v>1</v>
      </c>
      <c r="C12" t="s">
        <v>186</v>
      </c>
      <c r="E12" t="s">
        <v>83</v>
      </c>
      <c r="G12" t="s">
        <v>37</v>
      </c>
      <c r="Q12">
        <f>0.2*Q6</f>
        <v>0.00224991</v>
      </c>
      <c r="T12">
        <v>40</v>
      </c>
      <c r="U12">
        <v>2021</v>
      </c>
      <c r="V12">
        <v>1</v>
      </c>
      <c r="W12">
        <v>1</v>
      </c>
    </row>
    <row r="13" spans="1:3">
      <c r="A13" s="165" t="s">
        <v>38</v>
      </c>
      <c r="B13" s="165">
        <v>0.236</v>
      </c>
      <c r="C13" t="s">
        <v>107</v>
      </c>
    </row>
    <row r="14" spans="1:3">
      <c r="A14" s="165" t="s">
        <v>185</v>
      </c>
      <c r="B14" s="165">
        <v>0.003</v>
      </c>
      <c r="C14" t="s">
        <v>107</v>
      </c>
    </row>
    <row r="15" spans="1:23">
      <c r="A15" s="165"/>
      <c r="B15" s="165">
        <v>1</v>
      </c>
      <c r="C15" s="162" t="s">
        <v>187</v>
      </c>
      <c r="E15" t="s">
        <v>83</v>
      </c>
      <c r="G15" t="s">
        <v>37</v>
      </c>
      <c r="Q15">
        <f>0.2*Q6</f>
        <v>0.00224991</v>
      </c>
      <c r="T15">
        <v>40</v>
      </c>
      <c r="U15">
        <v>2021</v>
      </c>
      <c r="V15">
        <v>1</v>
      </c>
      <c r="W15">
        <v>1</v>
      </c>
    </row>
    <row r="16" spans="1:23">
      <c r="A16" s="165" t="s">
        <v>38</v>
      </c>
      <c r="B16" s="165">
        <v>0.236</v>
      </c>
      <c r="C16" t="str">
        <f>E39</f>
        <v>SDEL_NH_2</v>
      </c>
      <c r="E16" t="str">
        <f>E15</f>
        <v>SYNH2CT_RAW</v>
      </c>
      <c r="G16" t="s">
        <v>188</v>
      </c>
      <c r="Q16">
        <f>Q15</f>
        <v>0.00224991</v>
      </c>
      <c r="T16">
        <f>T15</f>
        <v>40</v>
      </c>
      <c r="U16">
        <f>U15</f>
        <v>2021</v>
      </c>
      <c r="V16">
        <f>V15</f>
        <v>1</v>
      </c>
      <c r="W16">
        <v>1</v>
      </c>
    </row>
    <row r="17" spans="1:2">
      <c r="A17" s="165" t="s">
        <v>185</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80" t="s">
        <v>111</v>
      </c>
      <c r="E35" s="181" t="str">
        <f>C6</f>
        <v>SDEL_UG</v>
      </c>
      <c r="F35" s="180"/>
      <c r="G35" s="155" t="s">
        <v>63</v>
      </c>
      <c r="H35" s="156" t="s">
        <v>128</v>
      </c>
      <c r="I35" s="155"/>
      <c r="J35" s="155"/>
    </row>
    <row r="36" spans="5:9">
      <c r="E36" s="181" t="str">
        <f>C9</f>
        <v>SDEL_GT</v>
      </c>
      <c r="G36" s="155" t="s">
        <v>63</v>
      </c>
      <c r="H36" s="156" t="s">
        <v>128</v>
      </c>
      <c r="I36" s="155"/>
    </row>
    <row r="37" spans="5:9">
      <c r="E37" s="181" t="str">
        <f>C12</f>
        <v>SDEL_LH</v>
      </c>
      <c r="G37" s="155" t="s">
        <v>63</v>
      </c>
      <c r="H37" s="156" t="s">
        <v>128</v>
      </c>
      <c r="I37" s="155"/>
    </row>
    <row r="38" spans="5:9">
      <c r="E38" s="181" t="str">
        <f>C15</f>
        <v>SDEL_NH</v>
      </c>
      <c r="G38" s="155" t="s">
        <v>63</v>
      </c>
      <c r="H38" s="156" t="s">
        <v>128</v>
      </c>
      <c r="I38" s="155"/>
    </row>
    <row r="39" spans="5:8">
      <c r="E39" t="s">
        <v>189</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2" t="s">
        <v>75</v>
      </c>
      <c r="E47" s="182" t="s">
        <v>76</v>
      </c>
      <c r="F47" s="182" t="s">
        <v>77</v>
      </c>
      <c r="G47" s="182" t="s">
        <v>70</v>
      </c>
      <c r="H47" s="182" t="s">
        <v>78</v>
      </c>
      <c r="I47" s="182" t="s">
        <v>79</v>
      </c>
      <c r="J47" s="182" t="s">
        <v>80</v>
      </c>
      <c r="K47" s="182" t="s">
        <v>81</v>
      </c>
    </row>
    <row r="48" spans="4:11">
      <c r="D48" s="181"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zoomScale="81" zoomScaleNormal="81" topLeftCell="P1" workbookViewId="0">
      <selection activeCell="V6" sqref="V6"/>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ht="13" spans="1:29">
      <c r="A1" s="166" t="s">
        <v>190</v>
      </c>
      <c r="T1" s="107"/>
      <c r="U1" s="107" t="s">
        <v>191</v>
      </c>
      <c r="V1" s="107"/>
      <c r="W1" s="107" t="s">
        <v>192</v>
      </c>
      <c r="X1" s="107"/>
      <c r="Y1" s="107" t="s">
        <v>193</v>
      </c>
      <c r="Z1" s="107"/>
      <c r="AA1" s="107"/>
      <c r="AB1" s="107"/>
      <c r="AC1" s="107"/>
    </row>
    <row r="2" spans="19:29">
      <c r="S2" s="177" t="s">
        <v>194</v>
      </c>
      <c r="T2">
        <v>2020</v>
      </c>
      <c r="U2" s="107">
        <f>21.7/1000000/(33.3/277.78)*10^6</f>
        <v>181.015795795796</v>
      </c>
      <c r="V2" s="178">
        <f>5.4/1000000/(33.3/277.78)*10^6</f>
        <v>45.0454054054054</v>
      </c>
      <c r="W2" s="107">
        <f>9/1000000/(33.3/277.78)*10^6</f>
        <v>75.0756756756757</v>
      </c>
      <c r="X2" s="178">
        <f>5.3/1000000/(33.3/277.78)*10^6</f>
        <v>44.2112312312312</v>
      </c>
      <c r="Y2" s="107">
        <f>21/1000000/(33.3/277.78)*10^6</f>
        <v>175.176576576577</v>
      </c>
      <c r="Z2" s="107"/>
      <c r="AA2" s="178">
        <f>23.1/1000000/(33.3/277.78)*10^6</f>
        <v>192.694234234234</v>
      </c>
      <c r="AB2" s="178">
        <f>26.6/1000000/(33.3/277.78)*10^6</f>
        <v>221.89033033033</v>
      </c>
      <c r="AC2" s="178">
        <f>22.1/1000000/(33.3/277.78)*10^6</f>
        <v>184.352492492493</v>
      </c>
    </row>
    <row r="3" spans="1:29">
      <c r="A3" s="167" t="s">
        <v>195</v>
      </c>
      <c r="H3" s="165">
        <f>33.3/277777777.77778</f>
        <v>1.19879999999999e-7</v>
      </c>
      <c r="T3">
        <v>2030</v>
      </c>
      <c r="U3" s="107">
        <f>22.7/1000000/(33.3/277.78)*10^6</f>
        <v>189.357537537538</v>
      </c>
      <c r="V3" s="178">
        <f>4.4/1000000/(33.3/277.78)*10^6</f>
        <v>36.7036636636637</v>
      </c>
      <c r="W3" s="107">
        <f>9/1000000/(33.3/277.78)*10^6</f>
        <v>75.0756756756757</v>
      </c>
      <c r="X3" s="178">
        <f>5.2/1000000/(33.3/277.78)*10^6</f>
        <v>43.3770570570571</v>
      </c>
      <c r="Y3" s="107">
        <f>20/1000000/(33.3/277.78)*10^6</f>
        <v>166.834834834835</v>
      </c>
      <c r="Z3" s="107"/>
      <c r="AA3" s="178">
        <f>4.8/1000000/(33.3/277.78)*10^6</f>
        <v>40.0403603603604</v>
      </c>
      <c r="AB3" s="178">
        <f>4.9/1000000/(33.3/277.78)*10^6</f>
        <v>40.8745345345345</v>
      </c>
      <c r="AC3" s="178">
        <f>6.1/1000000/(33.3/277.78)*10^6</f>
        <v>50.8846246246246</v>
      </c>
    </row>
    <row r="4" spans="20:29">
      <c r="T4">
        <v>2050</v>
      </c>
      <c r="U4" s="107">
        <f>23/1000000/(33.3/277.78)*10^6</f>
        <v>191.86006006006</v>
      </c>
      <c r="V4" s="178">
        <f>4.1/1000000/(33.3/277.78)*10^6</f>
        <v>34.2011411411411</v>
      </c>
      <c r="W4" s="107">
        <f>9/1000000/(33.3/277.78)*10^6</f>
        <v>75.0756756756757</v>
      </c>
      <c r="X4" s="178">
        <f>5.2/1000000/(33.3/277.78)*10^6</f>
        <v>43.3770570570571</v>
      </c>
      <c r="Y4" s="107">
        <f>18/1000000/(33.3/277.78)*10^6</f>
        <v>150.151351351351</v>
      </c>
      <c r="Z4" s="107"/>
      <c r="AA4" s="178">
        <f>0/1000000/(33.3/277.78)*10^6</f>
        <v>0</v>
      </c>
      <c r="AB4" s="178">
        <f>0/1000000/(33.3/277.78)*10^6</f>
        <v>0</v>
      </c>
      <c r="AC4" s="178">
        <f>1.8/1000000/(33.3/277.78)*10^6</f>
        <v>15.0151351351351</v>
      </c>
    </row>
    <row r="7" ht="67" customHeight="1" spans="5:9">
      <c r="E7" s="165" t="s">
        <v>196</v>
      </c>
      <c r="G7" s="168" t="s">
        <v>197</v>
      </c>
      <c r="H7" s="168" t="s">
        <v>198</v>
      </c>
      <c r="I7" s="165" t="s">
        <v>199</v>
      </c>
    </row>
    <row r="8" ht="14.5" spans="2:11">
      <c r="B8" s="169"/>
      <c r="C8" s="170"/>
      <c r="D8" s="171"/>
      <c r="E8" s="171"/>
      <c r="F8" s="171"/>
      <c r="G8" s="171"/>
      <c r="H8" s="171"/>
      <c r="I8" s="171"/>
      <c r="J8" s="171"/>
      <c r="K8" s="171"/>
    </row>
    <row r="9" ht="26.75" spans="2:11">
      <c r="B9" s="172" t="s">
        <v>68</v>
      </c>
      <c r="C9" s="173" t="s">
        <v>200</v>
      </c>
      <c r="D9" s="173" t="s">
        <v>201</v>
      </c>
      <c r="E9" s="173" t="s">
        <v>37</v>
      </c>
      <c r="F9" s="174"/>
      <c r="G9" s="174"/>
      <c r="H9" s="174"/>
      <c r="I9" s="174"/>
      <c r="J9" s="174"/>
      <c r="K9" s="174"/>
    </row>
    <row r="10" ht="26" spans="2:11">
      <c r="B10" s="175" t="s">
        <v>106</v>
      </c>
      <c r="C10" s="176">
        <v>88.42176</v>
      </c>
      <c r="D10" s="176">
        <f>C10</f>
        <v>88.42176</v>
      </c>
      <c r="E10" s="176">
        <f>D10</f>
        <v>88.42176</v>
      </c>
      <c r="F10" s="176"/>
      <c r="G10" s="176"/>
      <c r="H10" s="176"/>
      <c r="I10" s="176"/>
      <c r="J10" s="176"/>
      <c r="K10" s="176"/>
    </row>
  </sheetData>
  <pageMargins left="0.7" right="0.7" top="0.75" bottom="0.75" header="0.3" footer="0.3"/>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202</v>
      </c>
      <c r="D3" s="108" t="s">
        <v>203</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97</v>
      </c>
      <c r="H7" s="114" t="s">
        <v>42</v>
      </c>
      <c r="I7" s="114" t="s">
        <v>143</v>
      </c>
      <c r="J7" s="114" t="s">
        <v>102</v>
      </c>
      <c r="K7" s="114" t="s">
        <v>204</v>
      </c>
      <c r="L7" s="114" t="s">
        <v>205</v>
      </c>
      <c r="M7" s="114" t="s">
        <v>140</v>
      </c>
      <c r="N7" s="114" t="s">
        <v>179</v>
      </c>
      <c r="O7" s="114" t="s">
        <v>180</v>
      </c>
      <c r="P7" s="114" t="s">
        <v>9</v>
      </c>
      <c r="Q7" s="114" t="s">
        <v>181</v>
      </c>
      <c r="R7" s="114" t="s">
        <v>182</v>
      </c>
      <c r="S7" s="114" t="s">
        <v>28</v>
      </c>
      <c r="T7" s="142" t="s">
        <v>29</v>
      </c>
      <c r="U7" s="142" t="s">
        <v>30</v>
      </c>
    </row>
    <row r="8" ht="25" spans="2:21">
      <c r="B8" s="115" t="s">
        <v>31</v>
      </c>
      <c r="C8" s="115" t="s">
        <v>32</v>
      </c>
      <c r="D8" s="115" t="s">
        <v>33</v>
      </c>
      <c r="E8" s="115"/>
      <c r="F8" s="115" t="s">
        <v>34</v>
      </c>
      <c r="G8" s="116"/>
      <c r="H8" s="116"/>
      <c r="I8" s="116"/>
      <c r="J8" s="116" t="s">
        <v>206</v>
      </c>
      <c r="K8" s="116" t="s">
        <v>206</v>
      </c>
      <c r="L8" s="116" t="s">
        <v>206</v>
      </c>
      <c r="M8" s="116" t="s">
        <v>206</v>
      </c>
      <c r="N8" s="116" t="s">
        <v>206</v>
      </c>
      <c r="O8" s="116" t="s">
        <v>206</v>
      </c>
      <c r="P8" s="116" t="s">
        <v>207</v>
      </c>
      <c r="Q8" s="116" t="s">
        <v>207</v>
      </c>
      <c r="R8" s="116" t="s">
        <v>207</v>
      </c>
      <c r="S8" s="116" t="s">
        <v>36</v>
      </c>
      <c r="T8" s="143"/>
      <c r="U8" s="143"/>
    </row>
    <row r="9" spans="2:23">
      <c r="B9" s="117" t="s">
        <v>208</v>
      </c>
      <c r="C9" s="118" t="str">
        <f>'INPUT-Data(EUTIMES-HD)'!C3</f>
        <v>Fuel Tech - H2 Delivery from centralized production (COMP+USTOR+TR+LIQ+LSTORB+RTS+REFLL(large))</v>
      </c>
      <c r="D9" s="118" t="s">
        <v>200</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209</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185</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210</v>
      </c>
      <c r="G12" s="124"/>
      <c r="H12" s="125">
        <f>'INPUT-Data(EUTIMES-HD)'!M3</f>
        <v>1</v>
      </c>
      <c r="I12" s="138"/>
      <c r="J12" s="124"/>
      <c r="K12" s="124"/>
      <c r="L12" s="124"/>
      <c r="M12" s="124"/>
      <c r="N12" s="124"/>
      <c r="O12" s="124"/>
      <c r="P12" s="124"/>
      <c r="Q12" s="124"/>
      <c r="R12" s="124"/>
      <c r="S12" s="119"/>
      <c r="T12" s="144"/>
    </row>
    <row r="13" spans="2:23">
      <c r="B13" s="126" t="s">
        <v>211</v>
      </c>
      <c r="C13" s="127" t="str">
        <f>'INPUT-Data(EUTIMES-HD)'!C4</f>
        <v>Fuel Tech - H2 Delivery from centralized production (COMP+USTOR+TR+LIQ+LSTORB+RTS+REFLG(large))</v>
      </c>
      <c r="D13" s="127" t="s">
        <v>200</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209</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185</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212</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213</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185</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210</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213</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185</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212</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214</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215</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214</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216</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214</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212</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200</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217</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185</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212</v>
      </c>
      <c r="G37" s="124"/>
      <c r="H37" s="125">
        <f>'INPUT-Data(EUTIMES-HD)'!M10</f>
        <v>1</v>
      </c>
      <c r="I37" s="138"/>
      <c r="J37" s="124"/>
      <c r="K37" s="124"/>
      <c r="L37" s="124"/>
      <c r="M37" s="124"/>
      <c r="N37" s="124"/>
      <c r="O37" s="124"/>
      <c r="P37" s="124"/>
      <c r="Q37" s="124"/>
      <c r="R37" s="124"/>
      <c r="S37" s="119"/>
      <c r="T37" s="144"/>
    </row>
    <row r="38" spans="2:23">
      <c r="B38" s="126" t="s">
        <v>218</v>
      </c>
      <c r="C38" s="127" t="str">
        <f>'INPUT-Data(EUTIMES-HD)'!C11</f>
        <v>Fuel Tech - H2 Delivery from centralized production (COMP+USTOR+TR+DP - Residential)</v>
      </c>
      <c r="D38" s="127" t="s">
        <v>200</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214</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216</v>
      </c>
      <c r="G40" s="133"/>
      <c r="H40" s="130">
        <f>'INPUT-Data(EUTIMES-HD)'!M11</f>
        <v>1</v>
      </c>
      <c r="I40" s="139"/>
      <c r="J40" s="133"/>
      <c r="K40" s="133"/>
      <c r="L40" s="133"/>
      <c r="M40" s="133"/>
      <c r="N40" s="133"/>
      <c r="O40" s="133"/>
      <c r="P40" s="133"/>
      <c r="Q40" s="133"/>
      <c r="R40" s="133"/>
      <c r="S40" s="129"/>
      <c r="T40" s="144"/>
    </row>
    <row r="41" spans="2:23">
      <c r="B41" s="117" t="s">
        <v>219</v>
      </c>
      <c r="C41" s="118" t="str">
        <f>'INPUT-Data(EUTIMES-HD)'!C12</f>
        <v>Fuel Tech - H2 Delivery from centralized production (COMP+USTOR+TR+DP+REFGG(large))</v>
      </c>
      <c r="D41" s="118" t="s">
        <v>200</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214</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212</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109</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214</v>
      </c>
    </row>
    <row r="45" spans="2:20">
      <c r="B45" s="127"/>
      <c r="C45" s="127"/>
      <c r="D45" s="127" t="s">
        <v>200</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220</v>
      </c>
    </row>
    <row r="47" spans="2:23">
      <c r="B47" s="127"/>
      <c r="C47" s="127"/>
      <c r="D47" s="127"/>
      <c r="E47" s="127"/>
      <c r="F47" s="127" t="s">
        <v>221</v>
      </c>
      <c r="G47" s="133"/>
      <c r="H47" s="130">
        <v>1</v>
      </c>
      <c r="I47" s="139"/>
      <c r="J47" s="133"/>
      <c r="K47" s="133"/>
      <c r="L47" s="133"/>
      <c r="M47" s="133"/>
      <c r="N47" s="133"/>
      <c r="O47" s="133"/>
      <c r="P47" s="133"/>
      <c r="Q47" s="133"/>
      <c r="R47" s="133"/>
      <c r="S47" s="129"/>
      <c r="T47" s="144"/>
      <c r="W47" s="147" t="s">
        <v>222</v>
      </c>
    </row>
    <row r="48" spans="2:23">
      <c r="B48" s="118" t="str">
        <f>'INPUT-Data(EUTIMES-HD)'!B14</f>
        <v>COMGASH2C01</v>
      </c>
      <c r="C48" s="118" t="str">
        <f>'INPUT-Data(EUTIMES-HD)'!C14</f>
        <v>Fuel Tech - H2 Delivery from centralized production to blending (COMP+USTOR+TR+BLENDING+(nocosNATGASINF))-COM</v>
      </c>
      <c r="D48" s="118" t="s">
        <v>109</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214</v>
      </c>
    </row>
    <row r="49" spans="2:20">
      <c r="B49" s="118"/>
      <c r="C49" s="118"/>
      <c r="D49" s="118" t="s">
        <v>200</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220</v>
      </c>
    </row>
    <row r="51" spans="2:23">
      <c r="B51" s="118"/>
      <c r="C51" s="118"/>
      <c r="D51" s="118"/>
      <c r="E51" s="118"/>
      <c r="F51" s="118" t="s">
        <v>223</v>
      </c>
      <c r="G51" s="124"/>
      <c r="H51" s="125">
        <v>1</v>
      </c>
      <c r="I51" s="138"/>
      <c r="J51" s="124"/>
      <c r="K51" s="124"/>
      <c r="L51" s="124"/>
      <c r="M51" s="124"/>
      <c r="N51" s="124"/>
      <c r="O51" s="124"/>
      <c r="P51" s="124"/>
      <c r="Q51" s="124"/>
      <c r="R51" s="124"/>
      <c r="S51" s="119"/>
      <c r="T51" s="144"/>
      <c r="W51" s="147" t="s">
        <v>222</v>
      </c>
    </row>
    <row r="52" spans="2:23">
      <c r="B52" s="127" t="str">
        <f>'INPUT-Data(EUTIMES-HD)'!B15</f>
        <v>AGRGASH2C01</v>
      </c>
      <c r="C52" s="127" t="str">
        <f>'INPUT-Data(EUTIMES-HD)'!C15</f>
        <v>Fuel Tech - H2 Delivery from centralized production to blending (COMP+USTOR+TR+BLENDING+(nocosNATGASINF))-AGR</v>
      </c>
      <c r="D52" s="127" t="s">
        <v>109</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214</v>
      </c>
    </row>
    <row r="53" spans="2:20">
      <c r="B53" s="127"/>
      <c r="C53" s="127"/>
      <c r="D53" s="127" t="s">
        <v>200</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220</v>
      </c>
    </row>
    <row r="55" spans="2:23">
      <c r="B55" s="127"/>
      <c r="C55" s="127"/>
      <c r="D55" s="127"/>
      <c r="E55" s="127"/>
      <c r="F55" s="127" t="s">
        <v>224</v>
      </c>
      <c r="G55" s="133"/>
      <c r="H55" s="130">
        <v>1</v>
      </c>
      <c r="I55" s="139"/>
      <c r="J55" s="133"/>
      <c r="K55" s="133"/>
      <c r="L55" s="133"/>
      <c r="M55" s="133"/>
      <c r="N55" s="133"/>
      <c r="O55" s="133"/>
      <c r="P55" s="133"/>
      <c r="Q55" s="133"/>
      <c r="R55" s="133"/>
      <c r="S55" s="129"/>
      <c r="T55" s="144"/>
      <c r="W55" s="147" t="s">
        <v>222</v>
      </c>
    </row>
    <row r="56" spans="2:23">
      <c r="B56" s="118" t="str">
        <f>'INPUT-Data(EUTIMES-HD)'!B16</f>
        <v>TRAGASH2C01</v>
      </c>
      <c r="C56" s="118" t="str">
        <f>'INPUT-Data(EUTIMES-HD)'!C16</f>
        <v>Fuel Tech - H2 Delivery from centralized production to blending (COMP+USTOR+TR+BLENDING+(nocosNATGASINF))-TRA</v>
      </c>
      <c r="D56" s="118" t="s">
        <v>109</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214</v>
      </c>
    </row>
    <row r="57" spans="2:20">
      <c r="B57" s="118"/>
      <c r="C57" s="118"/>
      <c r="D57" s="118" t="s">
        <v>200</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220</v>
      </c>
    </row>
    <row r="59" spans="2:23">
      <c r="B59" s="118"/>
      <c r="C59" s="118"/>
      <c r="D59" s="118"/>
      <c r="E59" s="118"/>
      <c r="F59" s="118" t="s">
        <v>225</v>
      </c>
      <c r="G59" s="124"/>
      <c r="H59" s="125">
        <v>1</v>
      </c>
      <c r="I59" s="138"/>
      <c r="J59" s="124"/>
      <c r="K59" s="124"/>
      <c r="L59" s="124"/>
      <c r="M59" s="124"/>
      <c r="N59" s="124"/>
      <c r="O59" s="124"/>
      <c r="P59" s="124"/>
      <c r="Q59" s="124"/>
      <c r="R59" s="124"/>
      <c r="S59" s="119"/>
      <c r="T59" s="144"/>
      <c r="W59" s="147" t="s">
        <v>222</v>
      </c>
    </row>
    <row r="60" spans="2:23">
      <c r="B60" s="127" t="str">
        <f>'INPUT-Data(EUTIMES-HD)'!B17</f>
        <v>INDGASH2C01</v>
      </c>
      <c r="C60" s="127" t="str">
        <f>'INPUT-Data(EUTIMES-HD)'!C17</f>
        <v>Fuel Tech - H2 Delivery from centralized production to blending (COMP+USTOR+TR+BLENDING+(nocosNATGASINF))-IND</v>
      </c>
      <c r="D60" s="127" t="s">
        <v>109</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214</v>
      </c>
    </row>
    <row r="61" spans="2:20">
      <c r="B61" s="127"/>
      <c r="C61" s="127"/>
      <c r="D61" s="127" t="s">
        <v>200</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220</v>
      </c>
    </row>
    <row r="63" spans="2:23">
      <c r="B63" s="127"/>
      <c r="C63" s="127"/>
      <c r="D63" s="127"/>
      <c r="E63" s="127"/>
      <c r="F63" s="127" t="s">
        <v>226</v>
      </c>
      <c r="G63" s="133"/>
      <c r="H63" s="130">
        <v>1</v>
      </c>
      <c r="I63" s="139"/>
      <c r="J63" s="133"/>
      <c r="K63" s="133"/>
      <c r="L63" s="133"/>
      <c r="M63" s="133"/>
      <c r="N63" s="133"/>
      <c r="O63" s="133"/>
      <c r="P63" s="133"/>
      <c r="Q63" s="133"/>
      <c r="R63" s="133"/>
      <c r="S63" s="129"/>
      <c r="T63" s="144"/>
      <c r="W63" s="147" t="s">
        <v>222</v>
      </c>
    </row>
    <row r="64" spans="2:23">
      <c r="B64" s="118" t="str">
        <f>'INPUT-Data(EUTIMES-HD)'!B18</f>
        <v>ELCGASH2C01</v>
      </c>
      <c r="C64" s="118" t="str">
        <f>'INPUT-Data(EUTIMES-HD)'!C18</f>
        <v>Fuel Tech - H2 Delivery from centralized production to blending (COMP+USTOR+TR+BLENDING+(nocosNATGASINF))-ELC</v>
      </c>
      <c r="D64" s="118" t="s">
        <v>109</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214</v>
      </c>
    </row>
    <row r="65" spans="2:20">
      <c r="B65" s="118"/>
      <c r="C65" s="118"/>
      <c r="D65" s="118" t="s">
        <v>200</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220</v>
      </c>
    </row>
    <row r="67" spans="2:23">
      <c r="B67" s="118"/>
      <c r="C67" s="118"/>
      <c r="D67" s="118"/>
      <c r="E67" s="118"/>
      <c r="F67" s="118" t="s">
        <v>227</v>
      </c>
      <c r="G67" s="124"/>
      <c r="H67" s="125">
        <v>1</v>
      </c>
      <c r="I67" s="138"/>
      <c r="J67" s="124"/>
      <c r="K67" s="124"/>
      <c r="L67" s="124"/>
      <c r="M67" s="124"/>
      <c r="N67" s="124"/>
      <c r="O67" s="124"/>
      <c r="P67" s="124"/>
      <c r="Q67" s="124"/>
      <c r="R67" s="124"/>
      <c r="S67" s="119"/>
      <c r="T67" s="144"/>
      <c r="W67" s="147" t="s">
        <v>222</v>
      </c>
    </row>
    <row r="68" spans="2:23">
      <c r="B68" s="127" t="str">
        <f>'INPUT-Data(EUTIMES-HD)'!B19</f>
        <v>SUPGASH2C01</v>
      </c>
      <c r="C68" s="127" t="str">
        <f>'INPUT-Data(EUTIMES-HD)'!C19</f>
        <v>Fuel Tech - H2 Delivery from centralized production to blending (COMP+USTOR+TR+BLENDING+(nocosNATGASINF))-SUP</v>
      </c>
      <c r="D68" s="127" t="s">
        <v>109</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214</v>
      </c>
    </row>
    <row r="69" spans="2:20">
      <c r="B69" s="127"/>
      <c r="C69" s="127"/>
      <c r="D69" s="127" t="s">
        <v>200</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220</v>
      </c>
    </row>
    <row r="71" spans="2:23">
      <c r="B71" s="148"/>
      <c r="C71" s="148"/>
      <c r="D71" s="148"/>
      <c r="E71" s="148"/>
      <c r="F71" s="148" t="s">
        <v>228</v>
      </c>
      <c r="G71" s="149"/>
      <c r="H71" s="150">
        <v>1</v>
      </c>
      <c r="I71" s="160"/>
      <c r="J71" s="149"/>
      <c r="K71" s="149"/>
      <c r="L71" s="149"/>
      <c r="M71" s="149"/>
      <c r="N71" s="149"/>
      <c r="O71" s="149"/>
      <c r="P71" s="149"/>
      <c r="Q71" s="149"/>
      <c r="R71" s="149"/>
      <c r="S71" s="163"/>
      <c r="T71" s="144"/>
      <c r="W71" s="147" t="s">
        <v>222</v>
      </c>
    </row>
    <row r="72" spans="2:23">
      <c r="B72" s="118" t="str">
        <f>'INPUT-Data(EUTIMES-HD)'!B20</f>
        <v>RSDGH2D01</v>
      </c>
      <c r="C72" s="118" t="str">
        <f>'INPUT-Data(EUTIMES-HD)'!C20</f>
        <v>Fuel Tech - H2 Delivery from local production (LOCGSTORB+DP - Residential)</v>
      </c>
      <c r="D72" s="118" t="s">
        <v>201</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229</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216</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201</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229</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210</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201</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229</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212</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230</v>
      </c>
    </row>
    <row r="88" ht="13" spans="1:12">
      <c r="A88" s="113" t="s">
        <v>46</v>
      </c>
      <c r="B88" s="113" t="s">
        <v>14</v>
      </c>
      <c r="C88" s="113" t="s">
        <v>47</v>
      </c>
      <c r="D88" s="113" t="s">
        <v>48</v>
      </c>
      <c r="E88" s="113" t="s">
        <v>49</v>
      </c>
      <c r="F88" s="113" t="s">
        <v>50</v>
      </c>
      <c r="G88" s="113" t="s">
        <v>51</v>
      </c>
      <c r="I88" t="s">
        <v>231</v>
      </c>
      <c r="J88" t="s">
        <v>232</v>
      </c>
      <c r="K88">
        <v>802.34</v>
      </c>
      <c r="L88" t="s">
        <v>233</v>
      </c>
    </row>
    <row r="89" ht="50" spans="1:12">
      <c r="A89" s="154" t="s">
        <v>53</v>
      </c>
      <c r="B89" s="154" t="s">
        <v>54</v>
      </c>
      <c r="C89" s="154" t="s">
        <v>32</v>
      </c>
      <c r="D89" s="154" t="s">
        <v>55</v>
      </c>
      <c r="E89" s="154" t="s">
        <v>56</v>
      </c>
      <c r="F89" s="154" t="s">
        <v>57</v>
      </c>
      <c r="G89" s="154" t="s">
        <v>58</v>
      </c>
      <c r="J89" t="s">
        <v>234</v>
      </c>
      <c r="K89">
        <v>244</v>
      </c>
      <c r="L89" t="s">
        <v>233</v>
      </c>
    </row>
    <row r="90" spans="1:12">
      <c r="A90" s="117" t="s">
        <v>111</v>
      </c>
      <c r="B90" s="117" t="s">
        <v>208</v>
      </c>
      <c r="C90" s="117" t="str">
        <f>'INPUT-Data(EUTIMES-HD)'!C3</f>
        <v>Fuel Tech - H2 Delivery from centralized production (COMP+USTOR+TR+LIQ+LSTORB+RTS+REFLL(large))</v>
      </c>
      <c r="D90" s="155" t="s">
        <v>63</v>
      </c>
      <c r="E90" s="156" t="s">
        <v>235</v>
      </c>
      <c r="F90" s="155" t="s">
        <v>236</v>
      </c>
      <c r="G90" s="118"/>
      <c r="H90" s="118"/>
      <c r="I90" t="s">
        <v>237</v>
      </c>
      <c r="J90" t="s">
        <v>232</v>
      </c>
      <c r="K90">
        <f>K88/K98</f>
        <v>1226.77998809154</v>
      </c>
      <c r="L90" t="s">
        <v>238</v>
      </c>
    </row>
    <row r="91" spans="1:12">
      <c r="A91" s="117" t="s">
        <v>111</v>
      </c>
      <c r="B91" s="117" t="s">
        <v>211</v>
      </c>
      <c r="C91" s="117" t="str">
        <f>'INPUT-Data(EUTIMES-HD)'!C4</f>
        <v>Fuel Tech - H2 Delivery from centralized production (COMP+USTOR+TR+LIQ+LSTORB+RTS+REFLG(large))</v>
      </c>
      <c r="D91" s="155" t="s">
        <v>63</v>
      </c>
      <c r="E91" s="156" t="s">
        <v>235</v>
      </c>
      <c r="F91" s="155" t="s">
        <v>236</v>
      </c>
      <c r="G91" s="118"/>
      <c r="H91" s="118"/>
      <c r="J91" t="s">
        <v>234</v>
      </c>
      <c r="K91">
        <f>K89/K99</f>
        <v>2984.61317739946</v>
      </c>
      <c r="L91" t="s">
        <v>238</v>
      </c>
    </row>
    <row r="92" spans="1:12">
      <c r="A92" s="117" t="s">
        <v>111</v>
      </c>
      <c r="B92" s="117" t="s">
        <v>239</v>
      </c>
      <c r="C92" s="117" t="str">
        <f>'INPUT-Data(EUTIMES-HD)'!C5</f>
        <v>Fuel Tech - H2 Delivery from centralized production (COMP+TR+LIQ+LSTORB+RTS+REFLL(large))</v>
      </c>
      <c r="D92" s="155" t="s">
        <v>63</v>
      </c>
      <c r="E92" s="156" t="s">
        <v>235</v>
      </c>
      <c r="F92" s="155" t="s">
        <v>236</v>
      </c>
      <c r="G92" s="118"/>
      <c r="I92" t="s">
        <v>240</v>
      </c>
      <c r="J92" t="s">
        <v>232</v>
      </c>
      <c r="K92">
        <v>16</v>
      </c>
      <c r="L92" t="s">
        <v>241</v>
      </c>
    </row>
    <row r="93" spans="1:12">
      <c r="A93" s="117" t="s">
        <v>111</v>
      </c>
      <c r="B93" s="117" t="s">
        <v>242</v>
      </c>
      <c r="C93" s="117" t="str">
        <f>'INPUT-Data(EUTIMES-HD)'!C6</f>
        <v>Fuel Tech - H2 Delivery from centralized production (COMP+TR+LIQ+LSTORB+RTS+REFLG(large))</v>
      </c>
      <c r="D93" s="155" t="s">
        <v>63</v>
      </c>
      <c r="E93" s="156" t="s">
        <v>235</v>
      </c>
      <c r="F93" s="155" t="s">
        <v>236</v>
      </c>
      <c r="G93" s="118"/>
      <c r="J93" t="s">
        <v>234</v>
      </c>
      <c r="K93">
        <v>2</v>
      </c>
      <c r="L93" t="s">
        <v>241</v>
      </c>
    </row>
    <row r="94" spans="1:12">
      <c r="A94" s="117" t="s">
        <v>111</v>
      </c>
      <c r="B94" s="117" t="s">
        <v>243</v>
      </c>
      <c r="C94" s="117" t="str">
        <f>'INPUT-Data(EUTIMES-HD)'!C7</f>
        <v>Fuel Tech - H2 Delivery from centralized production (COMP+TR+DP - Industrial)</v>
      </c>
      <c r="D94" s="155" t="s">
        <v>63</v>
      </c>
      <c r="E94" s="156" t="s">
        <v>235</v>
      </c>
      <c r="F94" s="155" t="s">
        <v>236</v>
      </c>
      <c r="G94" s="118"/>
      <c r="I94" t="s">
        <v>244</v>
      </c>
      <c r="J94" t="s">
        <v>232</v>
      </c>
      <c r="K94">
        <v>0.94</v>
      </c>
      <c r="L94" t="s">
        <v>245</v>
      </c>
    </row>
    <row r="95" spans="1:11">
      <c r="A95" s="117" t="s">
        <v>111</v>
      </c>
      <c r="B95" s="117" t="s">
        <v>246</v>
      </c>
      <c r="C95" s="117" t="str">
        <f>'INPUT-Data(EUTIMES-HD)'!C8</f>
        <v>Fuel Tech - H2 Delivery from centralized production (COMP+TR+DP - Residential)</v>
      </c>
      <c r="D95" s="155" t="s">
        <v>63</v>
      </c>
      <c r="E95" s="156" t="s">
        <v>235</v>
      </c>
      <c r="F95" s="155" t="s">
        <v>236</v>
      </c>
      <c r="G95" s="118"/>
      <c r="J95" t="s">
        <v>234</v>
      </c>
      <c r="K95">
        <v>1.05</v>
      </c>
    </row>
    <row r="96" spans="1:13">
      <c r="A96" s="117" t="s">
        <v>111</v>
      </c>
      <c r="B96" s="117" t="s">
        <v>247</v>
      </c>
      <c r="C96" s="117" t="str">
        <f>'INPUT-Data(EUTIMES-HD)'!C9</f>
        <v>Fuel Tech - H2 Delivery from centralized production (COMP+TR+DP+REFGG(large))</v>
      </c>
      <c r="D96" s="155" t="s">
        <v>63</v>
      </c>
      <c r="E96" s="156" t="s">
        <v>235</v>
      </c>
      <c r="F96" s="155" t="s">
        <v>236</v>
      </c>
      <c r="G96" s="118"/>
      <c r="I96" t="s">
        <v>248</v>
      </c>
      <c r="J96" t="s">
        <v>232</v>
      </c>
      <c r="K96">
        <f>10000000*K92*0.001/(K94*8.314*365)</f>
        <v>56.0904913506008</v>
      </c>
      <c r="L96" t="s">
        <v>249</v>
      </c>
      <c r="M96" t="s">
        <v>245</v>
      </c>
    </row>
    <row r="97" spans="1:12">
      <c r="A97" s="117" t="s">
        <v>111</v>
      </c>
      <c r="B97" s="117" t="s">
        <v>250</v>
      </c>
      <c r="C97" s="117" t="str">
        <f>'INPUT-Data(EUTIMES-HD)'!C10</f>
        <v>Fuel Tech - H2 Delivery from centralized production (COMP+USTOR+TR+GSTORB+RTS+REFGG (small))</v>
      </c>
      <c r="D97" s="155" t="s">
        <v>63</v>
      </c>
      <c r="E97" s="156" t="s">
        <v>235</v>
      </c>
      <c r="F97" s="155" t="s">
        <v>236</v>
      </c>
      <c r="G97" s="118"/>
      <c r="J97" t="s">
        <v>234</v>
      </c>
      <c r="K97">
        <f>10000000*K93*0.001/(K95*8.314*365)</f>
        <v>6.27679307971009</v>
      </c>
      <c r="L97" t="s">
        <v>249</v>
      </c>
    </row>
    <row r="98" spans="1:13">
      <c r="A98" s="117" t="s">
        <v>111</v>
      </c>
      <c r="B98" s="117" t="s">
        <v>218</v>
      </c>
      <c r="C98" s="117" t="str">
        <f>'INPUT-Data(EUTIMES-HD)'!C11</f>
        <v>Fuel Tech - H2 Delivery from centralized production (COMP+USTOR+TR+DP - Residential)</v>
      </c>
      <c r="D98" s="155" t="s">
        <v>63</v>
      </c>
      <c r="E98" s="156" t="s">
        <v>235</v>
      </c>
      <c r="F98" s="155" t="s">
        <v>236</v>
      </c>
      <c r="G98" s="118"/>
      <c r="J98" t="s">
        <v>232</v>
      </c>
      <c r="K98">
        <f>101325*K92*0.001/(8.314*298.15)</f>
        <v>0.654021102225653</v>
      </c>
      <c r="L98" t="s">
        <v>249</v>
      </c>
      <c r="M98" t="s">
        <v>251</v>
      </c>
    </row>
    <row r="99" spans="1:12">
      <c r="A99" s="117" t="s">
        <v>111</v>
      </c>
      <c r="B99" s="117" t="s">
        <v>219</v>
      </c>
      <c r="C99" s="117" t="str">
        <f>'INPUT-Data(EUTIMES-HD)'!C12</f>
        <v>Fuel Tech - H2 Delivery from centralized production (COMP+USTOR+TR+DP+REFGG(large))</v>
      </c>
      <c r="D99" s="155" t="s">
        <v>63</v>
      </c>
      <c r="E99" s="156" t="s">
        <v>235</v>
      </c>
      <c r="F99" s="155" t="s">
        <v>236</v>
      </c>
      <c r="G99" s="118"/>
      <c r="J99" t="s">
        <v>234</v>
      </c>
      <c r="K99">
        <f>101325*K93*0.001/(8.314*298.15)</f>
        <v>0.0817526377782066</v>
      </c>
      <c r="L99" t="s">
        <v>249</v>
      </c>
    </row>
    <row r="100" spans="1:12">
      <c r="A100" s="117" t="s">
        <v>111</v>
      </c>
      <c r="B100" s="117" t="s">
        <v>252</v>
      </c>
      <c r="C100" s="117" t="str">
        <f>'INPUT-Data(EUTIMES-HD)'!C13</f>
        <v>Fuel Tech - H2 Delivery from centralized production to blending (COMP+USTOR+TR+BLENDING+(nocosNATGASINF))-RSD</v>
      </c>
      <c r="D100" s="155" t="s">
        <v>63</v>
      </c>
      <c r="E100" s="156" t="s">
        <v>235</v>
      </c>
      <c r="F100" s="155" t="s">
        <v>236</v>
      </c>
      <c r="G100" s="118"/>
      <c r="J100" t="s">
        <v>232</v>
      </c>
      <c r="K100">
        <f>K96/K92*1000</f>
        <v>3505.65570941255</v>
      </c>
      <c r="L100" t="s">
        <v>253</v>
      </c>
    </row>
    <row r="101" spans="1:12">
      <c r="A101" s="117" t="s">
        <v>111</v>
      </c>
      <c r="B101" s="117" t="s">
        <v>254</v>
      </c>
      <c r="C101" s="117" t="str">
        <f>'INPUT-Data(EUTIMES-HD)'!C14</f>
        <v>Fuel Tech - H2 Delivery from centralized production to blending (COMP+USTOR+TR+BLENDING+(nocosNATGASINF))-COM</v>
      </c>
      <c r="D101" s="155" t="s">
        <v>63</v>
      </c>
      <c r="E101" s="156" t="s">
        <v>235</v>
      </c>
      <c r="F101" s="155" t="s">
        <v>236</v>
      </c>
      <c r="G101" s="118"/>
      <c r="J101" t="s">
        <v>234</v>
      </c>
      <c r="K101">
        <f>K97/K93*1000</f>
        <v>3138.39653985505</v>
      </c>
      <c r="L101" t="s">
        <v>253</v>
      </c>
    </row>
    <row r="102" spans="1:10">
      <c r="A102" s="117" t="s">
        <v>111</v>
      </c>
      <c r="B102" s="117" t="s">
        <v>255</v>
      </c>
      <c r="C102" s="117" t="str">
        <f>'INPUT-Data(EUTIMES-HD)'!C15</f>
        <v>Fuel Tech - H2 Delivery from centralized production to blending (COMP+USTOR+TR+BLENDING+(nocosNATGASINF))-AGR</v>
      </c>
      <c r="D102" s="155" t="s">
        <v>63</v>
      </c>
      <c r="E102" s="156" t="s">
        <v>235</v>
      </c>
      <c r="F102" s="155" t="s">
        <v>236</v>
      </c>
      <c r="G102" s="118"/>
      <c r="J102" t="s">
        <v>256</v>
      </c>
    </row>
    <row r="103" spans="1:10">
      <c r="A103" s="117" t="s">
        <v>111</v>
      </c>
      <c r="B103" s="117" t="s">
        <v>257</v>
      </c>
      <c r="C103" s="117" t="str">
        <f>'INPUT-Data(EUTIMES-HD)'!C16</f>
        <v>Fuel Tech - H2 Delivery from centralized production to blending (COMP+USTOR+TR+BLENDING+(nocosNATGASINF))-TRA</v>
      </c>
      <c r="D103" s="155" t="s">
        <v>63</v>
      </c>
      <c r="E103" s="156" t="s">
        <v>235</v>
      </c>
      <c r="F103" s="155" t="s">
        <v>236</v>
      </c>
      <c r="G103" s="118"/>
      <c r="J103" s="162">
        <v>0.15</v>
      </c>
    </row>
    <row r="104" spans="1:12">
      <c r="A104" s="117" t="s">
        <v>111</v>
      </c>
      <c r="B104" s="117" t="s">
        <v>258</v>
      </c>
      <c r="C104" s="117" t="str">
        <f>'INPUT-Data(EUTIMES-HD)'!C17</f>
        <v>Fuel Tech - H2 Delivery from centralized production to blending (COMP+USTOR+TR+BLENDING+(nocosNATGASINF))-IND</v>
      </c>
      <c r="D104" s="155" t="s">
        <v>63</v>
      </c>
      <c r="E104" s="156" t="s">
        <v>235</v>
      </c>
      <c r="F104" s="155" t="s">
        <v>236</v>
      </c>
      <c r="G104" s="118"/>
      <c r="K104">
        <v>100</v>
      </c>
      <c r="L104" t="s">
        <v>259</v>
      </c>
    </row>
    <row r="105" spans="1:12">
      <c r="A105" s="117" t="s">
        <v>111</v>
      </c>
      <c r="B105" s="117" t="s">
        <v>260</v>
      </c>
      <c r="C105" s="117" t="str">
        <f>'INPUT-Data(EUTIMES-HD)'!C18</f>
        <v>Fuel Tech - H2 Delivery from centralized production to blending (COMP+USTOR+TR+BLENDING+(nocosNATGASINF))-ELC</v>
      </c>
      <c r="D105" s="155" t="s">
        <v>63</v>
      </c>
      <c r="E105" s="156" t="s">
        <v>235</v>
      </c>
      <c r="F105" s="155" t="s">
        <v>236</v>
      </c>
      <c r="G105" s="118"/>
      <c r="I105" t="s">
        <v>261</v>
      </c>
      <c r="J105" t="s">
        <v>232</v>
      </c>
      <c r="K105">
        <f>K104*(1-J103)</f>
        <v>85</v>
      </c>
      <c r="L105" t="s">
        <v>259</v>
      </c>
    </row>
    <row r="106" spans="1:12">
      <c r="A106" s="117" t="s">
        <v>111</v>
      </c>
      <c r="B106" s="117" t="s">
        <v>262</v>
      </c>
      <c r="C106" s="117" t="str">
        <f>'INPUT-Data(EUTIMES-HD)'!C19</f>
        <v>Fuel Tech - H2 Delivery from centralized production to blending (COMP+USTOR+TR+BLENDING+(nocosNATGASINF))-SUP</v>
      </c>
      <c r="D106" s="155" t="s">
        <v>63</v>
      </c>
      <c r="E106" s="156" t="s">
        <v>235</v>
      </c>
      <c r="F106" s="155" t="s">
        <v>236</v>
      </c>
      <c r="G106" s="118"/>
      <c r="J106" t="s">
        <v>234</v>
      </c>
      <c r="K106">
        <f>K104*J103</f>
        <v>15</v>
      </c>
      <c r="L106" t="s">
        <v>259</v>
      </c>
    </row>
    <row r="107" spans="1:12">
      <c r="A107" s="117" t="s">
        <v>111</v>
      </c>
      <c r="B107" s="117" t="s">
        <v>263</v>
      </c>
      <c r="C107" s="117" t="str">
        <f>'INPUT-Data(EUTIMES-HD)'!C20</f>
        <v>Fuel Tech - H2 Delivery from local production (LOCGSTORB+DP - Residential)</v>
      </c>
      <c r="D107" s="155" t="s">
        <v>63</v>
      </c>
      <c r="E107" s="156" t="s">
        <v>235</v>
      </c>
      <c r="F107" s="155" t="s">
        <v>236</v>
      </c>
      <c r="G107" s="118"/>
      <c r="I107" t="s">
        <v>264</v>
      </c>
      <c r="J107" t="s">
        <v>232</v>
      </c>
      <c r="K107">
        <f>K105*K100*K88*0.001</f>
        <v>239081.863160656</v>
      </c>
      <c r="L107" t="s">
        <v>265</v>
      </c>
    </row>
    <row r="108" spans="1:12">
      <c r="A108" s="117" t="s">
        <v>111</v>
      </c>
      <c r="B108" s="117" t="s">
        <v>266</v>
      </c>
      <c r="C108" s="117" t="str">
        <f>'INPUT-Data(EUTIMES-HD)'!C21</f>
        <v>Fuel Tech - H2 Delivery from local production (LOCGSTORB+ONSITELIQ+REFLL (large))</v>
      </c>
      <c r="D108" s="155" t="s">
        <v>63</v>
      </c>
      <c r="E108" s="156" t="s">
        <v>235</v>
      </c>
      <c r="F108" s="155" t="s">
        <v>236</v>
      </c>
      <c r="G108" s="118"/>
      <c r="J108" t="s">
        <v>234</v>
      </c>
      <c r="K108">
        <f>K106*K101*K89*0.001</f>
        <v>11486.5313358695</v>
      </c>
      <c r="L108" t="s">
        <v>265</v>
      </c>
    </row>
    <row r="109" spans="1:11">
      <c r="A109" s="117" t="s">
        <v>111</v>
      </c>
      <c r="B109" s="117" t="s">
        <v>267</v>
      </c>
      <c r="C109" s="117" t="str">
        <f>'INPUT-Data(EUTIMES-HD)'!C22</f>
        <v>Fuel Tech - H2 Delivery from local production (LOCGSTORB + REFGG (small))</v>
      </c>
      <c r="D109" s="155" t="s">
        <v>63</v>
      </c>
      <c r="E109" s="156" t="s">
        <v>235</v>
      </c>
      <c r="F109" s="155" t="s">
        <v>236</v>
      </c>
      <c r="G109" s="118"/>
      <c r="J109" t="s">
        <v>268</v>
      </c>
      <c r="K109" s="162">
        <f>K108/(K107+K108)</f>
        <v>0.0458419002083232</v>
      </c>
    </row>
    <row r="110" spans="9:12">
      <c r="I110" t="s">
        <v>237</v>
      </c>
      <c r="J110" t="s">
        <v>232</v>
      </c>
      <c r="K110">
        <f>10000000*K92*0.001*K105/(K94*8.314*365)</f>
        <v>4767.69176480107</v>
      </c>
      <c r="L110" t="s">
        <v>269</v>
      </c>
    </row>
    <row r="111" ht="13" spans="1:12">
      <c r="A111" s="152" t="s">
        <v>66</v>
      </c>
      <c r="J111" t="s">
        <v>234</v>
      </c>
      <c r="K111">
        <f>10000000*K93*0.001*K106/(K95*8.314*365)</f>
        <v>94.1518961956514</v>
      </c>
      <c r="L111" t="s">
        <v>269</v>
      </c>
    </row>
    <row r="112" spans="2:11">
      <c r="B112" s="157"/>
      <c r="C112" s="157"/>
      <c r="D112" s="157"/>
      <c r="E112" s="157"/>
      <c r="F112" s="157"/>
      <c r="G112" s="157"/>
      <c r="H112" s="157"/>
      <c r="J112" t="s">
        <v>268</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265</v>
      </c>
    </row>
    <row r="114" ht="50" spans="1:12">
      <c r="A114" s="154" t="s">
        <v>75</v>
      </c>
      <c r="B114" s="154" t="s">
        <v>76</v>
      </c>
      <c r="C114" s="154" t="s">
        <v>77</v>
      </c>
      <c r="D114" s="154" t="s">
        <v>70</v>
      </c>
      <c r="E114" s="154" t="s">
        <v>78</v>
      </c>
      <c r="F114" s="154" t="s">
        <v>79</v>
      </c>
      <c r="G114" s="154" t="s">
        <v>80</v>
      </c>
      <c r="H114" s="154" t="s">
        <v>81</v>
      </c>
      <c r="K114">
        <f>K111*K91</f>
        <v>281006.990062687</v>
      </c>
      <c r="L114" t="s">
        <v>265</v>
      </c>
    </row>
    <row r="115" spans="1:11">
      <c r="A115" s="117" t="s">
        <v>82</v>
      </c>
      <c r="B115" s="118" t="s">
        <v>216</v>
      </c>
      <c r="C115" s="118" t="s">
        <v>216</v>
      </c>
      <c r="D115" s="118" t="s">
        <v>63</v>
      </c>
      <c r="E115" s="118"/>
      <c r="F115" s="155" t="s">
        <v>236</v>
      </c>
      <c r="G115" s="118"/>
      <c r="H115" s="118"/>
      <c r="J115" t="s">
        <v>268</v>
      </c>
      <c r="K115" s="162">
        <f>K114/(K113+K114)</f>
        <v>0.0458419002083232</v>
      </c>
    </row>
    <row r="116" spans="1:8">
      <c r="A116" s="118" t="s">
        <v>82</v>
      </c>
      <c r="B116" s="118" t="s">
        <v>212</v>
      </c>
      <c r="C116" s="118" t="s">
        <v>270</v>
      </c>
      <c r="D116" s="118" t="s">
        <v>63</v>
      </c>
      <c r="E116" s="118"/>
      <c r="F116" s="155" t="s">
        <v>236</v>
      </c>
      <c r="G116" s="118"/>
      <c r="H116" s="118"/>
    </row>
    <row r="117" spans="1:8">
      <c r="A117" s="118" t="s">
        <v>82</v>
      </c>
      <c r="B117" s="118" t="s">
        <v>210</v>
      </c>
      <c r="C117" s="118" t="s">
        <v>271</v>
      </c>
      <c r="D117" s="118" t="s">
        <v>63</v>
      </c>
      <c r="E117" s="118"/>
      <c r="F117" s="155" t="s">
        <v>236</v>
      </c>
      <c r="G117" s="118"/>
      <c r="H117" s="118"/>
    </row>
    <row r="118" spans="1:8">
      <c r="A118" s="118" t="s">
        <v>82</v>
      </c>
      <c r="B118" s="118" t="s">
        <v>215</v>
      </c>
      <c r="C118" s="118" t="s">
        <v>215</v>
      </c>
      <c r="D118" s="118" t="s">
        <v>63</v>
      </c>
      <c r="E118" s="118"/>
      <c r="F118" s="155" t="s">
        <v>236</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272</v>
      </c>
      <c r="B1" s="39" t="s">
        <v>273</v>
      </c>
      <c r="C1" s="39" t="s">
        <v>274</v>
      </c>
      <c r="D1" s="39" t="s">
        <v>275</v>
      </c>
      <c r="E1" s="40" t="s">
        <v>276</v>
      </c>
      <c r="F1" s="41" t="s">
        <v>277</v>
      </c>
      <c r="G1" s="41" t="s">
        <v>278</v>
      </c>
      <c r="H1" s="41" t="s">
        <v>279</v>
      </c>
      <c r="I1" s="41" t="s">
        <v>280</v>
      </c>
      <c r="J1" s="41" t="s">
        <v>281</v>
      </c>
      <c r="K1" s="41"/>
      <c r="L1" s="41"/>
      <c r="M1" s="41"/>
      <c r="N1" s="41" t="s">
        <v>282</v>
      </c>
      <c r="O1" s="41"/>
      <c r="P1" s="41"/>
      <c r="Q1" s="41"/>
      <c r="R1" s="41" t="s">
        <v>283</v>
      </c>
      <c r="S1" s="41" t="s">
        <v>284</v>
      </c>
      <c r="T1" s="40" t="s">
        <v>285</v>
      </c>
      <c r="U1" s="40" t="s">
        <v>143</v>
      </c>
      <c r="V1" s="40" t="s">
        <v>286</v>
      </c>
      <c r="W1" s="40"/>
      <c r="X1" s="40"/>
      <c r="Y1" s="40"/>
      <c r="Z1" s="40" t="s">
        <v>287</v>
      </c>
      <c r="AA1" s="40"/>
      <c r="AB1" s="40"/>
      <c r="AC1" s="40"/>
      <c r="AD1" s="40" t="s">
        <v>288</v>
      </c>
      <c r="AE1" s="40"/>
      <c r="AF1" s="40"/>
      <c r="AG1" s="40"/>
      <c r="AH1" s="40" t="s">
        <v>28</v>
      </c>
      <c r="AI1" s="40" t="s">
        <v>139</v>
      </c>
      <c r="AJ1" s="39" t="s">
        <v>289</v>
      </c>
    </row>
    <row r="2" s="32" customFormat="1" spans="1:36">
      <c r="A2" s="42"/>
      <c r="B2" s="42"/>
      <c r="C2" s="42"/>
      <c r="D2" s="42"/>
      <c r="E2" s="43" t="s">
        <v>290</v>
      </c>
      <c r="F2" s="44"/>
      <c r="G2" s="44"/>
      <c r="H2" s="44"/>
      <c r="I2" s="44"/>
      <c r="J2" s="44">
        <v>2010</v>
      </c>
      <c r="K2" s="44">
        <v>2020</v>
      </c>
      <c r="L2" s="44">
        <v>2025</v>
      </c>
      <c r="M2" s="44">
        <v>2030</v>
      </c>
      <c r="N2" s="44">
        <v>2010</v>
      </c>
      <c r="O2" s="44">
        <v>2020</v>
      </c>
      <c r="P2" s="44">
        <v>2025</v>
      </c>
      <c r="Q2" s="44">
        <v>2030</v>
      </c>
      <c r="R2" s="44"/>
      <c r="S2" s="44"/>
      <c r="T2" s="43" t="s">
        <v>291</v>
      </c>
      <c r="U2" s="43"/>
      <c r="V2" s="43"/>
      <c r="W2" s="43">
        <v>2020</v>
      </c>
      <c r="X2" s="43">
        <v>2025</v>
      </c>
      <c r="Y2" s="43">
        <v>2030</v>
      </c>
      <c r="Z2" s="43"/>
      <c r="AA2" s="43">
        <v>2020</v>
      </c>
      <c r="AB2" s="43">
        <v>2025</v>
      </c>
      <c r="AC2" s="43">
        <v>2030</v>
      </c>
      <c r="AD2" s="43"/>
      <c r="AE2" s="43">
        <v>2020</v>
      </c>
      <c r="AF2" s="43">
        <v>2025</v>
      </c>
      <c r="AG2" s="43">
        <v>2030</v>
      </c>
      <c r="AH2" s="43" t="s">
        <v>292</v>
      </c>
      <c r="AI2" s="43" t="s">
        <v>293</v>
      </c>
      <c r="AJ2" s="42"/>
    </row>
    <row r="3" spans="1:36">
      <c r="A3" s="45" t="s">
        <v>294</v>
      </c>
      <c r="B3" s="45" t="s">
        <v>295</v>
      </c>
      <c r="C3" s="45" t="s">
        <v>296</v>
      </c>
      <c r="D3" s="45" t="s">
        <v>297</v>
      </c>
      <c r="E3" s="46" t="s">
        <v>298</v>
      </c>
      <c r="F3" s="47" t="s">
        <v>191</v>
      </c>
      <c r="G3" s="48" t="s">
        <v>299</v>
      </c>
      <c r="H3" s="48" t="s">
        <v>300</v>
      </c>
      <c r="I3" s="48" t="s">
        <v>301</v>
      </c>
      <c r="J3" s="46">
        <v>1.77</v>
      </c>
      <c r="K3" s="46"/>
      <c r="L3" s="46">
        <v>1.77</v>
      </c>
      <c r="M3" s="68">
        <v>1.62</v>
      </c>
      <c r="N3" s="68">
        <v>0.07</v>
      </c>
      <c r="O3" s="46"/>
      <c r="P3" s="68">
        <v>0.07</v>
      </c>
      <c r="Q3" s="68">
        <v>0.023</v>
      </c>
      <c r="R3" s="46">
        <v>1</v>
      </c>
      <c r="S3" s="46" t="s">
        <v>301</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302</v>
      </c>
    </row>
    <row r="4" spans="1:36">
      <c r="A4" s="45" t="s">
        <v>294</v>
      </c>
      <c r="B4" s="45" t="s">
        <v>303</v>
      </c>
      <c r="C4" s="45" t="s">
        <v>304</v>
      </c>
      <c r="D4" s="45" t="s">
        <v>305</v>
      </c>
      <c r="E4" s="46" t="s">
        <v>298</v>
      </c>
      <c r="F4" s="47" t="s">
        <v>191</v>
      </c>
      <c r="G4" s="48" t="s">
        <v>301</v>
      </c>
      <c r="H4" s="48" t="s">
        <v>300</v>
      </c>
      <c r="I4" s="48" t="s">
        <v>299</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306</v>
      </c>
    </row>
    <row r="5" spans="1:36">
      <c r="A5" s="45" t="s">
        <v>294</v>
      </c>
      <c r="B5" s="45" t="s">
        <v>307</v>
      </c>
      <c r="C5" s="45" t="s">
        <v>308</v>
      </c>
      <c r="D5" s="45" t="s">
        <v>309</v>
      </c>
      <c r="E5" s="46" t="s">
        <v>298</v>
      </c>
      <c r="F5" s="47" t="s">
        <v>191</v>
      </c>
      <c r="G5" s="48" t="s">
        <v>299</v>
      </c>
      <c r="H5" s="48" t="s">
        <v>300</v>
      </c>
      <c r="I5" s="48" t="s">
        <v>301</v>
      </c>
      <c r="J5" s="46">
        <v>1.77</v>
      </c>
      <c r="K5" s="46"/>
      <c r="L5" s="46">
        <v>1.77</v>
      </c>
      <c r="M5" s="68">
        <v>1.62</v>
      </c>
      <c r="N5" s="68">
        <v>0.111</v>
      </c>
      <c r="O5" s="46"/>
      <c r="P5" s="68">
        <v>0.111</v>
      </c>
      <c r="Q5" s="68">
        <v>0.023</v>
      </c>
      <c r="R5" s="46">
        <v>1</v>
      </c>
      <c r="S5" s="46" t="s">
        <v>301</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302</v>
      </c>
    </row>
    <row r="6" spans="1:36">
      <c r="A6" s="45" t="s">
        <v>294</v>
      </c>
      <c r="B6" s="45" t="s">
        <v>310</v>
      </c>
      <c r="C6" s="45" t="s">
        <v>311</v>
      </c>
      <c r="D6" s="45" t="s">
        <v>312</v>
      </c>
      <c r="E6" s="46" t="s">
        <v>298</v>
      </c>
      <c r="F6" s="47" t="s">
        <v>191</v>
      </c>
      <c r="G6" s="48" t="s">
        <v>301</v>
      </c>
      <c r="H6" s="48" t="s">
        <v>300</v>
      </c>
      <c r="I6" s="48" t="s">
        <v>299</v>
      </c>
      <c r="J6" s="46">
        <v>1.72</v>
      </c>
      <c r="K6" s="46"/>
      <c r="L6" s="46"/>
      <c r="M6" s="46"/>
      <c r="N6" s="68" t="s">
        <v>301</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306</v>
      </c>
    </row>
    <row r="7" spans="1:36">
      <c r="A7" s="45" t="s">
        <v>294</v>
      </c>
      <c r="B7" s="45" t="s">
        <v>313</v>
      </c>
      <c r="C7" s="45" t="s">
        <v>314</v>
      </c>
      <c r="D7" s="45" t="s">
        <v>315</v>
      </c>
      <c r="E7" s="46" t="s">
        <v>316</v>
      </c>
      <c r="F7" s="47" t="s">
        <v>317</v>
      </c>
      <c r="G7" s="48" t="s">
        <v>299</v>
      </c>
      <c r="H7" s="48" t="s">
        <v>300</v>
      </c>
      <c r="I7" s="48" t="s">
        <v>301</v>
      </c>
      <c r="J7" s="46">
        <v>3</v>
      </c>
      <c r="K7" s="46"/>
      <c r="L7" s="46"/>
      <c r="M7" s="46"/>
      <c r="N7" s="68">
        <v>0.2</v>
      </c>
      <c r="O7" s="46"/>
      <c r="P7" s="46"/>
      <c r="Q7" s="46"/>
      <c r="R7" s="46">
        <v>1</v>
      </c>
      <c r="S7" s="46" t="s">
        <v>301</v>
      </c>
      <c r="T7" s="69">
        <v>0.708</v>
      </c>
      <c r="U7" s="77">
        <v>0.71</v>
      </c>
      <c r="V7" s="69"/>
      <c r="W7" s="69">
        <v>3099.11034878123</v>
      </c>
      <c r="X7" s="69"/>
      <c r="Y7" s="69"/>
      <c r="Z7" s="68"/>
      <c r="AA7" s="68"/>
      <c r="AB7" s="68"/>
      <c r="AC7" s="68"/>
      <c r="AD7" s="68"/>
      <c r="AE7" s="68"/>
      <c r="AF7" s="68"/>
      <c r="AG7" s="68"/>
      <c r="AH7" s="46">
        <v>20</v>
      </c>
      <c r="AI7" s="98">
        <v>2021</v>
      </c>
      <c r="AJ7" s="99" t="s">
        <v>318</v>
      </c>
    </row>
    <row r="8" spans="1:36">
      <c r="A8" s="45" t="s">
        <v>294</v>
      </c>
      <c r="B8" s="45" t="s">
        <v>319</v>
      </c>
      <c r="C8" s="45" t="s">
        <v>320</v>
      </c>
      <c r="D8" s="45" t="s">
        <v>321</v>
      </c>
      <c r="E8" s="46" t="s">
        <v>298</v>
      </c>
      <c r="F8" s="47" t="s">
        <v>317</v>
      </c>
      <c r="G8" s="48" t="s">
        <v>299</v>
      </c>
      <c r="H8" s="48" t="s">
        <v>300</v>
      </c>
      <c r="I8" s="48" t="s">
        <v>301</v>
      </c>
      <c r="J8" s="46">
        <v>2.78</v>
      </c>
      <c r="K8" s="69">
        <v>1.804</v>
      </c>
      <c r="L8" s="69"/>
      <c r="M8" s="46"/>
      <c r="N8" s="68">
        <v>0.195</v>
      </c>
      <c r="O8" s="68">
        <v>0.097</v>
      </c>
      <c r="P8" s="68"/>
      <c r="Q8" s="46"/>
      <c r="R8" s="46">
        <v>1</v>
      </c>
      <c r="S8" s="46" t="s">
        <v>301</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322</v>
      </c>
    </row>
    <row r="9" spans="1:36">
      <c r="A9" s="45" t="s">
        <v>294</v>
      </c>
      <c r="B9" s="45" t="s">
        <v>323</v>
      </c>
      <c r="C9" s="45" t="s">
        <v>324</v>
      </c>
      <c r="D9" s="45" t="s">
        <v>325</v>
      </c>
      <c r="E9" s="46" t="s">
        <v>298</v>
      </c>
      <c r="F9" s="47" t="s">
        <v>317</v>
      </c>
      <c r="G9" s="48" t="s">
        <v>299</v>
      </c>
      <c r="H9" s="48" t="s">
        <v>300</v>
      </c>
      <c r="I9" s="48" t="s">
        <v>301</v>
      </c>
      <c r="J9" s="46">
        <v>2.78</v>
      </c>
      <c r="K9" s="69">
        <v>1.804</v>
      </c>
      <c r="L9" s="69"/>
      <c r="M9" s="46"/>
      <c r="N9" s="68">
        <v>0.27</v>
      </c>
      <c r="O9" s="68">
        <v>0.143</v>
      </c>
      <c r="P9" s="68"/>
      <c r="Q9" s="46"/>
      <c r="R9" s="46">
        <v>1</v>
      </c>
      <c r="S9" s="46" t="s">
        <v>301</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302</v>
      </c>
    </row>
    <row r="10" spans="1:36">
      <c r="A10" s="45" t="s">
        <v>294</v>
      </c>
      <c r="B10" s="45" t="s">
        <v>326</v>
      </c>
      <c r="C10" s="45" t="s">
        <v>327</v>
      </c>
      <c r="D10" s="45" t="s">
        <v>328</v>
      </c>
      <c r="E10" s="46" t="s">
        <v>298</v>
      </c>
      <c r="F10" s="47" t="s">
        <v>329</v>
      </c>
      <c r="G10" s="48" t="s">
        <v>299</v>
      </c>
      <c r="H10" s="49" t="s">
        <v>300</v>
      </c>
      <c r="I10" s="48" t="s">
        <v>301</v>
      </c>
      <c r="J10" s="46">
        <v>1.75</v>
      </c>
      <c r="K10" s="46"/>
      <c r="L10" s="46"/>
      <c r="M10" s="46"/>
      <c r="N10" s="68">
        <v>0.35</v>
      </c>
      <c r="O10" s="46"/>
      <c r="P10" s="46"/>
      <c r="Q10" s="46"/>
      <c r="R10" s="46">
        <v>1</v>
      </c>
      <c r="S10" s="46" t="s">
        <v>301</v>
      </c>
      <c r="T10" s="69">
        <v>18.9</v>
      </c>
      <c r="U10" s="77">
        <v>0.9</v>
      </c>
      <c r="V10" s="69"/>
      <c r="W10" s="69"/>
      <c r="X10" s="69"/>
      <c r="Y10" s="69"/>
      <c r="Z10" s="68"/>
      <c r="AA10" s="68"/>
      <c r="AB10" s="68"/>
      <c r="AC10" s="68"/>
      <c r="AD10" s="68"/>
      <c r="AE10" s="68"/>
      <c r="AF10" s="68"/>
      <c r="AG10" s="68"/>
      <c r="AH10" s="46">
        <v>20</v>
      </c>
      <c r="AI10" s="98">
        <v>2021</v>
      </c>
      <c r="AJ10" s="99" t="s">
        <v>330</v>
      </c>
    </row>
    <row r="11" s="33" customFormat="1" spans="1:36">
      <c r="A11" s="50" t="s">
        <v>331</v>
      </c>
      <c r="B11" s="50" t="s">
        <v>332</v>
      </c>
      <c r="C11" s="50" t="s">
        <v>333</v>
      </c>
      <c r="D11" s="50" t="s">
        <v>334</v>
      </c>
      <c r="E11" s="51" t="s">
        <v>298</v>
      </c>
      <c r="F11" s="52" t="s">
        <v>317</v>
      </c>
      <c r="G11" s="53" t="s">
        <v>299</v>
      </c>
      <c r="H11" s="48" t="s">
        <v>300</v>
      </c>
      <c r="I11" s="53" t="s">
        <v>301</v>
      </c>
      <c r="J11" s="51">
        <v>1.36</v>
      </c>
      <c r="K11" s="51"/>
      <c r="L11" s="51"/>
      <c r="M11" s="51"/>
      <c r="N11" s="70">
        <v>0.044</v>
      </c>
      <c r="O11" s="51"/>
      <c r="P11" s="51"/>
      <c r="Q11" s="51"/>
      <c r="R11" s="51">
        <v>1</v>
      </c>
      <c r="S11" s="51" t="s">
        <v>301</v>
      </c>
      <c r="T11" s="78">
        <v>235</v>
      </c>
      <c r="U11" s="79">
        <v>0.9</v>
      </c>
      <c r="V11" s="78"/>
      <c r="W11" s="78"/>
      <c r="X11" s="78"/>
      <c r="Y11" s="78"/>
      <c r="Z11" s="70"/>
      <c r="AA11" s="70"/>
      <c r="AB11" s="70"/>
      <c r="AC11" s="70"/>
      <c r="AD11" s="70"/>
      <c r="AE11" s="70"/>
      <c r="AF11" s="70"/>
      <c r="AG11" s="70"/>
      <c r="AH11" s="51">
        <v>20</v>
      </c>
      <c r="AI11" s="98">
        <v>2021</v>
      </c>
      <c r="AJ11" s="100" t="s">
        <v>335</v>
      </c>
    </row>
    <row r="12" spans="1:36">
      <c r="A12" s="45" t="s">
        <v>331</v>
      </c>
      <c r="B12" s="45" t="s">
        <v>336</v>
      </c>
      <c r="C12" s="45" t="s">
        <v>337</v>
      </c>
      <c r="D12" s="45" t="s">
        <v>338</v>
      </c>
      <c r="E12" s="46" t="s">
        <v>298</v>
      </c>
      <c r="F12" s="47" t="s">
        <v>329</v>
      </c>
      <c r="G12" s="48" t="s">
        <v>299</v>
      </c>
      <c r="H12" s="48" t="s">
        <v>300</v>
      </c>
      <c r="I12" s="48" t="s">
        <v>301</v>
      </c>
      <c r="J12" s="68">
        <v>1.32</v>
      </c>
      <c r="K12" s="46"/>
      <c r="L12" s="68">
        <v>1.32</v>
      </c>
      <c r="M12" s="68">
        <v>1.25</v>
      </c>
      <c r="N12" s="68">
        <v>0.02</v>
      </c>
      <c r="O12" s="46"/>
      <c r="P12" s="68">
        <v>0.02</v>
      </c>
      <c r="Q12" s="68">
        <v>0.021</v>
      </c>
      <c r="R12" s="46">
        <v>1</v>
      </c>
      <c r="S12" s="46" t="s">
        <v>301</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322</v>
      </c>
    </row>
    <row r="13" spans="1:36">
      <c r="A13" s="45" t="s">
        <v>331</v>
      </c>
      <c r="B13" s="45" t="s">
        <v>339</v>
      </c>
      <c r="C13" s="54" t="s">
        <v>340</v>
      </c>
      <c r="D13" s="45" t="s">
        <v>341</v>
      </c>
      <c r="E13" s="46" t="s">
        <v>298</v>
      </c>
      <c r="F13" s="47" t="s">
        <v>329</v>
      </c>
      <c r="G13" s="48" t="s">
        <v>299</v>
      </c>
      <c r="H13" s="48" t="s">
        <v>300</v>
      </c>
      <c r="I13" s="48" t="s">
        <v>301</v>
      </c>
      <c r="J13" s="68">
        <v>1.575</v>
      </c>
      <c r="K13" s="46"/>
      <c r="L13" s="68">
        <v>1.575</v>
      </c>
      <c r="M13" s="68">
        <v>1.48</v>
      </c>
      <c r="N13" s="68">
        <v>0.03</v>
      </c>
      <c r="O13" s="46"/>
      <c r="P13" s="68">
        <v>0.03</v>
      </c>
      <c r="Q13" s="68">
        <v>0.02</v>
      </c>
      <c r="R13" s="46">
        <v>1</v>
      </c>
      <c r="S13" s="46" t="s">
        <v>301</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322</v>
      </c>
    </row>
    <row r="14" spans="1:36">
      <c r="A14" s="45" t="s">
        <v>331</v>
      </c>
      <c r="B14" s="45" t="s">
        <v>342</v>
      </c>
      <c r="C14" s="45" t="s">
        <v>343</v>
      </c>
      <c r="D14" s="55" t="s">
        <v>344</v>
      </c>
      <c r="E14" s="46" t="s">
        <v>298</v>
      </c>
      <c r="F14" s="47" t="s">
        <v>329</v>
      </c>
      <c r="G14" s="48" t="s">
        <v>299</v>
      </c>
      <c r="H14" s="48" t="s">
        <v>300</v>
      </c>
      <c r="I14" s="48" t="s">
        <v>301</v>
      </c>
      <c r="J14" s="46">
        <v>1.52</v>
      </c>
      <c r="K14" s="46"/>
      <c r="L14" s="68">
        <v>1.52</v>
      </c>
      <c r="M14" s="68">
        <v>1.4</v>
      </c>
      <c r="N14" s="68">
        <v>0.05</v>
      </c>
      <c r="O14" s="46"/>
      <c r="P14" s="68">
        <v>0.05</v>
      </c>
      <c r="Q14" s="68">
        <v>0.039</v>
      </c>
      <c r="R14" s="46">
        <v>1</v>
      </c>
      <c r="S14" s="46" t="s">
        <v>301</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322</v>
      </c>
    </row>
    <row r="15" spans="1:36">
      <c r="A15" s="45" t="s">
        <v>331</v>
      </c>
      <c r="B15" s="45" t="s">
        <v>345</v>
      </c>
      <c r="C15" s="54" t="s">
        <v>346</v>
      </c>
      <c r="D15" s="55" t="s">
        <v>347</v>
      </c>
      <c r="E15" s="46" t="s">
        <v>298</v>
      </c>
      <c r="F15" s="47" t="s">
        <v>329</v>
      </c>
      <c r="G15" s="48" t="s">
        <v>299</v>
      </c>
      <c r="H15" s="48" t="s">
        <v>300</v>
      </c>
      <c r="I15" s="48" t="s">
        <v>301</v>
      </c>
      <c r="J15" s="46">
        <v>1.65</v>
      </c>
      <c r="K15" s="46"/>
      <c r="L15" s="68">
        <v>1.65</v>
      </c>
      <c r="M15" s="68">
        <v>1.4</v>
      </c>
      <c r="N15" s="68">
        <v>0.067</v>
      </c>
      <c r="O15" s="46"/>
      <c r="P15" s="68">
        <v>0.067</v>
      </c>
      <c r="Q15" s="68">
        <v>0.039</v>
      </c>
      <c r="R15" s="46">
        <v>1</v>
      </c>
      <c r="S15" s="46" t="s">
        <v>301</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322</v>
      </c>
    </row>
    <row r="16" spans="1:36">
      <c r="A16" s="56" t="s">
        <v>331</v>
      </c>
      <c r="B16" s="56" t="s">
        <v>348</v>
      </c>
      <c r="C16" s="56" t="s">
        <v>349</v>
      </c>
      <c r="D16" s="56" t="s">
        <v>350</v>
      </c>
      <c r="E16" s="57" t="s">
        <v>298</v>
      </c>
      <c r="F16" s="47" t="s">
        <v>329</v>
      </c>
      <c r="G16" s="48" t="s">
        <v>351</v>
      </c>
      <c r="H16" s="48" t="s">
        <v>300</v>
      </c>
      <c r="I16" s="48" t="s">
        <v>301</v>
      </c>
      <c r="J16" s="46">
        <v>0.83</v>
      </c>
      <c r="K16" s="46"/>
      <c r="L16" s="46"/>
      <c r="M16" s="46"/>
      <c r="N16" s="68">
        <v>0.32</v>
      </c>
      <c r="O16" s="46"/>
      <c r="P16" s="46"/>
      <c r="Q16" s="46"/>
      <c r="R16" s="46">
        <v>1</v>
      </c>
      <c r="S16" s="46" t="s">
        <v>301</v>
      </c>
      <c r="T16" s="69">
        <v>150</v>
      </c>
      <c r="U16" s="77">
        <v>0.87</v>
      </c>
      <c r="V16" s="69"/>
      <c r="W16" s="69"/>
      <c r="X16" s="69"/>
      <c r="Y16" s="69"/>
      <c r="Z16" s="68"/>
      <c r="AA16" s="68"/>
      <c r="AB16" s="68"/>
      <c r="AC16" s="68"/>
      <c r="AD16" s="68"/>
      <c r="AE16" s="68"/>
      <c r="AF16" s="68"/>
      <c r="AG16" s="68"/>
      <c r="AH16" s="46">
        <v>20</v>
      </c>
      <c r="AI16" s="98">
        <v>2021</v>
      </c>
      <c r="AJ16" s="99" t="s">
        <v>352</v>
      </c>
    </row>
    <row r="17" spans="1:36">
      <c r="A17" s="45" t="s">
        <v>331</v>
      </c>
      <c r="B17" s="45" t="s">
        <v>353</v>
      </c>
      <c r="C17" s="45" t="s">
        <v>354</v>
      </c>
      <c r="D17" s="45" t="s">
        <v>355</v>
      </c>
      <c r="E17" s="46" t="s">
        <v>316</v>
      </c>
      <c r="F17" s="47" t="s">
        <v>329</v>
      </c>
      <c r="G17" s="48" t="s">
        <v>299</v>
      </c>
      <c r="H17" s="48" t="s">
        <v>300</v>
      </c>
      <c r="I17" s="48" t="s">
        <v>301</v>
      </c>
      <c r="J17" s="46">
        <v>1.36</v>
      </c>
      <c r="K17" s="68">
        <v>1.36</v>
      </c>
      <c r="L17" s="68">
        <v>1.27</v>
      </c>
      <c r="M17" s="46"/>
      <c r="N17" s="68">
        <v>0.25</v>
      </c>
      <c r="O17" s="68">
        <v>0.25</v>
      </c>
      <c r="P17" s="68">
        <v>0.067</v>
      </c>
      <c r="Q17" s="46"/>
      <c r="R17" s="46">
        <v>1</v>
      </c>
      <c r="S17" s="46" t="s">
        <v>301</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352</v>
      </c>
    </row>
    <row r="18" spans="1:36">
      <c r="A18" s="45" t="s">
        <v>331</v>
      </c>
      <c r="B18" s="45" t="s">
        <v>356</v>
      </c>
      <c r="C18" s="45" t="s">
        <v>357</v>
      </c>
      <c r="D18" s="45" t="s">
        <v>358</v>
      </c>
      <c r="E18" s="46" t="s">
        <v>316</v>
      </c>
      <c r="F18" s="47" t="s">
        <v>329</v>
      </c>
      <c r="G18" s="48" t="s">
        <v>299</v>
      </c>
      <c r="H18" s="48" t="s">
        <v>300</v>
      </c>
      <c r="I18" s="48" t="s">
        <v>301</v>
      </c>
      <c r="J18" s="46">
        <v>1.81</v>
      </c>
      <c r="K18" s="46"/>
      <c r="L18" s="68">
        <v>1.81</v>
      </c>
      <c r="M18" s="68">
        <v>1.55</v>
      </c>
      <c r="N18" s="68">
        <v>0.065</v>
      </c>
      <c r="O18" s="46"/>
      <c r="P18" s="68">
        <v>0.065</v>
      </c>
      <c r="Q18" s="68">
        <v>0.05</v>
      </c>
      <c r="R18" s="46">
        <v>1</v>
      </c>
      <c r="S18" s="46" t="s">
        <v>301</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322</v>
      </c>
    </row>
    <row r="19" spans="1:36">
      <c r="A19" s="45" t="s">
        <v>331</v>
      </c>
      <c r="B19" s="45" t="s">
        <v>359</v>
      </c>
      <c r="C19" s="45" t="s">
        <v>360</v>
      </c>
      <c r="D19" s="45" t="s">
        <v>361</v>
      </c>
      <c r="E19" s="46" t="s">
        <v>316</v>
      </c>
      <c r="F19" s="47" t="s">
        <v>362</v>
      </c>
      <c r="G19" s="48" t="s">
        <v>299</v>
      </c>
      <c r="H19" s="48" t="s">
        <v>300</v>
      </c>
      <c r="I19" s="48" t="s">
        <v>301</v>
      </c>
      <c r="J19" s="68">
        <f>2.37/0.0268</f>
        <v>88.4328358208955</v>
      </c>
      <c r="K19" s="46"/>
      <c r="L19" s="46"/>
      <c r="M19" s="46"/>
      <c r="N19" s="68">
        <v>0.177</v>
      </c>
      <c r="O19" s="46"/>
      <c r="P19" s="46"/>
      <c r="Q19" s="46"/>
      <c r="R19" s="46">
        <v>1</v>
      </c>
      <c r="S19" s="46" t="s">
        <v>301</v>
      </c>
      <c r="T19" s="69">
        <v>0.0105</v>
      </c>
      <c r="U19" s="77">
        <v>0.9</v>
      </c>
      <c r="V19" s="69"/>
      <c r="W19" s="69"/>
      <c r="X19" s="69"/>
      <c r="Y19" s="69"/>
      <c r="Z19" s="68"/>
      <c r="AA19" s="68"/>
      <c r="AB19" s="68"/>
      <c r="AC19" s="68"/>
      <c r="AD19" s="68"/>
      <c r="AE19" s="68"/>
      <c r="AF19" s="68"/>
      <c r="AG19" s="68"/>
      <c r="AH19" s="46">
        <v>10</v>
      </c>
      <c r="AI19" s="98">
        <v>2021</v>
      </c>
      <c r="AJ19" s="99" t="s">
        <v>363</v>
      </c>
    </row>
    <row r="20" spans="1:36">
      <c r="A20" s="56" t="s">
        <v>331</v>
      </c>
      <c r="B20" s="56" t="s">
        <v>364</v>
      </c>
      <c r="C20" s="56" t="s">
        <v>365</v>
      </c>
      <c r="D20" s="56" t="s">
        <v>366</v>
      </c>
      <c r="E20" s="57" t="s">
        <v>316</v>
      </c>
      <c r="F20" s="58" t="s">
        <v>329</v>
      </c>
      <c r="G20" s="48" t="s">
        <v>351</v>
      </c>
      <c r="H20" s="59" t="s">
        <v>300</v>
      </c>
      <c r="I20" s="48" t="s">
        <v>301</v>
      </c>
      <c r="J20" s="46">
        <v>1.72</v>
      </c>
      <c r="K20" s="46"/>
      <c r="L20" s="46"/>
      <c r="M20" s="46"/>
      <c r="N20" s="68">
        <v>0.234</v>
      </c>
      <c r="O20" s="46"/>
      <c r="P20" s="46"/>
      <c r="Q20" s="46"/>
      <c r="R20" s="46">
        <v>1</v>
      </c>
      <c r="S20" s="46" t="s">
        <v>301</v>
      </c>
      <c r="T20" s="69">
        <v>0.127</v>
      </c>
      <c r="U20" s="77">
        <v>0.33</v>
      </c>
      <c r="V20" s="69"/>
      <c r="W20" s="69"/>
      <c r="X20" s="69"/>
      <c r="Y20" s="69"/>
      <c r="Z20" s="68"/>
      <c r="AA20" s="68"/>
      <c r="AB20" s="68"/>
      <c r="AC20" s="68"/>
      <c r="AD20" s="68"/>
      <c r="AE20" s="68"/>
      <c r="AF20" s="68"/>
      <c r="AG20" s="68"/>
      <c r="AH20" s="46">
        <v>20</v>
      </c>
      <c r="AI20" s="98">
        <v>2021</v>
      </c>
      <c r="AJ20" s="99" t="s">
        <v>367</v>
      </c>
    </row>
    <row r="21" s="34" customFormat="1" spans="1:36">
      <c r="A21" s="60" t="s">
        <v>331</v>
      </c>
      <c r="B21" s="60" t="s">
        <v>368</v>
      </c>
      <c r="C21" s="60" t="s">
        <v>369</v>
      </c>
      <c r="D21" s="60" t="s">
        <v>370</v>
      </c>
      <c r="E21" s="61" t="s">
        <v>298</v>
      </c>
      <c r="F21" s="62" t="s">
        <v>371</v>
      </c>
      <c r="G21" s="49" t="s">
        <v>299</v>
      </c>
      <c r="H21" s="49" t="s">
        <v>300</v>
      </c>
      <c r="I21" s="49"/>
      <c r="J21" s="71">
        <v>1.3</v>
      </c>
      <c r="K21" s="72"/>
      <c r="L21" s="72"/>
      <c r="M21" s="72"/>
      <c r="N21" s="71">
        <v>0.063</v>
      </c>
      <c r="O21" s="72"/>
      <c r="P21" s="72"/>
      <c r="Q21" s="72"/>
      <c r="R21" s="72">
        <v>1</v>
      </c>
      <c r="S21" s="72" t="s">
        <v>301</v>
      </c>
      <c r="T21" s="80">
        <v>300</v>
      </c>
      <c r="U21" s="81">
        <v>0.9</v>
      </c>
      <c r="V21" s="80"/>
      <c r="W21" s="80"/>
      <c r="X21" s="80"/>
      <c r="Y21" s="80"/>
      <c r="Z21" s="71"/>
      <c r="AA21" s="71"/>
      <c r="AB21" s="71"/>
      <c r="AC21" s="71"/>
      <c r="AD21" s="71"/>
      <c r="AE21" s="71"/>
      <c r="AF21" s="71"/>
      <c r="AG21" s="71"/>
      <c r="AH21" s="101">
        <v>25</v>
      </c>
      <c r="AI21" s="98">
        <v>2021</v>
      </c>
      <c r="AJ21" s="102" t="s">
        <v>330</v>
      </c>
    </row>
    <row r="22" s="35" customFormat="1" spans="1:36">
      <c r="A22" s="63" t="s">
        <v>372</v>
      </c>
      <c r="B22" s="63" t="s">
        <v>373</v>
      </c>
      <c r="C22" s="63" t="s">
        <v>374</v>
      </c>
      <c r="D22" s="63" t="s">
        <v>375</v>
      </c>
      <c r="E22" s="64" t="s">
        <v>298</v>
      </c>
      <c r="F22" s="47" t="s">
        <v>299</v>
      </c>
      <c r="G22" s="59" t="s">
        <v>301</v>
      </c>
      <c r="H22" s="48" t="s">
        <v>300</v>
      </c>
      <c r="I22" s="59" t="s">
        <v>301</v>
      </c>
      <c r="J22" s="73">
        <v>1.5</v>
      </c>
      <c r="K22" s="74">
        <v>1.5</v>
      </c>
      <c r="L22" s="73">
        <v>1.38</v>
      </c>
      <c r="M22" s="63"/>
      <c r="N22" s="74" t="s">
        <v>301</v>
      </c>
      <c r="O22" s="74"/>
      <c r="P22" s="74"/>
      <c r="Q22" s="74"/>
      <c r="R22" s="74">
        <v>1</v>
      </c>
      <c r="S22" s="74" t="s">
        <v>301</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352</v>
      </c>
    </row>
    <row r="23" spans="1:36">
      <c r="A23" s="45" t="s">
        <v>372</v>
      </c>
      <c r="B23" s="45" t="s">
        <v>376</v>
      </c>
      <c r="C23" s="45" t="s">
        <v>377</v>
      </c>
      <c r="D23" s="45" t="s">
        <v>378</v>
      </c>
      <c r="E23" s="57" t="s">
        <v>298</v>
      </c>
      <c r="F23" s="47" t="s">
        <v>299</v>
      </c>
      <c r="G23" s="48" t="s">
        <v>301</v>
      </c>
      <c r="H23" s="48" t="s">
        <v>300</v>
      </c>
      <c r="I23" s="48" t="s">
        <v>301</v>
      </c>
      <c r="J23" s="68">
        <v>1.633</v>
      </c>
      <c r="K23" s="46"/>
      <c r="L23" s="68">
        <v>1.633</v>
      </c>
      <c r="M23" s="73">
        <v>1.416</v>
      </c>
      <c r="N23" s="46" t="s">
        <v>301</v>
      </c>
      <c r="O23" s="46"/>
      <c r="P23" s="46"/>
      <c r="Q23" s="46"/>
      <c r="R23" s="46">
        <v>1</v>
      </c>
      <c r="S23" s="46" t="s">
        <v>301</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322</v>
      </c>
    </row>
    <row r="24" spans="1:36">
      <c r="A24" s="45" t="s">
        <v>372</v>
      </c>
      <c r="B24" s="45" t="s">
        <v>379</v>
      </c>
      <c r="C24" s="45" t="s">
        <v>380</v>
      </c>
      <c r="D24" s="45" t="s">
        <v>381</v>
      </c>
      <c r="E24" s="46" t="s">
        <v>316</v>
      </c>
      <c r="F24" s="47" t="s">
        <v>299</v>
      </c>
      <c r="G24" s="48" t="s">
        <v>301</v>
      </c>
      <c r="H24" s="48" t="s">
        <v>300</v>
      </c>
      <c r="I24" s="48" t="s">
        <v>301</v>
      </c>
      <c r="J24" s="68">
        <v>1.62</v>
      </c>
      <c r="K24" s="46"/>
      <c r="L24" s="46">
        <v>1.62</v>
      </c>
      <c r="M24" s="68">
        <v>1.41</v>
      </c>
      <c r="N24" s="46" t="s">
        <v>301</v>
      </c>
      <c r="O24" s="46"/>
      <c r="P24" s="46"/>
      <c r="Q24" s="46"/>
      <c r="R24" s="46">
        <v>1</v>
      </c>
      <c r="S24" s="46" t="s">
        <v>301</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322</v>
      </c>
    </row>
    <row r="25" s="36" customFormat="1" spans="1:36">
      <c r="A25" s="36" t="s">
        <v>382</v>
      </c>
      <c r="B25" s="36" t="s">
        <v>383</v>
      </c>
      <c r="C25" s="36" t="s">
        <v>384</v>
      </c>
      <c r="D25" s="36" t="s">
        <v>385</v>
      </c>
      <c r="E25" s="65" t="s">
        <v>298</v>
      </c>
      <c r="F25" s="65" t="s">
        <v>386</v>
      </c>
      <c r="G25" s="65" t="s">
        <v>301</v>
      </c>
      <c r="H25" s="66" t="s">
        <v>299</v>
      </c>
      <c r="I25" s="66" t="s">
        <v>300</v>
      </c>
      <c r="J25" s="462" t="s">
        <v>301</v>
      </c>
      <c r="K25" s="462" t="s">
        <v>301</v>
      </c>
      <c r="L25" s="462" t="s">
        <v>301</v>
      </c>
      <c r="M25" s="76">
        <v>0.666666666666667</v>
      </c>
      <c r="N25" s="462" t="s">
        <v>301</v>
      </c>
      <c r="O25" s="462" t="s">
        <v>301</v>
      </c>
      <c r="P25" s="462" t="s">
        <v>301</v>
      </c>
      <c r="Q25" s="84"/>
      <c r="R25" s="84">
        <v>1</v>
      </c>
      <c r="S25" s="75" t="s">
        <v>301</v>
      </c>
      <c r="T25" s="85">
        <v>600</v>
      </c>
      <c r="U25" s="86">
        <v>0.94</v>
      </c>
      <c r="V25" s="85"/>
      <c r="W25" s="463" t="s">
        <v>301</v>
      </c>
      <c r="X25" s="463" t="s">
        <v>301</v>
      </c>
      <c r="Y25" s="92">
        <f>Y28</f>
        <v>4687.30708944608</v>
      </c>
      <c r="Z25" s="85"/>
      <c r="AA25" s="463" t="s">
        <v>301</v>
      </c>
      <c r="AB25" s="463" t="s">
        <v>301</v>
      </c>
      <c r="AC25" s="93">
        <f>AC28</f>
        <v>304.674960813995</v>
      </c>
      <c r="AD25" s="85"/>
      <c r="AE25" s="463" t="s">
        <v>301</v>
      </c>
      <c r="AF25" s="463" t="s">
        <v>301</v>
      </c>
      <c r="AG25" s="93">
        <f>AG28</f>
        <v>2.60405949413671</v>
      </c>
      <c r="AH25" s="84">
        <v>60</v>
      </c>
      <c r="AI25" s="84">
        <v>2030</v>
      </c>
      <c r="AJ25" s="104" t="s">
        <v>387</v>
      </c>
    </row>
    <row r="27" ht="26" spans="3:3">
      <c r="C27" s="67" t="s">
        <v>388</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389</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390</v>
      </c>
      <c r="Z32" s="96" t="s">
        <v>391</v>
      </c>
      <c r="AA32" s="96" t="s">
        <v>392</v>
      </c>
      <c r="AB32" s="96" t="s">
        <v>393</v>
      </c>
      <c r="AC32" s="96" t="s">
        <v>394</v>
      </c>
      <c r="AD32" s="96" t="s">
        <v>395</v>
      </c>
      <c r="AE32" s="96" t="s">
        <v>396</v>
      </c>
      <c r="AF32" s="96" t="s">
        <v>397</v>
      </c>
      <c r="AG32" s="96" t="s">
        <v>398</v>
      </c>
      <c r="AH32" s="96" t="s">
        <v>399</v>
      </c>
      <c r="AI32" s="96" t="s">
        <v>400</v>
      </c>
      <c r="AJ32" s="96" t="s">
        <v>401</v>
      </c>
      <c r="AK32" s="96" t="s">
        <v>402</v>
      </c>
      <c r="AL32" s="105">
        <v>2013</v>
      </c>
    </row>
    <row r="33" spans="6:38">
      <c r="F33" s="37"/>
      <c r="G33" s="37"/>
      <c r="H33" s="37"/>
      <c r="I33" s="37"/>
      <c r="J33" s="37"/>
      <c r="K33" s="37"/>
      <c r="L33" s="37"/>
      <c r="M33" s="37"/>
      <c r="N33" s="37"/>
      <c r="O33" s="37"/>
      <c r="P33" s="37"/>
      <c r="Q33" s="37"/>
      <c r="R33" s="37"/>
      <c r="S33" s="37"/>
      <c r="T33" s="37"/>
      <c r="U33" s="37"/>
      <c r="Y33" s="96" t="s">
        <v>403</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vt:lpstr>
      <vt:lpstr>SUP_HP</vt:lpstr>
      <vt:lpstr>NOUSE--SUP_HP2HS</vt:lpstr>
      <vt:lpstr>NOUSE-SUP_HS</vt:lpstr>
      <vt:lpstr>SUP_HS(NEED_REVISE</vt:lpstr>
      <vt:lpstr>SUP_DELIVERY</vt:lpstr>
      <vt:lpstr>ReferEMI</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2025-02-03T20:40:05Z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1033-12.2.0.19805</vt:lpwstr>
  </property>
</Properties>
</file>