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0"/>
          </rPr>
          <t>xli9:</t>
        </r>
        <r>
          <rPr>
            <sz val="9"/>
            <rFont val="Times New Roman"/>
            <charset val="0"/>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<sst xmlns="http://schemas.openxmlformats.org/spreadsheetml/2006/main" count="3260" uniqueCount="659">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</sst>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8"/>
      <name val="Tahoma"/>
      <charset val="134"/>
    </font>
    <font>
      <b/>
      <sz val="9"/>
      <name val="Times New Roman"/>
      <charset val="0"/>
    </font>
    <font>
      <sz val="9"/>
      <name val="Tahoma"/>
      <charset val="134"/>
    </font>
    <font>
      <sz val="9"/>
      <name val="Times New Roman"/>
      <charset val="134"/>
    </font>
    <font>
      <sz val="9"/>
      <name val="Times New Roman"/>
      <charset val="0"/>
    </font>
    <font>
      <b/>
      <sz val="9"/>
      <name val="Tahoma"/>
      <charset val="134"/>
    </font>
    <font>
      <b/>
      <sz val="8"/>
      <name val="Tahoma"/>
      <charset val="134"/>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rgb="FFEBF1DE"/>
        <bgColor rgb="FF000000"/>
      </patternFill>
    </fill>
    <fill>
      <patternFill patternType="solid">
        <fgColor theme="8" tint="0.799798577837458"/>
        <bgColor indexed="64"/>
      </patternFill>
    </fill>
    <fill>
      <patternFill patternType="solid">
        <fgColor theme="8" tint="0.3998535111545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9"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17" fillId="0" borderId="6" xfId="3871" applyFont="1" applyFill="1" applyBorder="1"/>
    <xf numFmtId="0" fontId="18" fillId="0" borderId="6" xfId="0" applyFont="1" applyFill="1" applyBorder="1"/>
    <xf numFmtId="0" fontId="1" fillId="0" borderId="6" xfId="3871" applyFill="1" applyBorder="1"/>
    <xf numFmtId="0" fontId="0" fillId="0" borderId="0" xfId="3723" applyFont="1"/>
    <xf numFmtId="0" fontId="1" fillId="0" borderId="0" xfId="3871" applyFill="1"/>
    <xf numFmtId="0" fontId="18" fillId="0" borderId="0" xfId="0" applyFont="1" applyFill="1"/>
    <xf numFmtId="0" fontId="19" fillId="0" borderId="0" xfId="3871"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xf numFmtId="0" fontId="0" fillId="0" borderId="0" xfId="0" applyFont="1" applyAlignment="1">
      <alignment wrapText="1"/>
    </xf>
    <xf numFmtId="0" fontId="21" fillId="0" borderId="0" xfId="4871"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4871"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3702" applyFill="1"/>
    <xf numFmtId="2" fontId="25" fillId="0" borderId="0" xfId="0" applyNumberFormat="1" applyFont="1" applyFill="1"/>
    <xf numFmtId="0" fontId="0" fillId="0" borderId="5" xfId="3702" applyBorder="1"/>
    <xf numFmtId="0" fontId="21"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9" fillId="0" borderId="0" xfId="0" applyFont="1" applyFill="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51" zoomScaleNormal="51" topLeftCell="C1" workbookViewId="0">
      <pane ySplit="5" topLeftCell="A6" activePane="bottomLeft" state="frozen"/>
      <selection/>
      <selection pane="bottomLeft" activeCell="S19" sqref="S19"/>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72" t="s">
        <v>1</v>
      </c>
      <c r="AO1" s="174" t="s">
        <v>2</v>
      </c>
      <c r="AP1" s="58"/>
    </row>
    <row r="2" ht="36" customHeight="1" spans="2:42">
      <c r="B2" t="s">
        <v>3</v>
      </c>
      <c r="J2" s="42" t="s">
        <v>4</v>
      </c>
      <c r="K2" s="160"/>
      <c r="Q2" s="164" t="s">
        <v>5</v>
      </c>
      <c r="AN2" s="58" t="s">
        <v>6</v>
      </c>
      <c r="AO2" s="58" t="s">
        <v>7</v>
      </c>
      <c r="AP2" s="58" t="s">
        <v>8</v>
      </c>
    </row>
    <row r="3" ht="47" customHeight="1" spans="2:42">
      <c r="B3" s="155" t="s">
        <v>9</v>
      </c>
      <c r="AN3" s="173">
        <v>0.096</v>
      </c>
      <c r="AO3" s="173">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56">
        <v>0.6</v>
      </c>
      <c r="I6" s="156"/>
      <c r="J6" s="119"/>
      <c r="K6" s="161">
        <f>(6520/(105/3.412)*1)*574/157</f>
        <v>774.603685774947</v>
      </c>
      <c r="L6" s="161">
        <f>80/(105/3.412)*1</f>
        <v>2.59961904761905</v>
      </c>
      <c r="M6" s="162">
        <f>K6</f>
        <v>774.603685774947</v>
      </c>
      <c r="N6" s="162">
        <f>L6</f>
        <v>2.59961904761905</v>
      </c>
      <c r="O6" s="162">
        <f>M6</f>
        <v>774.603685774947</v>
      </c>
      <c r="P6" s="162">
        <f>L6</f>
        <v>2.59961904761905</v>
      </c>
      <c r="Q6" s="165">
        <f>(20+33)/2</f>
        <v>26.5</v>
      </c>
      <c r="R6" s="166">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56">
        <v>0.78</v>
      </c>
      <c r="I7" s="156"/>
      <c r="J7" s="119"/>
      <c r="K7" s="162">
        <f>K6</f>
        <v>774.603685774947</v>
      </c>
      <c r="L7" s="162">
        <f t="shared" ref="L7:Q7" si="1">L6</f>
        <v>2.59961904761905</v>
      </c>
      <c r="M7" s="162">
        <f t="shared" ref="M7:M23" si="2">K7</f>
        <v>774.603685774947</v>
      </c>
      <c r="N7" s="162">
        <f t="shared" si="1"/>
        <v>2.59961904761905</v>
      </c>
      <c r="O7" s="162">
        <f t="shared" ref="O7:O23" si="3">M7</f>
        <v>774.603685774947</v>
      </c>
      <c r="P7" s="162">
        <f t="shared" si="1"/>
        <v>2.59961904761905</v>
      </c>
      <c r="Q7" s="165">
        <f t="shared" si="1"/>
        <v>26.5</v>
      </c>
      <c r="R7" s="166">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56">
        <v>0.85</v>
      </c>
      <c r="I8" s="156"/>
      <c r="J8" s="119"/>
      <c r="K8" s="162">
        <f>K7</f>
        <v>774.603685774947</v>
      </c>
      <c r="L8" s="162">
        <f>L7</f>
        <v>2.59961904761905</v>
      </c>
      <c r="M8" s="162">
        <f t="shared" si="2"/>
        <v>774.603685774947</v>
      </c>
      <c r="N8" s="162">
        <f>N7</f>
        <v>2.59961904761905</v>
      </c>
      <c r="O8" s="162">
        <f t="shared" si="3"/>
        <v>774.603685774947</v>
      </c>
      <c r="P8" s="162">
        <f t="shared" ref="P8:P11" si="4">P7</f>
        <v>2.59961904761905</v>
      </c>
      <c r="Q8" s="165">
        <f>Q7</f>
        <v>26.5</v>
      </c>
      <c r="R8" s="166">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56">
        <v>0.62</v>
      </c>
      <c r="I9" s="156"/>
      <c r="J9" s="119"/>
      <c r="K9" s="132">
        <f>AY16</f>
        <v>573.73785</v>
      </c>
      <c r="L9" s="132">
        <f>60/10</f>
        <v>6</v>
      </c>
      <c r="M9" s="102">
        <f t="shared" si="2"/>
        <v>573.73785</v>
      </c>
      <c r="N9" s="132">
        <f>L9</f>
        <v>6</v>
      </c>
      <c r="O9" s="102">
        <f t="shared" si="3"/>
        <v>573.73785</v>
      </c>
      <c r="P9" s="132">
        <f>N9</f>
        <v>6</v>
      </c>
      <c r="Q9" s="167">
        <v>22</v>
      </c>
      <c r="R9" s="166">
        <v>31.54</v>
      </c>
      <c r="S9">
        <v>1</v>
      </c>
      <c r="V9" s="53"/>
      <c r="W9" t="s">
        <v>43</v>
      </c>
      <c r="X9" s="53"/>
      <c r="Y9" s="53" t="s">
        <v>39</v>
      </c>
      <c r="Z9" s="53" t="s">
        <v>40</v>
      </c>
      <c r="AA9" s="53"/>
      <c r="AB9" s="53"/>
      <c r="AC9" s="53"/>
    </row>
    <row r="10" spans="3:29">
      <c r="C10" t="s">
        <v>45</v>
      </c>
      <c r="D10" t="s">
        <v>44</v>
      </c>
      <c r="F10" t="s">
        <v>37</v>
      </c>
      <c r="G10" s="41">
        <v>2021</v>
      </c>
      <c r="H10" s="156">
        <v>0.8</v>
      </c>
      <c r="I10" s="156"/>
      <c r="J10" s="119"/>
      <c r="K10" s="102">
        <f t="shared" ref="K10:N10" si="5">K9</f>
        <v>573.73785</v>
      </c>
      <c r="L10" s="132">
        <f t="shared" si="5"/>
        <v>6</v>
      </c>
      <c r="M10" s="102">
        <f t="shared" si="2"/>
        <v>573.73785</v>
      </c>
      <c r="N10" s="132">
        <f t="shared" si="5"/>
        <v>6</v>
      </c>
      <c r="O10" s="102">
        <f t="shared" si="3"/>
        <v>573.73785</v>
      </c>
      <c r="P10" s="132">
        <f t="shared" si="4"/>
        <v>6</v>
      </c>
      <c r="Q10" s="167">
        <v>22</v>
      </c>
      <c r="R10" s="166">
        <v>31.54</v>
      </c>
      <c r="S10">
        <v>1</v>
      </c>
      <c r="V10" s="53"/>
      <c r="W10" t="s">
        <v>45</v>
      </c>
      <c r="X10" s="53"/>
      <c r="Y10" s="53" t="s">
        <v>39</v>
      </c>
      <c r="Z10" s="53" t="s">
        <v>40</v>
      </c>
      <c r="AA10" s="53"/>
      <c r="AB10" s="53"/>
      <c r="AC10" s="53"/>
    </row>
    <row r="11" spans="3:29">
      <c r="C11" t="s">
        <v>46</v>
      </c>
      <c r="D11" t="s">
        <v>44</v>
      </c>
      <c r="F11" t="s">
        <v>37</v>
      </c>
      <c r="G11" s="41">
        <v>2021</v>
      </c>
      <c r="H11" s="156">
        <v>0.9</v>
      </c>
      <c r="I11" s="156"/>
      <c r="J11" s="119"/>
      <c r="K11" s="102">
        <f t="shared" ref="K11:N11" si="6">K10</f>
        <v>573.73785</v>
      </c>
      <c r="L11" s="132">
        <f t="shared" si="6"/>
        <v>6</v>
      </c>
      <c r="M11" s="102">
        <f t="shared" si="2"/>
        <v>573.73785</v>
      </c>
      <c r="N11" s="132">
        <f t="shared" si="6"/>
        <v>6</v>
      </c>
      <c r="O11" s="102">
        <f t="shared" si="3"/>
        <v>573.73785</v>
      </c>
      <c r="P11" s="132">
        <f t="shared" si="4"/>
        <v>6</v>
      </c>
      <c r="Q11" s="167">
        <v>22</v>
      </c>
      <c r="R11" s="166">
        <v>31.54</v>
      </c>
      <c r="S11">
        <v>1</v>
      </c>
      <c r="V11" s="53"/>
      <c r="W11" t="s">
        <v>46</v>
      </c>
      <c r="X11" s="53"/>
      <c r="Y11" s="53" t="s">
        <v>39</v>
      </c>
      <c r="Z11" s="53" t="s">
        <v>40</v>
      </c>
      <c r="AA11" s="53"/>
      <c r="AB11" s="53"/>
      <c r="AC11" s="53"/>
    </row>
    <row r="12" spans="3:29">
      <c r="C12" t="s">
        <v>47</v>
      </c>
      <c r="D12" t="s">
        <v>48</v>
      </c>
      <c r="F12" t="s">
        <v>37</v>
      </c>
      <c r="G12" s="41">
        <v>2021</v>
      </c>
      <c r="H12" s="156">
        <v>1</v>
      </c>
      <c r="I12" s="156"/>
      <c r="J12" s="119"/>
      <c r="K12" s="132">
        <f>AY17</f>
        <v>655.7031</v>
      </c>
      <c r="L12" s="42">
        <v>5</v>
      </c>
      <c r="M12" s="42">
        <f t="shared" si="2"/>
        <v>655.7031</v>
      </c>
      <c r="N12" s="42">
        <f t="shared" ref="N12:N13" si="7">L12</f>
        <v>5</v>
      </c>
      <c r="O12" s="42">
        <f t="shared" si="3"/>
        <v>655.7031</v>
      </c>
      <c r="P12" s="42">
        <f t="shared" ref="P12:P13" si="8">N12</f>
        <v>5</v>
      </c>
      <c r="Q12" s="165">
        <f>(15+30)/2</f>
        <v>22.5</v>
      </c>
      <c r="R12" s="166">
        <v>31.54</v>
      </c>
      <c r="S12">
        <v>1</v>
      </c>
      <c r="V12" s="53"/>
      <c r="W12" t="s">
        <v>47</v>
      </c>
      <c r="X12" s="53"/>
      <c r="Y12" s="53" t="s">
        <v>39</v>
      </c>
      <c r="Z12" s="53" t="s">
        <v>40</v>
      </c>
      <c r="AA12" s="53"/>
      <c r="AB12" s="53"/>
      <c r="AC12" s="53"/>
    </row>
    <row r="13" spans="3:29">
      <c r="C13" t="s">
        <v>49</v>
      </c>
      <c r="D13" s="1" t="s">
        <v>48</v>
      </c>
      <c r="E13" s="1"/>
      <c r="F13" t="s">
        <v>37</v>
      </c>
      <c r="G13" s="41">
        <v>2021</v>
      </c>
      <c r="H13" s="156">
        <v>1</v>
      </c>
      <c r="I13" s="156"/>
      <c r="J13" s="119"/>
      <c r="K13" s="121">
        <f>AY19</f>
        <v>1727.75295</v>
      </c>
      <c r="L13" s="42">
        <f>150/10*1</f>
        <v>15</v>
      </c>
      <c r="M13" s="42">
        <f t="shared" si="2"/>
        <v>1727.75295</v>
      </c>
      <c r="N13" s="42">
        <f t="shared" si="7"/>
        <v>15</v>
      </c>
      <c r="O13" s="42">
        <f t="shared" si="3"/>
        <v>1727.75295</v>
      </c>
      <c r="P13" s="42">
        <f t="shared" si="8"/>
        <v>15</v>
      </c>
      <c r="Q13" s="165">
        <v>15.3</v>
      </c>
      <c r="R13" s="168">
        <v>31.54</v>
      </c>
      <c r="S13" s="169">
        <v>0.33</v>
      </c>
      <c r="V13" s="53"/>
      <c r="W13" t="s">
        <v>49</v>
      </c>
      <c r="X13" s="53"/>
      <c r="Y13" s="53" t="s">
        <v>39</v>
      </c>
      <c r="Z13" s="53" t="s">
        <v>40</v>
      </c>
      <c r="AA13" s="53"/>
      <c r="AB13" s="53"/>
      <c r="AC13" s="53"/>
    </row>
    <row r="14" spans="4:41">
      <c r="D14" s="157" t="str">
        <f>[3]COMM!$E$19</f>
        <v>RSDAHT</v>
      </c>
      <c r="H14" s="156"/>
      <c r="I14" s="156"/>
      <c r="K14" s="102"/>
      <c r="L14" s="102"/>
      <c r="M14" s="102"/>
      <c r="N14" s="102"/>
      <c r="O14" s="102"/>
      <c r="P14" s="102"/>
      <c r="Q14" s="167"/>
      <c r="R14" s="166">
        <v>31.54</v>
      </c>
      <c r="S14" s="58">
        <f>1-S13</f>
        <v>0.67</v>
      </c>
      <c r="V14" s="53"/>
      <c r="W14" t="s">
        <v>18</v>
      </c>
      <c r="X14" s="53"/>
      <c r="Y14" s="53"/>
      <c r="Z14" s="53"/>
      <c r="AA14" s="53"/>
      <c r="AB14" s="53"/>
      <c r="AC14" s="53"/>
      <c r="AN14" s="174" t="s">
        <v>50</v>
      </c>
      <c r="AO14" s="174" t="s">
        <v>51</v>
      </c>
    </row>
    <row r="15" ht="29" spans="3:51">
      <c r="C15" t="s">
        <v>52</v>
      </c>
      <c r="D15" t="s">
        <v>53</v>
      </c>
      <c r="F15" t="s">
        <v>37</v>
      </c>
      <c r="G15" s="41">
        <v>2021</v>
      </c>
      <c r="H15" s="156">
        <v>0.5</v>
      </c>
      <c r="I15" s="156"/>
      <c r="K15" s="102">
        <f>K16</f>
        <v>1127.68990573248</v>
      </c>
      <c r="L15" s="102">
        <f t="shared" ref="L15:Q15" si="9">L16</f>
        <v>21.1544</v>
      </c>
      <c r="M15" s="102">
        <f t="shared" si="9"/>
        <v>1127.68990573248</v>
      </c>
      <c r="N15" s="102">
        <f t="shared" si="9"/>
        <v>21.1544</v>
      </c>
      <c r="O15" s="102">
        <f t="shared" si="9"/>
        <v>1127.68990573248</v>
      </c>
      <c r="P15" s="102">
        <f t="shared" si="9"/>
        <v>21.1544</v>
      </c>
      <c r="Q15" s="132">
        <f t="shared" si="9"/>
        <v>19</v>
      </c>
      <c r="R15" s="166">
        <v>31.54</v>
      </c>
      <c r="S15">
        <v>1</v>
      </c>
      <c r="V15" s="53"/>
      <c r="W15" t="s">
        <v>52</v>
      </c>
      <c r="X15" s="53"/>
      <c r="Y15" s="53" t="s">
        <v>39</v>
      </c>
      <c r="Z15" s="53" t="s">
        <v>40</v>
      </c>
      <c r="AA15" s="53"/>
      <c r="AB15" s="53"/>
      <c r="AC15" s="53"/>
      <c r="AN15" s="175" t="s">
        <v>54</v>
      </c>
      <c r="AO15" s="175" t="s">
        <v>55</v>
      </c>
      <c r="AP15" s="175" t="s">
        <v>56</v>
      </c>
      <c r="AQ15" s="175" t="s">
        <v>57</v>
      </c>
      <c r="AR15" s="175" t="s">
        <v>58</v>
      </c>
      <c r="AS15" s="175" t="s">
        <v>59</v>
      </c>
      <c r="AT15" s="175" t="s">
        <v>60</v>
      </c>
      <c r="AX15" s="102" t="s">
        <v>61</v>
      </c>
      <c r="AY15" s="132" t="s">
        <v>62</v>
      </c>
    </row>
    <row r="16" spans="3:51">
      <c r="C16" t="s">
        <v>63</v>
      </c>
      <c r="D16" t="s">
        <v>64</v>
      </c>
      <c r="F16" t="s">
        <v>37</v>
      </c>
      <c r="G16" s="41">
        <v>2021</v>
      </c>
      <c r="H16" s="156">
        <v>0.5</v>
      </c>
      <c r="I16" s="156"/>
      <c r="K16" s="161">
        <f>(4520/(50/3.412)*1)*574/157</f>
        <v>1127.68990573248</v>
      </c>
      <c r="L16" s="161">
        <f>310/(50/3.412)*1</f>
        <v>21.1544</v>
      </c>
      <c r="M16" s="161">
        <f>K16</f>
        <v>1127.68990573248</v>
      </c>
      <c r="N16" s="161">
        <f>L16</f>
        <v>21.1544</v>
      </c>
      <c r="O16" s="161">
        <f>M16</f>
        <v>1127.68990573248</v>
      </c>
      <c r="P16" s="161">
        <f>N16</f>
        <v>21.1544</v>
      </c>
      <c r="Q16" s="170">
        <v>19</v>
      </c>
      <c r="R16" s="166">
        <v>31.54</v>
      </c>
      <c r="S16">
        <v>1</v>
      </c>
      <c r="V16" s="53"/>
      <c r="W16" t="s">
        <v>63</v>
      </c>
      <c r="X16" s="53"/>
      <c r="Y16" s="53" t="s">
        <v>39</v>
      </c>
      <c r="Z16" s="53" t="s">
        <v>40</v>
      </c>
      <c r="AA16" s="53"/>
      <c r="AB16" s="53"/>
      <c r="AC16" s="53"/>
      <c r="AG16" s="176">
        <v>0.6</v>
      </c>
      <c r="AN16" s="177" t="s">
        <v>65</v>
      </c>
      <c r="AO16" s="181">
        <v>4500</v>
      </c>
      <c r="AP16" s="181">
        <v>6030</v>
      </c>
      <c r="AQ16" s="181">
        <v>4080</v>
      </c>
      <c r="AR16" s="181">
        <v>4850</v>
      </c>
      <c r="AS16" s="181">
        <v>3750</v>
      </c>
      <c r="AT16" s="181">
        <v>4170</v>
      </c>
      <c r="AX16">
        <f>AVERAGE(AO16:AP16)*AN3+AVERAGE(AQ16:AR16)*AO3+AVERAGE(AS16:AT16)*AP3</f>
        <v>4249.91</v>
      </c>
      <c r="AY16" s="132">
        <f>AX16/10*1.35</f>
        <v>573.73785</v>
      </c>
    </row>
    <row r="17" spans="3:51">
      <c r="C17" s="105" t="s">
        <v>66</v>
      </c>
      <c r="D17" s="105" t="s">
        <v>48</v>
      </c>
      <c r="E17" s="105"/>
      <c r="F17" t="s">
        <v>37</v>
      </c>
      <c r="G17" s="41">
        <v>2021</v>
      </c>
      <c r="H17" s="158">
        <v>0.75</v>
      </c>
      <c r="I17" s="163"/>
      <c r="K17" s="102">
        <f>AVERAGE(K16,K12)</f>
        <v>891.696502866242</v>
      </c>
      <c r="L17" s="102">
        <f>AVERAGE(L16,L12)</f>
        <v>13.0772</v>
      </c>
      <c r="M17" s="102">
        <f t="shared" si="2"/>
        <v>891.696502866242</v>
      </c>
      <c r="N17" s="102">
        <f>L17</f>
        <v>13.0772</v>
      </c>
      <c r="O17" s="102">
        <f t="shared" si="3"/>
        <v>891.696502866242</v>
      </c>
      <c r="P17" s="102">
        <f>N17</f>
        <v>13.0772</v>
      </c>
      <c r="Q17" s="165">
        <f>AVERAGE(Q16,Q12)</f>
        <v>20.75</v>
      </c>
      <c r="R17" s="166">
        <v>31.54</v>
      </c>
      <c r="S17" s="138">
        <f>'[7]TechHeat-RES-SD'!$I$161</f>
        <v>0.609756097560976</v>
      </c>
      <c r="V17" s="53"/>
      <c r="W17" s="105" t="s">
        <v>66</v>
      </c>
      <c r="X17" s="53"/>
      <c r="Y17" s="53" t="s">
        <v>39</v>
      </c>
      <c r="Z17" s="53" t="s">
        <v>40</v>
      </c>
      <c r="AA17" s="53"/>
      <c r="AB17" s="53"/>
      <c r="AC17" s="53"/>
      <c r="AG17" s="176">
        <v>0.78</v>
      </c>
      <c r="AN17" s="177" t="s">
        <v>67</v>
      </c>
      <c r="AO17" s="181">
        <v>4990</v>
      </c>
      <c r="AP17" s="181">
        <v>4990</v>
      </c>
      <c r="AQ17" s="181">
        <v>4990</v>
      </c>
      <c r="AR17" s="181">
        <v>4990</v>
      </c>
      <c r="AS17" s="181">
        <v>4760</v>
      </c>
      <c r="AT17" s="181">
        <v>4760</v>
      </c>
      <c r="AX17">
        <f>AVERAGE(AO17:AP17)*AN4+AVERAGE(AQ17:AR17)*AO4+AVERAGE(AS17:AT17)*AP4</f>
        <v>4857.06</v>
      </c>
      <c r="AY17" s="132">
        <f>AX17/10*1.35</f>
        <v>655.7031</v>
      </c>
    </row>
    <row r="18" ht="43.5" spans="4:51">
      <c r="D18" s="105" t="s">
        <v>64</v>
      </c>
      <c r="E18" s="105"/>
      <c r="H18" s="158"/>
      <c r="I18" s="163"/>
      <c r="K18" s="102"/>
      <c r="L18" s="3"/>
      <c r="M18" s="102"/>
      <c r="N18" s="3"/>
      <c r="O18" s="102"/>
      <c r="P18" s="3"/>
      <c r="Q18" s="167"/>
      <c r="R18" s="166"/>
      <c r="S18" s="138">
        <f>1-S17</f>
        <v>0.390243902439024</v>
      </c>
      <c r="V18" s="53"/>
      <c r="W18" t="s">
        <v>18</v>
      </c>
      <c r="X18" s="53"/>
      <c r="Y18" s="53"/>
      <c r="Z18" s="53"/>
      <c r="AA18" s="53"/>
      <c r="AB18" s="53"/>
      <c r="AC18" s="53"/>
      <c r="AG18" s="176">
        <v>0.85</v>
      </c>
      <c r="AN18" s="178" t="s">
        <v>68</v>
      </c>
      <c r="AO18" s="181">
        <v>7570</v>
      </c>
      <c r="AP18" s="181">
        <v>8180</v>
      </c>
      <c r="AQ18" s="181">
        <v>6200</v>
      </c>
      <c r="AR18" s="181">
        <v>6200</v>
      </c>
      <c r="AS18" s="181">
        <v>5760</v>
      </c>
      <c r="AT18" s="181">
        <v>5760</v>
      </c>
      <c r="AX18">
        <f>AVERAGE(AO18:AP18)*AN5+AVERAGE(AQ18:AR18)*AO5+AVERAGE(AS18:AT18)*AP5</f>
        <v>6106.48</v>
      </c>
      <c r="AY18" s="132">
        <f>AX18/10*1.35</f>
        <v>824.3748</v>
      </c>
    </row>
    <row r="19" ht="43.5" spans="3:51">
      <c r="C19" s="105" t="s">
        <v>69</v>
      </c>
      <c r="D19" s="105" t="s">
        <v>36</v>
      </c>
      <c r="E19" s="105"/>
      <c r="F19" t="s">
        <v>37</v>
      </c>
      <c r="G19" s="41">
        <v>2021</v>
      </c>
      <c r="H19" s="158">
        <v>0.675</v>
      </c>
      <c r="I19" s="163"/>
      <c r="K19" s="102">
        <f>AVERAGE(K6,K16)</f>
        <v>951.146795753715</v>
      </c>
      <c r="L19" s="102">
        <f>AVERAGE(L6,L16)</f>
        <v>11.8770095238095</v>
      </c>
      <c r="M19" s="102">
        <f t="shared" si="2"/>
        <v>951.146795753715</v>
      </c>
      <c r="N19" s="102">
        <f>L19</f>
        <v>11.8770095238095</v>
      </c>
      <c r="O19" s="102">
        <f t="shared" si="3"/>
        <v>951.146795753715</v>
      </c>
      <c r="P19" s="102">
        <f>N19</f>
        <v>11.8770095238095</v>
      </c>
      <c r="Q19" s="165">
        <f>AVERAGE(Q6,Q16)</f>
        <v>22.75</v>
      </c>
      <c r="R19" s="166">
        <v>31.54</v>
      </c>
      <c r="S19" s="138">
        <f>'[7]TechHeat-RES-SD'!$I$163</f>
        <v>0.238095238095238</v>
      </c>
      <c r="V19" s="53"/>
      <c r="W19" s="105" t="s">
        <v>69</v>
      </c>
      <c r="X19" s="53"/>
      <c r="Y19" s="53" t="s">
        <v>39</v>
      </c>
      <c r="Z19" s="53" t="s">
        <v>40</v>
      </c>
      <c r="AA19" s="53"/>
      <c r="AB19" s="53"/>
      <c r="AC19" s="53"/>
      <c r="AG19" s="176">
        <v>0.62</v>
      </c>
      <c r="AN19" s="177" t="s">
        <v>70</v>
      </c>
      <c r="AO19" s="181">
        <v>14840</v>
      </c>
      <c r="AP19" s="181">
        <v>19880</v>
      </c>
      <c r="AQ19" s="181">
        <v>12870</v>
      </c>
      <c r="AR19" s="181">
        <v>13260</v>
      </c>
      <c r="AS19" s="181">
        <v>11890</v>
      </c>
      <c r="AT19" s="181">
        <v>11890</v>
      </c>
      <c r="AX19">
        <f>AVERAGE(AO19:AP19)*AN6+AVERAGE(AQ19:AR19)*AO6+AVERAGE(AS19:AT19)*AP6</f>
        <v>12798.17</v>
      </c>
      <c r="AY19" s="132">
        <f>AX19/10*1.35</f>
        <v>1727.75295</v>
      </c>
    </row>
    <row r="20" ht="29" spans="4:51">
      <c r="D20" s="105" t="s">
        <v>64</v>
      </c>
      <c r="E20" s="105"/>
      <c r="H20" s="158"/>
      <c r="I20" s="163"/>
      <c r="K20" s="102"/>
      <c r="L20" s="3"/>
      <c r="M20" s="102"/>
      <c r="N20" s="3"/>
      <c r="O20" s="102"/>
      <c r="P20" s="3"/>
      <c r="Q20" s="167"/>
      <c r="R20" s="166"/>
      <c r="S20" s="138">
        <f>1-S19</f>
        <v>0.761904761904762</v>
      </c>
      <c r="V20" s="53"/>
      <c r="W20" t="s">
        <v>18</v>
      </c>
      <c r="X20" s="53"/>
      <c r="Y20" s="53"/>
      <c r="Z20" s="53"/>
      <c r="AA20" s="53"/>
      <c r="AB20" s="53"/>
      <c r="AC20" s="53"/>
      <c r="AG20" s="176">
        <v>0.8</v>
      </c>
      <c r="AN20" s="178" t="s">
        <v>71</v>
      </c>
      <c r="AO20" s="182">
        <v>880</v>
      </c>
      <c r="AP20" s="181">
        <v>1810</v>
      </c>
      <c r="AQ20" s="182">
        <v>620</v>
      </c>
      <c r="AR20" s="181">
        <v>1090</v>
      </c>
      <c r="AS20" s="182">
        <v>420</v>
      </c>
      <c r="AT20" s="182">
        <v>680</v>
      </c>
      <c r="AX20">
        <f>AVERAGE(AO20:AP20)*AN7+AVERAGE(AQ20:AR20)*AO7+AVERAGE(AS20:AT20)*AP7</f>
        <v>725.75</v>
      </c>
      <c r="AY20" s="132">
        <f>AX20/10*1.35</f>
        <v>97.97625</v>
      </c>
    </row>
    <row r="21" spans="3:46">
      <c r="C21" s="105" t="s">
        <v>72</v>
      </c>
      <c r="D21" s="105" t="s">
        <v>48</v>
      </c>
      <c r="E21" s="105"/>
      <c r="F21" t="s">
        <v>37</v>
      </c>
      <c r="G21" s="41">
        <v>2021</v>
      </c>
      <c r="H21" s="158">
        <v>0.9</v>
      </c>
      <c r="I21" s="163"/>
      <c r="K21" s="102">
        <f>AVERAGE(K12,K11)</f>
        <v>614.720475</v>
      </c>
      <c r="L21" s="102">
        <f>AVERAGE(L12,L11)</f>
        <v>5.5</v>
      </c>
      <c r="M21" s="102">
        <f t="shared" si="2"/>
        <v>614.720475</v>
      </c>
      <c r="N21" s="102">
        <f>L21</f>
        <v>5.5</v>
      </c>
      <c r="O21" s="102">
        <f t="shared" si="3"/>
        <v>614.720475</v>
      </c>
      <c r="P21" s="102">
        <f>N21</f>
        <v>5.5</v>
      </c>
      <c r="Q21" s="167">
        <f>AVERAGE(Q9,Q12)</f>
        <v>22.25</v>
      </c>
      <c r="R21" s="166">
        <v>31.54</v>
      </c>
      <c r="S21" s="138">
        <f>'[7]TechHeat-RES-SD'!$I$165</f>
        <v>0.320512820512821</v>
      </c>
      <c r="V21" s="53"/>
      <c r="W21" s="105" t="s">
        <v>72</v>
      </c>
      <c r="X21" s="53"/>
      <c r="Y21" s="53" t="s">
        <v>39</v>
      </c>
      <c r="Z21" s="53" t="s">
        <v>40</v>
      </c>
      <c r="AA21" s="53"/>
      <c r="AB21" s="53"/>
      <c r="AC21" s="53"/>
      <c r="AG21" s="176">
        <v>0.9</v>
      </c>
      <c r="AN21" s="178" t="s">
        <v>73</v>
      </c>
      <c r="AO21" s="181">
        <v>3400</v>
      </c>
      <c r="AP21" s="181">
        <v>3400</v>
      </c>
      <c r="AQ21" s="182" t="s">
        <v>74</v>
      </c>
      <c r="AR21" s="182" t="s">
        <v>74</v>
      </c>
      <c r="AS21" s="182" t="s">
        <v>74</v>
      </c>
      <c r="AT21" s="182" t="s">
        <v>74</v>
      </c>
    </row>
    <row r="22" spans="4:33">
      <c r="D22" s="105" t="s">
        <v>44</v>
      </c>
      <c r="E22" s="105"/>
      <c r="H22" s="158"/>
      <c r="I22" s="163"/>
      <c r="K22" s="102"/>
      <c r="L22" s="3"/>
      <c r="M22" s="102"/>
      <c r="N22" s="3"/>
      <c r="O22" s="102"/>
      <c r="P22" s="3"/>
      <c r="Q22" s="167"/>
      <c r="R22" s="166"/>
      <c r="S22" s="138">
        <f>1-S21</f>
        <v>0.679487179487179</v>
      </c>
      <c r="V22" s="53"/>
      <c r="W22" t="s">
        <v>18</v>
      </c>
      <c r="X22" s="53"/>
      <c r="Y22" s="53"/>
      <c r="Z22" s="53"/>
      <c r="AA22" s="53"/>
      <c r="AB22" s="53"/>
      <c r="AC22" s="53"/>
      <c r="AG22" s="176">
        <v>1</v>
      </c>
    </row>
    <row r="23" spans="3:33">
      <c r="C23" s="105" t="s">
        <v>75</v>
      </c>
      <c r="D23" s="105" t="s">
        <v>48</v>
      </c>
      <c r="E23" s="105"/>
      <c r="F23" t="s">
        <v>37</v>
      </c>
      <c r="G23" s="41">
        <v>2021</v>
      </c>
      <c r="H23" s="158">
        <v>0.89</v>
      </c>
      <c r="I23" s="163"/>
      <c r="K23" s="102">
        <f>AVERAGE(K6,K12)</f>
        <v>715.153392887474</v>
      </c>
      <c r="L23" s="102">
        <f>AVERAGE(L6,L12)</f>
        <v>3.79980952380952</v>
      </c>
      <c r="M23" s="102">
        <f t="shared" si="2"/>
        <v>715.153392887474</v>
      </c>
      <c r="N23" s="102">
        <f>L23</f>
        <v>3.79980952380952</v>
      </c>
      <c r="O23" s="102">
        <f t="shared" si="3"/>
        <v>715.153392887474</v>
      </c>
      <c r="P23" s="102">
        <f>N23</f>
        <v>3.79980952380952</v>
      </c>
      <c r="Q23" s="165">
        <f>AVERAGE(Q6,Q12)</f>
        <v>24.5</v>
      </c>
      <c r="R23" s="166">
        <v>31.54</v>
      </c>
      <c r="S23" s="138">
        <f>'[7]TechHeat-RES-SD'!$I$167</f>
        <v>0.833333333333333</v>
      </c>
      <c r="V23" s="53"/>
      <c r="W23" s="105" t="s">
        <v>75</v>
      </c>
      <c r="X23" s="53"/>
      <c r="Y23" s="53" t="s">
        <v>39</v>
      </c>
      <c r="Z23" s="53" t="s">
        <v>40</v>
      </c>
      <c r="AA23" s="53"/>
      <c r="AB23" s="53"/>
      <c r="AC23" s="53"/>
      <c r="AG23" s="176">
        <v>1.9</v>
      </c>
    </row>
    <row r="24" spans="4:33">
      <c r="D24" s="105" t="s">
        <v>36</v>
      </c>
      <c r="E24" s="105"/>
      <c r="K24" s="102"/>
      <c r="M24" s="102"/>
      <c r="O24" s="102"/>
      <c r="P24" s="3"/>
      <c r="Q24" s="42"/>
      <c r="S24" s="138">
        <f>1-S23</f>
        <v>0.166666666666667</v>
      </c>
      <c r="V24" s="53"/>
      <c r="W24" t="s">
        <v>18</v>
      </c>
      <c r="X24" s="53"/>
      <c r="Y24" s="53"/>
      <c r="Z24" s="53"/>
      <c r="AA24" s="53"/>
      <c r="AB24" s="53"/>
      <c r="AC24" s="53"/>
      <c r="AG24" s="176">
        <v>0.5</v>
      </c>
    </row>
    <row r="25" spans="3:33">
      <c r="C25" t="s">
        <v>76</v>
      </c>
      <c r="D25" t="s">
        <v>36</v>
      </c>
      <c r="F25" t="s">
        <v>77</v>
      </c>
      <c r="G25" s="41">
        <v>2021</v>
      </c>
      <c r="H25" s="156">
        <v>0.6</v>
      </c>
      <c r="I25" s="156"/>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65">
        <f t="shared" si="10"/>
        <v>26.5</v>
      </c>
      <c r="R25">
        <v>31.54</v>
      </c>
      <c r="S25">
        <v>1</v>
      </c>
      <c r="V25" s="53"/>
      <c r="W25" t="s">
        <v>76</v>
      </c>
      <c r="X25" s="53"/>
      <c r="Y25" s="53" t="s">
        <v>39</v>
      </c>
      <c r="Z25" s="53" t="s">
        <v>40</v>
      </c>
      <c r="AA25" s="53"/>
      <c r="AB25" s="53"/>
      <c r="AC25" s="53"/>
      <c r="AG25" s="176">
        <v>0.5</v>
      </c>
    </row>
    <row r="26" spans="3:33">
      <c r="C26" t="s">
        <v>78</v>
      </c>
      <c r="D26" t="s">
        <v>36</v>
      </c>
      <c r="F26" t="s">
        <v>77</v>
      </c>
      <c r="G26" s="41">
        <v>2021</v>
      </c>
      <c r="H26" s="156">
        <v>0.78</v>
      </c>
      <c r="I26" s="156"/>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65">
        <f t="shared" si="16"/>
        <v>26.5</v>
      </c>
      <c r="R26">
        <v>31.54</v>
      </c>
      <c r="S26">
        <v>1</v>
      </c>
      <c r="V26" s="53"/>
      <c r="W26" t="s">
        <v>78</v>
      </c>
      <c r="X26" s="53"/>
      <c r="Y26" s="53" t="s">
        <v>39</v>
      </c>
      <c r="Z26" s="53" t="s">
        <v>40</v>
      </c>
      <c r="AA26" s="53"/>
      <c r="AB26" s="53"/>
      <c r="AC26" s="53"/>
      <c r="AG26" s="179">
        <v>0.75</v>
      </c>
    </row>
    <row r="27" spans="3:33">
      <c r="C27" t="s">
        <v>79</v>
      </c>
      <c r="D27" t="s">
        <v>36</v>
      </c>
      <c r="F27" t="s">
        <v>77</v>
      </c>
      <c r="G27" s="41">
        <v>2021</v>
      </c>
      <c r="H27" s="156">
        <v>0.85</v>
      </c>
      <c r="I27" s="156"/>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65">
        <f t="shared" si="16"/>
        <v>26.5</v>
      </c>
      <c r="R27">
        <v>31.54</v>
      </c>
      <c r="S27">
        <v>1</v>
      </c>
      <c r="V27" s="53"/>
      <c r="W27" t="s">
        <v>79</v>
      </c>
      <c r="X27" s="53"/>
      <c r="Y27" s="53" t="s">
        <v>39</v>
      </c>
      <c r="Z27" s="53" t="s">
        <v>40</v>
      </c>
      <c r="AA27" s="53"/>
      <c r="AB27" s="53"/>
      <c r="AC27" s="53"/>
      <c r="AG27" s="179"/>
    </row>
    <row r="28" spans="3:33">
      <c r="C28" t="s">
        <v>80</v>
      </c>
      <c r="D28" t="s">
        <v>44</v>
      </c>
      <c r="F28" t="s">
        <v>77</v>
      </c>
      <c r="G28" s="41">
        <v>2021</v>
      </c>
      <c r="H28" s="156">
        <v>0.62</v>
      </c>
      <c r="I28" s="156"/>
      <c r="K28" s="62">
        <f t="shared" si="11"/>
        <v>573.73785</v>
      </c>
      <c r="L28" s="62">
        <f t="shared" si="12"/>
        <v>6</v>
      </c>
      <c r="M28" s="62">
        <f t="shared" si="13"/>
        <v>573.73785</v>
      </c>
      <c r="N28" s="62">
        <f t="shared" si="14"/>
        <v>6</v>
      </c>
      <c r="O28" s="62">
        <f t="shared" si="15"/>
        <v>573.73785</v>
      </c>
      <c r="P28" s="62">
        <f t="shared" si="16"/>
        <v>6</v>
      </c>
      <c r="Q28" s="165">
        <f t="shared" si="16"/>
        <v>22</v>
      </c>
      <c r="R28">
        <v>31.54</v>
      </c>
      <c r="S28">
        <v>1</v>
      </c>
      <c r="V28" s="53"/>
      <c r="W28" t="s">
        <v>80</v>
      </c>
      <c r="X28" s="53"/>
      <c r="Y28" s="53" t="s">
        <v>39</v>
      </c>
      <c r="Z28" s="53" t="s">
        <v>40</v>
      </c>
      <c r="AA28" s="53"/>
      <c r="AB28" s="53"/>
      <c r="AC28" s="53"/>
      <c r="AG28" s="179">
        <v>0.675</v>
      </c>
    </row>
    <row r="29" spans="3:33">
      <c r="C29" t="s">
        <v>81</v>
      </c>
      <c r="D29" t="s">
        <v>44</v>
      </c>
      <c r="F29" t="s">
        <v>77</v>
      </c>
      <c r="G29" s="41">
        <v>2021</v>
      </c>
      <c r="H29" s="156">
        <v>0.8</v>
      </c>
      <c r="I29" s="156"/>
      <c r="K29" s="62">
        <f t="shared" si="11"/>
        <v>573.73785</v>
      </c>
      <c r="L29" s="62">
        <f t="shared" si="12"/>
        <v>6</v>
      </c>
      <c r="M29" s="62">
        <f t="shared" si="13"/>
        <v>573.73785</v>
      </c>
      <c r="N29" s="62">
        <f t="shared" si="14"/>
        <v>6</v>
      </c>
      <c r="O29" s="62">
        <f t="shared" si="15"/>
        <v>573.73785</v>
      </c>
      <c r="P29" s="62">
        <f t="shared" si="16"/>
        <v>6</v>
      </c>
      <c r="Q29" s="165">
        <f t="shared" si="16"/>
        <v>22</v>
      </c>
      <c r="R29">
        <v>31.54</v>
      </c>
      <c r="S29">
        <v>1</v>
      </c>
      <c r="V29" s="53"/>
      <c r="W29" t="s">
        <v>81</v>
      </c>
      <c r="X29" s="53"/>
      <c r="Y29" s="53" t="s">
        <v>39</v>
      </c>
      <c r="Z29" s="53" t="s">
        <v>40</v>
      </c>
      <c r="AA29" s="53"/>
      <c r="AB29" s="53"/>
      <c r="AC29" s="53"/>
      <c r="AG29" s="179"/>
    </row>
    <row r="30" spans="3:33">
      <c r="C30" t="s">
        <v>82</v>
      </c>
      <c r="D30" t="s">
        <v>44</v>
      </c>
      <c r="F30" t="s">
        <v>77</v>
      </c>
      <c r="G30" s="41">
        <v>2021</v>
      </c>
      <c r="H30" s="156">
        <v>0.9</v>
      </c>
      <c r="I30" s="156"/>
      <c r="K30" s="62">
        <f t="shared" si="11"/>
        <v>573.73785</v>
      </c>
      <c r="L30" s="62">
        <f t="shared" si="12"/>
        <v>6</v>
      </c>
      <c r="M30" s="62">
        <f t="shared" si="13"/>
        <v>573.73785</v>
      </c>
      <c r="N30" s="62">
        <f t="shared" si="14"/>
        <v>6</v>
      </c>
      <c r="O30" s="62">
        <f t="shared" si="15"/>
        <v>573.73785</v>
      </c>
      <c r="P30" s="62">
        <f t="shared" si="16"/>
        <v>6</v>
      </c>
      <c r="Q30" s="165">
        <f t="shared" si="16"/>
        <v>22</v>
      </c>
      <c r="R30">
        <v>31.54</v>
      </c>
      <c r="S30">
        <v>1</v>
      </c>
      <c r="V30" s="53"/>
      <c r="W30" t="s">
        <v>82</v>
      </c>
      <c r="X30" s="53"/>
      <c r="Y30" s="53" t="s">
        <v>39</v>
      </c>
      <c r="Z30" s="53" t="s">
        <v>40</v>
      </c>
      <c r="AA30" s="53"/>
      <c r="AB30" s="53"/>
      <c r="AC30" s="53"/>
      <c r="AG30" s="179">
        <v>0.9</v>
      </c>
    </row>
    <row r="31" spans="3:33">
      <c r="C31" t="s">
        <v>83</v>
      </c>
      <c r="D31" t="s">
        <v>48</v>
      </c>
      <c r="F31" t="s">
        <v>77</v>
      </c>
      <c r="G31" s="41">
        <v>2021</v>
      </c>
      <c r="H31" s="156">
        <v>1</v>
      </c>
      <c r="I31" s="156"/>
      <c r="K31" s="62">
        <f t="shared" si="11"/>
        <v>655.7031</v>
      </c>
      <c r="L31" s="62">
        <f t="shared" si="12"/>
        <v>5</v>
      </c>
      <c r="M31" s="62">
        <f t="shared" si="13"/>
        <v>655.7031</v>
      </c>
      <c r="N31" s="62">
        <f t="shared" si="14"/>
        <v>5</v>
      </c>
      <c r="O31" s="62">
        <f t="shared" si="15"/>
        <v>655.7031</v>
      </c>
      <c r="P31" s="62">
        <f t="shared" si="16"/>
        <v>5</v>
      </c>
      <c r="Q31" s="165">
        <f t="shared" si="16"/>
        <v>22.5</v>
      </c>
      <c r="R31">
        <v>31.54</v>
      </c>
      <c r="S31">
        <v>1</v>
      </c>
      <c r="V31" s="53"/>
      <c r="W31" t="s">
        <v>83</v>
      </c>
      <c r="X31" s="53"/>
      <c r="Y31" s="53" t="s">
        <v>39</v>
      </c>
      <c r="Z31" s="53" t="s">
        <v>40</v>
      </c>
      <c r="AA31" s="53"/>
      <c r="AB31" s="53"/>
      <c r="AC31" s="53"/>
      <c r="AG31" s="179"/>
    </row>
    <row r="32" spans="3:33">
      <c r="C32" t="s">
        <v>84</v>
      </c>
      <c r="D32" s="1" t="s">
        <v>48</v>
      </c>
      <c r="E32" s="1"/>
      <c r="F32" s="126" t="s">
        <v>77</v>
      </c>
      <c r="G32" s="41">
        <v>2021</v>
      </c>
      <c r="H32" s="156">
        <v>1</v>
      </c>
      <c r="I32" s="156"/>
      <c r="K32" s="62">
        <f t="shared" si="11"/>
        <v>1727.75295</v>
      </c>
      <c r="L32" s="62">
        <f t="shared" si="12"/>
        <v>15</v>
      </c>
      <c r="M32" s="62">
        <f t="shared" si="13"/>
        <v>1727.75295</v>
      </c>
      <c r="N32" s="62">
        <f t="shared" si="14"/>
        <v>15</v>
      </c>
      <c r="O32" s="62">
        <f t="shared" si="15"/>
        <v>1727.75295</v>
      </c>
      <c r="P32" s="62">
        <f t="shared" si="16"/>
        <v>15</v>
      </c>
      <c r="Q32" s="165">
        <f t="shared" si="16"/>
        <v>15.3</v>
      </c>
      <c r="R32" s="126">
        <v>31.54</v>
      </c>
      <c r="S32" s="126">
        <v>0.33</v>
      </c>
      <c r="V32" s="53"/>
      <c r="W32" t="s">
        <v>84</v>
      </c>
      <c r="X32" s="53"/>
      <c r="Y32" s="53" t="s">
        <v>39</v>
      </c>
      <c r="Z32" s="53" t="s">
        <v>40</v>
      </c>
      <c r="AA32" s="53"/>
      <c r="AB32" s="53"/>
      <c r="AC32" s="53"/>
      <c r="AG32" s="179">
        <v>0.89</v>
      </c>
    </row>
    <row r="33" spans="4:33">
      <c r="D33" s="157" t="str">
        <f>[3]COMM!$E$19</f>
        <v>RSDAHT</v>
      </c>
      <c r="H33" s="156"/>
      <c r="I33" s="156"/>
      <c r="K33" s="102"/>
      <c r="L33" s="3"/>
      <c r="M33" s="102"/>
      <c r="N33" s="3"/>
      <c r="O33" s="102"/>
      <c r="P33" s="3"/>
      <c r="Q33" s="165"/>
      <c r="R33">
        <v>31.54</v>
      </c>
      <c r="V33" s="53"/>
      <c r="W33" t="s">
        <v>18</v>
      </c>
      <c r="X33" s="53"/>
      <c r="Y33" s="53"/>
      <c r="Z33" s="53"/>
      <c r="AA33" s="53"/>
      <c r="AB33" s="53"/>
      <c r="AC33" s="53"/>
      <c r="AG33" s="180"/>
    </row>
    <row r="34" spans="3:29">
      <c r="C34" t="s">
        <v>85</v>
      </c>
      <c r="D34" t="s">
        <v>53</v>
      </c>
      <c r="F34" t="s">
        <v>77</v>
      </c>
      <c r="G34" s="41">
        <v>2021</v>
      </c>
      <c r="H34" s="156">
        <v>0.5</v>
      </c>
      <c r="I34" s="156"/>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65">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56">
        <v>0.5</v>
      </c>
      <c r="I35" s="156"/>
      <c r="K35" s="62">
        <f t="shared" si="17"/>
        <v>1127.68990573248</v>
      </c>
      <c r="L35" s="62">
        <f t="shared" si="18"/>
        <v>21.1544</v>
      </c>
      <c r="M35" s="62">
        <f t="shared" si="19"/>
        <v>1127.68990573248</v>
      </c>
      <c r="N35" s="62">
        <f t="shared" si="20"/>
        <v>21.1544</v>
      </c>
      <c r="O35" s="62">
        <f t="shared" si="21"/>
        <v>1127.68990573248</v>
      </c>
      <c r="P35" s="62">
        <f t="shared" si="22"/>
        <v>21.1544</v>
      </c>
      <c r="Q35" s="165">
        <f t="shared" si="23"/>
        <v>19</v>
      </c>
      <c r="R35">
        <v>31.54</v>
      </c>
      <c r="S35">
        <v>1</v>
      </c>
      <c r="V35" s="53"/>
      <c r="W35" t="s">
        <v>86</v>
      </c>
      <c r="X35" s="53"/>
      <c r="Y35" s="53" t="s">
        <v>39</v>
      </c>
      <c r="Z35" s="53" t="s">
        <v>40</v>
      </c>
      <c r="AA35" s="53"/>
      <c r="AB35" s="53"/>
      <c r="AC35" s="53"/>
      <c r="AG35" s="176">
        <v>0.6</v>
      </c>
    </row>
    <row r="36" spans="3:33">
      <c r="C36" s="105" t="s">
        <v>87</v>
      </c>
      <c r="D36" s="105" t="s">
        <v>48</v>
      </c>
      <c r="E36" s="105"/>
      <c r="F36" t="s">
        <v>77</v>
      </c>
      <c r="G36" s="41">
        <v>2021</v>
      </c>
      <c r="H36" s="156">
        <v>0.75</v>
      </c>
      <c r="I36" s="156"/>
      <c r="K36" s="62">
        <f t="shared" si="17"/>
        <v>891.696502866242</v>
      </c>
      <c r="L36" s="62">
        <f t="shared" si="18"/>
        <v>13.0772</v>
      </c>
      <c r="M36" s="62">
        <f t="shared" si="19"/>
        <v>891.696502866242</v>
      </c>
      <c r="N36" s="62">
        <f t="shared" si="20"/>
        <v>13.0772</v>
      </c>
      <c r="O36" s="62">
        <f t="shared" si="21"/>
        <v>891.696502866242</v>
      </c>
      <c r="P36" s="62">
        <f t="shared" si="22"/>
        <v>13.0772</v>
      </c>
      <c r="Q36" s="165">
        <f t="shared" si="23"/>
        <v>20.75</v>
      </c>
      <c r="R36">
        <v>31.54</v>
      </c>
      <c r="S36" s="138">
        <f>'[7]TechHeat-RES-SD'!$I$161</f>
        <v>0.609756097560976</v>
      </c>
      <c r="V36" s="53"/>
      <c r="W36" s="105" t="s">
        <v>87</v>
      </c>
      <c r="X36" s="53"/>
      <c r="Y36" s="53" t="s">
        <v>39</v>
      </c>
      <c r="Z36" s="53" t="s">
        <v>40</v>
      </c>
      <c r="AA36" s="53"/>
      <c r="AB36" s="53"/>
      <c r="AC36" s="53"/>
      <c r="AG36" s="176">
        <v>0.78</v>
      </c>
    </row>
    <row r="37" spans="4:33">
      <c r="D37" s="105" t="s">
        <v>64</v>
      </c>
      <c r="E37" s="105"/>
      <c r="H37" s="156"/>
      <c r="I37" s="156"/>
      <c r="K37" s="102"/>
      <c r="M37" s="102"/>
      <c r="O37" s="102"/>
      <c r="P37" s="3"/>
      <c r="Q37" s="165"/>
      <c r="S37" s="138">
        <f t="shared" ref="S37:S41" si="24">1-S36</f>
        <v>0.390243902439024</v>
      </c>
      <c r="V37" s="53"/>
      <c r="W37" t="s">
        <v>18</v>
      </c>
      <c r="X37" s="53"/>
      <c r="Y37" s="53"/>
      <c r="Z37" s="53"/>
      <c r="AA37" s="53"/>
      <c r="AB37" s="53"/>
      <c r="AC37" s="53"/>
      <c r="AG37" s="176">
        <v>0.85</v>
      </c>
    </row>
    <row r="38" spans="3:33">
      <c r="C38" s="105" t="s">
        <v>88</v>
      </c>
      <c r="D38" s="105" t="s">
        <v>36</v>
      </c>
      <c r="E38" s="105"/>
      <c r="F38" t="s">
        <v>77</v>
      </c>
      <c r="G38" s="41">
        <v>2021</v>
      </c>
      <c r="H38" s="156">
        <v>0.675</v>
      </c>
      <c r="I38" s="156"/>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65">
        <f t="shared" si="23"/>
        <v>22.75</v>
      </c>
      <c r="R38">
        <v>31.54</v>
      </c>
      <c r="S38" s="138">
        <f>'[7]TechHeat-RES-SD'!$I$163</f>
        <v>0.238095238095238</v>
      </c>
      <c r="V38" s="53"/>
      <c r="W38" s="105" t="s">
        <v>88</v>
      </c>
      <c r="X38" s="53"/>
      <c r="Y38" s="53" t="s">
        <v>39</v>
      </c>
      <c r="Z38" s="53" t="s">
        <v>40</v>
      </c>
      <c r="AA38" s="53"/>
      <c r="AB38" s="53"/>
      <c r="AC38" s="53"/>
      <c r="AG38" s="176">
        <v>0.62</v>
      </c>
    </row>
    <row r="39" spans="4:33">
      <c r="D39" s="105" t="s">
        <v>64</v>
      </c>
      <c r="E39" s="105"/>
      <c r="H39" s="156"/>
      <c r="I39" s="156"/>
      <c r="K39" s="102"/>
      <c r="L39" s="3"/>
      <c r="M39" s="102"/>
      <c r="N39" s="3"/>
      <c r="O39" s="102"/>
      <c r="P39" s="3"/>
      <c r="Q39" s="165"/>
      <c r="S39" s="138">
        <f t="shared" si="24"/>
        <v>0.761904761904762</v>
      </c>
      <c r="V39" s="53"/>
      <c r="W39" t="s">
        <v>18</v>
      </c>
      <c r="X39" s="53"/>
      <c r="Y39" s="53"/>
      <c r="Z39" s="53"/>
      <c r="AA39" s="53"/>
      <c r="AB39" s="53"/>
      <c r="AC39" s="53"/>
      <c r="AG39" s="176">
        <v>0.8</v>
      </c>
    </row>
    <row r="40" spans="3:33">
      <c r="C40" s="105" t="s">
        <v>89</v>
      </c>
      <c r="D40" s="105" t="s">
        <v>48</v>
      </c>
      <c r="E40" s="105"/>
      <c r="F40" t="s">
        <v>77</v>
      </c>
      <c r="G40" s="41">
        <v>2021</v>
      </c>
      <c r="H40" s="156">
        <v>0.9</v>
      </c>
      <c r="I40" s="156"/>
      <c r="K40" s="62">
        <f t="shared" ref="K40:P40" si="25">K21</f>
        <v>614.720475</v>
      </c>
      <c r="L40" s="62">
        <f t="shared" si="25"/>
        <v>5.5</v>
      </c>
      <c r="M40" s="62">
        <f t="shared" si="25"/>
        <v>614.720475</v>
      </c>
      <c r="N40" s="62">
        <f t="shared" si="25"/>
        <v>5.5</v>
      </c>
      <c r="O40" s="62">
        <f t="shared" si="25"/>
        <v>614.720475</v>
      </c>
      <c r="P40" s="62">
        <f t="shared" si="25"/>
        <v>5.5</v>
      </c>
      <c r="Q40" s="165">
        <f t="shared" si="23"/>
        <v>22.25</v>
      </c>
      <c r="R40">
        <v>31.54</v>
      </c>
      <c r="S40" s="138">
        <f>'[7]TechHeat-RES-SD'!$I$165</f>
        <v>0.320512820512821</v>
      </c>
      <c r="V40" s="53"/>
      <c r="W40" s="105" t="s">
        <v>89</v>
      </c>
      <c r="X40" s="53"/>
      <c r="Y40" s="53" t="s">
        <v>39</v>
      </c>
      <c r="Z40" s="53" t="s">
        <v>40</v>
      </c>
      <c r="AA40" s="53"/>
      <c r="AB40" s="53"/>
      <c r="AC40" s="53"/>
      <c r="AG40" s="176">
        <v>0.9</v>
      </c>
    </row>
    <row r="41" spans="4:33">
      <c r="D41" s="105" t="s">
        <v>44</v>
      </c>
      <c r="E41" s="105"/>
      <c r="H41" s="156"/>
      <c r="I41" s="156"/>
      <c r="K41" s="102"/>
      <c r="L41" s="3"/>
      <c r="M41" s="102"/>
      <c r="N41" s="3"/>
      <c r="O41" s="102"/>
      <c r="P41" s="3"/>
      <c r="Q41" s="165"/>
      <c r="S41" s="138">
        <f t="shared" si="24"/>
        <v>0.679487179487179</v>
      </c>
      <c r="V41" s="53"/>
      <c r="W41" t="s">
        <v>18</v>
      </c>
      <c r="X41" s="53"/>
      <c r="Y41" s="53"/>
      <c r="Z41" s="53"/>
      <c r="AA41" s="53"/>
      <c r="AB41" s="53"/>
      <c r="AC41" s="53"/>
      <c r="AG41" s="176">
        <v>1</v>
      </c>
    </row>
    <row r="42" spans="3:33">
      <c r="C42" s="105" t="s">
        <v>90</v>
      </c>
      <c r="D42" s="105" t="s">
        <v>48</v>
      </c>
      <c r="E42" s="105"/>
      <c r="F42" t="s">
        <v>77</v>
      </c>
      <c r="G42" s="41">
        <v>2021</v>
      </c>
      <c r="H42" s="156">
        <v>0.89</v>
      </c>
      <c r="I42" s="156"/>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65">
        <f t="shared" si="23"/>
        <v>24.5</v>
      </c>
      <c r="R42">
        <v>31.54</v>
      </c>
      <c r="S42" s="138">
        <f>'[7]TechHeat-RES-SD'!$I$167</f>
        <v>0.833333333333333</v>
      </c>
      <c r="V42" s="53"/>
      <c r="W42" s="105" t="s">
        <v>90</v>
      </c>
      <c r="X42" s="53"/>
      <c r="Y42" s="53" t="s">
        <v>39</v>
      </c>
      <c r="Z42" s="53" t="s">
        <v>40</v>
      </c>
      <c r="AA42" s="53"/>
      <c r="AB42" s="53"/>
      <c r="AC42" s="53"/>
      <c r="AG42" s="176">
        <v>1.9</v>
      </c>
    </row>
    <row r="43" spans="4:33">
      <c r="D43" s="105" t="s">
        <v>36</v>
      </c>
      <c r="E43" s="105"/>
      <c r="K43" s="102"/>
      <c r="M43" s="102"/>
      <c r="O43" s="102"/>
      <c r="P43" s="3"/>
      <c r="Q43" s="42"/>
      <c r="S43" s="138">
        <f>1-S42</f>
        <v>0.166666666666667</v>
      </c>
      <c r="V43" s="53"/>
      <c r="W43" t="s">
        <v>18</v>
      </c>
      <c r="X43" s="53"/>
      <c r="Y43" s="53"/>
      <c r="Z43" s="53"/>
      <c r="AA43" s="53"/>
      <c r="AB43" s="53"/>
      <c r="AC43" s="53"/>
      <c r="AG43" s="176">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65">
        <f t="shared" si="27"/>
        <v>26.5</v>
      </c>
      <c r="R44">
        <v>31.54</v>
      </c>
      <c r="S44">
        <v>1</v>
      </c>
      <c r="V44" s="53"/>
      <c r="W44" t="s">
        <v>91</v>
      </c>
      <c r="X44" s="53"/>
      <c r="Y44" s="53" t="s">
        <v>39</v>
      </c>
      <c r="Z44" s="53" t="s">
        <v>40</v>
      </c>
      <c r="AA44" s="53"/>
      <c r="AB44" s="53"/>
      <c r="AC44" s="53"/>
      <c r="AG44" s="176">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65">
        <f t="shared" si="28"/>
        <v>26.5</v>
      </c>
      <c r="R45">
        <v>31.54</v>
      </c>
      <c r="S45">
        <v>1</v>
      </c>
      <c r="V45" s="53"/>
      <c r="W45" t="s">
        <v>93</v>
      </c>
      <c r="X45" s="53"/>
      <c r="Y45" s="53" t="s">
        <v>39</v>
      </c>
      <c r="Z45" s="53" t="s">
        <v>40</v>
      </c>
      <c r="AA45" s="53"/>
      <c r="AB45" s="53"/>
      <c r="AC45" s="53"/>
      <c r="AG45" s="176">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65">
        <f t="shared" si="29"/>
        <v>26.5</v>
      </c>
      <c r="R46">
        <v>31.54</v>
      </c>
      <c r="S46">
        <v>1</v>
      </c>
      <c r="V46" s="53"/>
      <c r="W46" t="s">
        <v>94</v>
      </c>
      <c r="X46" s="53"/>
      <c r="Y46" s="53" t="s">
        <v>39</v>
      </c>
      <c r="Z46" s="53" t="s">
        <v>40</v>
      </c>
      <c r="AA46" s="53"/>
      <c r="AB46" s="53"/>
      <c r="AC46" s="53"/>
      <c r="AG46" s="176"/>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65">
        <f t="shared" si="30"/>
        <v>22</v>
      </c>
      <c r="R47">
        <v>31.54</v>
      </c>
      <c r="S47">
        <v>1</v>
      </c>
      <c r="V47" s="53"/>
      <c r="W47" t="s">
        <v>95</v>
      </c>
      <c r="X47" s="53"/>
      <c r="Y47" s="53" t="s">
        <v>39</v>
      </c>
      <c r="Z47" s="53" t="s">
        <v>40</v>
      </c>
      <c r="AA47" s="53"/>
      <c r="AB47" s="53"/>
      <c r="AC47" s="53"/>
      <c r="AG47" s="176">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65">
        <f t="shared" si="31"/>
        <v>22</v>
      </c>
      <c r="R48">
        <v>31.54</v>
      </c>
      <c r="S48">
        <v>1</v>
      </c>
      <c r="V48" s="53"/>
      <c r="W48" t="s">
        <v>96</v>
      </c>
      <c r="X48" s="53"/>
      <c r="Y48" s="53" t="s">
        <v>39</v>
      </c>
      <c r="Z48" s="53" t="s">
        <v>40</v>
      </c>
      <c r="AA48" s="53"/>
      <c r="AB48" s="53"/>
      <c r="AC48" s="53"/>
      <c r="AG48" s="176"/>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65">
        <f t="shared" si="32"/>
        <v>22</v>
      </c>
      <c r="R49">
        <v>31.54</v>
      </c>
      <c r="S49">
        <v>1</v>
      </c>
      <c r="V49" s="53"/>
      <c r="W49" t="s">
        <v>97</v>
      </c>
      <c r="X49" s="53"/>
      <c r="Y49" s="53" t="s">
        <v>39</v>
      </c>
      <c r="Z49" s="53" t="s">
        <v>40</v>
      </c>
      <c r="AA49" s="53"/>
      <c r="AB49" s="53"/>
      <c r="AC49" s="53"/>
      <c r="AG49" s="176">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65">
        <f t="shared" si="33"/>
        <v>22.5</v>
      </c>
      <c r="R50">
        <v>31.54</v>
      </c>
      <c r="S50">
        <v>1</v>
      </c>
      <c r="V50" s="53"/>
      <c r="W50" t="s">
        <v>98</v>
      </c>
      <c r="X50" s="53"/>
      <c r="Y50" s="53" t="s">
        <v>39</v>
      </c>
      <c r="Z50" s="53" t="s">
        <v>40</v>
      </c>
      <c r="AA50" s="53"/>
      <c r="AB50" s="53"/>
      <c r="AC50" s="53"/>
      <c r="AG50" s="176"/>
    </row>
    <row r="51" spans="3:33">
      <c r="C51" t="s">
        <v>99</v>
      </c>
      <c r="D51" s="159" t="s">
        <v>48</v>
      </c>
      <c r="E51" s="159"/>
      <c r="F51" s="126"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65">
        <f t="shared" si="34"/>
        <v>15.3</v>
      </c>
      <c r="R51" s="126">
        <v>31.54</v>
      </c>
      <c r="S51" s="171">
        <v>0.33</v>
      </c>
      <c r="V51" s="53"/>
      <c r="W51" t="s">
        <v>99</v>
      </c>
      <c r="X51" s="53"/>
      <c r="Y51" s="53" t="s">
        <v>39</v>
      </c>
      <c r="Z51" s="53" t="s">
        <v>40</v>
      </c>
      <c r="AA51" s="53"/>
      <c r="AB51" s="53"/>
      <c r="AC51" s="53"/>
      <c r="AG51" s="176">
        <v>0.89</v>
      </c>
    </row>
    <row r="52" spans="4:33">
      <c r="D52" s="157" t="str">
        <f>[3]COMM!$E$19</f>
        <v>RSDAHT</v>
      </c>
      <c r="K52" s="102"/>
      <c r="L52" s="3"/>
      <c r="M52" s="102"/>
      <c r="N52" s="3"/>
      <c r="O52" s="102"/>
      <c r="P52" s="3"/>
      <c r="Q52" s="165"/>
      <c r="R52">
        <v>31.54</v>
      </c>
      <c r="S52" s="85">
        <f>1-S51</f>
        <v>0.67</v>
      </c>
      <c r="V52" s="53"/>
      <c r="W52" t="s">
        <v>18</v>
      </c>
      <c r="X52" s="53"/>
      <c r="Y52" s="53"/>
      <c r="Z52" s="53"/>
      <c r="AA52" s="53"/>
      <c r="AB52" s="53"/>
      <c r="AC52" s="53"/>
      <c r="AG52" s="176"/>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65">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65">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65">
        <f t="shared" si="35"/>
        <v>20.75</v>
      </c>
      <c r="R55">
        <v>31.54</v>
      </c>
      <c r="S55" s="138">
        <f>'[7]TechHeat-RES-SD'!$I$161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65"/>
      <c r="S56" s="138">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65">
        <f t="shared" si="35"/>
        <v>22.75</v>
      </c>
      <c r="R57">
        <v>31.54</v>
      </c>
      <c r="S57" s="138">
        <f>'[7]TechHeat-RES-SD'!$I$163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65"/>
      <c r="S58" s="138">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65">
        <f t="shared" si="35"/>
        <v>22.25</v>
      </c>
      <c r="R59">
        <v>31.54</v>
      </c>
      <c r="S59" s="138">
        <f>'[7]TechHeat-RES-SD'!$I$165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65"/>
      <c r="S60" s="138">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65">
        <f t="shared" si="35"/>
        <v>24.5</v>
      </c>
      <c r="R61">
        <v>31.54</v>
      </c>
      <c r="S61" s="138">
        <f>'[7]TechHeat-RES-SD'!$I$167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8">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65">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65">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65">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65">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65">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65">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65">
        <f t="shared" si="48"/>
        <v>22.5</v>
      </c>
      <c r="R69">
        <v>31.54</v>
      </c>
      <c r="S69">
        <v>1</v>
      </c>
      <c r="V69" s="53"/>
      <c r="W69" t="s">
        <v>113</v>
      </c>
      <c r="X69" s="53"/>
      <c r="Y69" s="53" t="s">
        <v>39</v>
      </c>
      <c r="Z69" s="53" t="s">
        <v>40</v>
      </c>
      <c r="AA69" s="53"/>
      <c r="AB69" s="53"/>
      <c r="AC69" s="53"/>
    </row>
    <row r="70" s="126" customFormat="1" spans="3:33">
      <c r="C70" s="126" t="s">
        <v>114</v>
      </c>
      <c r="D70" s="159" t="s">
        <v>48</v>
      </c>
      <c r="E70" s="159"/>
      <c r="F70" s="126"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65">
        <f t="shared" si="49"/>
        <v>15.3</v>
      </c>
      <c r="R70" s="126">
        <v>31.54</v>
      </c>
      <c r="S70" s="171">
        <v>0.33</v>
      </c>
      <c r="V70" s="188"/>
      <c r="W70" s="126" t="s">
        <v>114</v>
      </c>
      <c r="X70" s="188"/>
      <c r="Y70" s="188" t="s">
        <v>39</v>
      </c>
      <c r="Z70" s="188" t="s">
        <v>40</v>
      </c>
      <c r="AA70" s="53"/>
      <c r="AB70" s="188"/>
      <c r="AC70" s="188"/>
      <c r="AG70" s="126">
        <v>0.89</v>
      </c>
    </row>
    <row r="71" spans="4:29">
      <c r="D71" s="157" t="str">
        <f>[3]COMM!$E$19</f>
        <v>RSDAHT</v>
      </c>
      <c r="K71" s="102"/>
      <c r="L71" s="3"/>
      <c r="M71" s="102"/>
      <c r="N71" s="3"/>
      <c r="O71" s="102"/>
      <c r="P71" s="3"/>
      <c r="Q71" s="165"/>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65">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65">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65">
        <f t="shared" si="50"/>
        <v>20.75</v>
      </c>
      <c r="R74">
        <v>31.54</v>
      </c>
      <c r="S74" s="138">
        <f>'[7]TechHeat-RES-SD'!$I$161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65"/>
      <c r="S75" s="138">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65">
        <f t="shared" si="50"/>
        <v>22.75</v>
      </c>
      <c r="R76">
        <v>31.54</v>
      </c>
      <c r="S76" s="138">
        <f>'[7]TechHeat-RES-SD'!$I$163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65"/>
      <c r="S77" s="138">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65">
        <f t="shared" si="50"/>
        <v>22.25</v>
      </c>
      <c r="R78">
        <v>31.54</v>
      </c>
      <c r="S78" s="138">
        <f>'[7]TechHeat-RES-SD'!$I$165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65"/>
      <c r="S79" s="138">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65">
        <f t="shared" si="50"/>
        <v>24.5</v>
      </c>
      <c r="R80">
        <v>31.54</v>
      </c>
      <c r="S80" s="138">
        <f>'[7]TechHeat-RES-SD'!$I$167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8">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83">
        <f>11.5/3.412</f>
        <v>3.3704572098476</v>
      </c>
      <c r="I82" s="156"/>
      <c r="K82" s="102">
        <f>AY17</f>
        <v>655.7031</v>
      </c>
      <c r="L82" s="102">
        <f>AVERAGE(20,150)/10</f>
        <v>8.5</v>
      </c>
      <c r="M82" s="102">
        <f>K82</f>
        <v>655.7031</v>
      </c>
      <c r="N82" s="102">
        <f>L82</f>
        <v>8.5</v>
      </c>
      <c r="O82" s="102">
        <f t="shared" ref="O82:P82" si="57">K82</f>
        <v>655.7031</v>
      </c>
      <c r="P82" s="102">
        <f t="shared" si="57"/>
        <v>8.5</v>
      </c>
      <c r="Q82" s="189">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83"/>
      <c r="I83" s="156"/>
      <c r="K83" s="102"/>
      <c r="L83" s="102"/>
      <c r="M83" s="102"/>
      <c r="N83" s="102"/>
      <c r="O83" s="102"/>
      <c r="P83" s="102"/>
      <c r="Q83" s="187"/>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83">
        <f>H82</f>
        <v>3.3704572098476</v>
      </c>
      <c r="I84" s="156"/>
      <c r="K84" s="102">
        <f t="shared" ref="K84:O84" si="59">K82</f>
        <v>655.7031</v>
      </c>
      <c r="L84" s="102">
        <f t="shared" si="59"/>
        <v>8.5</v>
      </c>
      <c r="M84" s="102">
        <f t="shared" ref="M84:M88" si="60">K84</f>
        <v>655.7031</v>
      </c>
      <c r="N84" s="102">
        <f t="shared" si="59"/>
        <v>8.5</v>
      </c>
      <c r="O84" s="102">
        <f t="shared" si="59"/>
        <v>655.7031</v>
      </c>
      <c r="P84" s="102">
        <f>L84</f>
        <v>8.5</v>
      </c>
      <c r="Q84" s="189">
        <f>(11+25)/2</f>
        <v>18</v>
      </c>
      <c r="R84">
        <v>31.54</v>
      </c>
      <c r="S84">
        <v>1</v>
      </c>
      <c r="V84" s="53"/>
      <c r="W84" s="105" t="s">
        <v>124</v>
      </c>
      <c r="X84" s="53"/>
      <c r="Y84" s="53" t="s">
        <v>39</v>
      </c>
      <c r="Z84" s="53" t="s">
        <v>40</v>
      </c>
      <c r="AA84" s="53"/>
      <c r="AB84" s="53"/>
      <c r="AC84" s="53"/>
    </row>
    <row r="85" spans="3:33">
      <c r="C85" s="105" t="str">
        <f t="shared" si="58"/>
        <v>*</v>
      </c>
      <c r="D85" s="105"/>
      <c r="E85" s="105"/>
      <c r="F85" s="105"/>
      <c r="H85" s="183"/>
      <c r="I85" s="156"/>
      <c r="K85" s="102"/>
      <c r="L85" s="102"/>
      <c r="M85" s="102"/>
      <c r="N85" s="102"/>
      <c r="O85" s="102"/>
      <c r="P85" s="102"/>
      <c r="Q85" s="187"/>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83">
        <f>13.7/3.412</f>
        <v>4.01524032825322</v>
      </c>
      <c r="I86" s="156"/>
      <c r="K86" s="102">
        <f t="shared" ref="K86:O86" si="61">K84</f>
        <v>655.7031</v>
      </c>
      <c r="L86" s="102">
        <f t="shared" si="61"/>
        <v>8.5</v>
      </c>
      <c r="M86" s="102">
        <f t="shared" si="60"/>
        <v>655.7031</v>
      </c>
      <c r="N86" s="102">
        <f t="shared" si="61"/>
        <v>8.5</v>
      </c>
      <c r="O86" s="102">
        <f t="shared" si="61"/>
        <v>655.7031</v>
      </c>
      <c r="P86" s="102">
        <f>L86</f>
        <v>8.5</v>
      </c>
      <c r="Q86" s="189">
        <f>(11+25)/2</f>
        <v>18</v>
      </c>
      <c r="R86">
        <v>31.54</v>
      </c>
      <c r="S86">
        <v>1</v>
      </c>
      <c r="V86" s="53"/>
      <c r="W86" s="105" t="s">
        <v>126</v>
      </c>
      <c r="X86" s="53"/>
      <c r="Y86" s="53" t="s">
        <v>39</v>
      </c>
      <c r="Z86" s="53" t="s">
        <v>40</v>
      </c>
      <c r="AA86" s="53"/>
      <c r="AB86" s="53"/>
      <c r="AC86" s="53"/>
    </row>
    <row r="87" spans="3:33">
      <c r="C87" s="105" t="str">
        <f t="shared" si="58"/>
        <v>*</v>
      </c>
      <c r="D87" s="105"/>
      <c r="E87" s="105"/>
      <c r="F87" s="105"/>
      <c r="H87" s="183"/>
      <c r="I87" s="156"/>
      <c r="K87" s="102"/>
      <c r="L87" s="102"/>
      <c r="M87" s="102"/>
      <c r="N87" s="102"/>
      <c r="O87" s="102"/>
      <c r="P87" s="102"/>
      <c r="Q87" s="187"/>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83">
        <f>H86</f>
        <v>4.01524032825322</v>
      </c>
      <c r="I88" s="156"/>
      <c r="K88" s="102">
        <f>K86</f>
        <v>655.7031</v>
      </c>
      <c r="L88" s="102">
        <f>L86</f>
        <v>8.5</v>
      </c>
      <c r="M88" s="102">
        <f t="shared" si="60"/>
        <v>655.7031</v>
      </c>
      <c r="N88" s="102">
        <f>N86</f>
        <v>8.5</v>
      </c>
      <c r="O88" s="102">
        <f t="shared" ref="O88:P88" si="62">K88</f>
        <v>655.7031</v>
      </c>
      <c r="P88" s="102">
        <f t="shared" si="62"/>
        <v>8.5</v>
      </c>
      <c r="Q88" s="189">
        <f>(11+25)/2</f>
        <v>18</v>
      </c>
      <c r="R88">
        <v>31.54</v>
      </c>
      <c r="S88">
        <v>1</v>
      </c>
      <c r="V88" s="53"/>
      <c r="W88" s="105" t="s">
        <v>128</v>
      </c>
      <c r="X88" s="53"/>
      <c r="Y88" s="53" t="s">
        <v>39</v>
      </c>
      <c r="Z88" s="53" t="s">
        <v>40</v>
      </c>
      <c r="AA88" s="53"/>
      <c r="AB88" s="53"/>
      <c r="AC88" s="53"/>
    </row>
    <row r="89" spans="3:33">
      <c r="C89" s="105" t="str">
        <f t="shared" si="58"/>
        <v>*</v>
      </c>
      <c r="D89" s="105"/>
      <c r="E89" s="105"/>
      <c r="F89" s="105"/>
      <c r="H89" s="156"/>
      <c r="I89" s="156"/>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61">
        <f>(710+1290)/2*1/11</f>
        <v>90.9090909090909</v>
      </c>
      <c r="L90" s="161">
        <f>20/11</f>
        <v>1.81818181818182</v>
      </c>
      <c r="M90" s="161">
        <f t="shared" ref="M90:P93" si="63">K90</f>
        <v>90.9090909090909</v>
      </c>
      <c r="N90" s="161">
        <f t="shared" si="63"/>
        <v>1.81818181818182</v>
      </c>
      <c r="O90" s="161">
        <f t="shared" si="63"/>
        <v>90.9090909090909</v>
      </c>
      <c r="P90" s="161">
        <f t="shared" si="63"/>
        <v>1.81818181818182</v>
      </c>
      <c r="Q90" s="170">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61">
        <f>(2880+1650)/2*1/12</f>
        <v>188.75</v>
      </c>
      <c r="L91" s="161">
        <f>20/12</f>
        <v>1.66666666666667</v>
      </c>
      <c r="M91" s="161">
        <f t="shared" si="63"/>
        <v>188.75</v>
      </c>
      <c r="N91" s="161">
        <f t="shared" si="63"/>
        <v>1.66666666666667</v>
      </c>
      <c r="O91" s="161">
        <f t="shared" si="63"/>
        <v>188.75</v>
      </c>
      <c r="P91" s="161">
        <f t="shared" si="63"/>
        <v>1.66666666666667</v>
      </c>
      <c r="Q91" s="170">
        <v>19</v>
      </c>
      <c r="R91" s="58">
        <v>31.54</v>
      </c>
      <c r="S91" s="58">
        <v>1</v>
      </c>
      <c r="V91" s="53"/>
      <c r="W91" s="105" t="s">
        <v>131</v>
      </c>
      <c r="X91" s="53"/>
      <c r="Y91" s="53" t="s">
        <v>39</v>
      </c>
      <c r="Z91" s="53" t="s">
        <v>40</v>
      </c>
      <c r="AA91" s="53"/>
      <c r="AB91" s="53"/>
      <c r="AC91" s="53"/>
      <c r="AG91" s="176">
        <v>0.124</v>
      </c>
    </row>
    <row r="92" spans="3:33">
      <c r="C92" s="47" t="s">
        <v>132</v>
      </c>
      <c r="D92" s="47" t="s">
        <v>36</v>
      </c>
      <c r="E92" s="47"/>
      <c r="F92" s="47" t="s">
        <v>130</v>
      </c>
      <c r="G92" s="95">
        <v>2021</v>
      </c>
      <c r="H92" s="92">
        <f>'[4]TechWatHea-SingleDetached-RES'!$N$25</f>
        <v>0.9633267069663</v>
      </c>
      <c r="I92" s="92"/>
      <c r="J92" s="92">
        <v>0.146564546538015</v>
      </c>
      <c r="K92" s="161">
        <f>(2650+3350)/2*1/10</f>
        <v>300</v>
      </c>
      <c r="L92" s="161">
        <f>210/10*1</f>
        <v>21</v>
      </c>
      <c r="M92" s="161">
        <f t="shared" si="63"/>
        <v>300</v>
      </c>
      <c r="N92" s="161">
        <f t="shared" si="63"/>
        <v>21</v>
      </c>
      <c r="O92" s="161">
        <f t="shared" si="63"/>
        <v>300</v>
      </c>
      <c r="P92" s="161">
        <f t="shared" si="63"/>
        <v>21</v>
      </c>
      <c r="Q92" s="170">
        <v>13</v>
      </c>
      <c r="R92" s="58">
        <v>31.54</v>
      </c>
      <c r="S92" s="58">
        <v>1</v>
      </c>
      <c r="V92" s="53"/>
      <c r="W92" s="105" t="s">
        <v>132</v>
      </c>
      <c r="X92" s="53"/>
      <c r="Y92" s="53" t="s">
        <v>39</v>
      </c>
      <c r="Z92" s="53" t="s">
        <v>40</v>
      </c>
      <c r="AA92" s="53"/>
      <c r="AB92" s="53"/>
      <c r="AC92" s="53"/>
      <c r="AG92" s="176"/>
    </row>
    <row r="93" spans="3:33">
      <c r="C93" s="47" t="s">
        <v>133</v>
      </c>
      <c r="D93" s="47" t="s">
        <v>134</v>
      </c>
      <c r="E93" s="47"/>
      <c r="F93" s="47" t="s">
        <v>130</v>
      </c>
      <c r="G93" s="95">
        <v>2021</v>
      </c>
      <c r="H93" s="92">
        <f>'[4]TechWatHea-SingleDetached-RES'!$N$26</f>
        <v>0.9633267069663</v>
      </c>
      <c r="I93" s="92"/>
      <c r="J93" s="92">
        <v>0.315287923478673</v>
      </c>
      <c r="K93" s="161">
        <f>5940/(100/3.412)*1</f>
        <v>202.6728</v>
      </c>
      <c r="L93" s="161">
        <f>160/(100/3.412)*1</f>
        <v>5.4592</v>
      </c>
      <c r="M93" s="161">
        <f t="shared" si="63"/>
        <v>202.6728</v>
      </c>
      <c r="N93" s="161">
        <f t="shared" si="63"/>
        <v>5.4592</v>
      </c>
      <c r="O93" s="161">
        <f t="shared" si="63"/>
        <v>202.6728</v>
      </c>
      <c r="P93" s="161">
        <f t="shared" si="63"/>
        <v>5.4592</v>
      </c>
      <c r="Q93" s="170">
        <v>25</v>
      </c>
      <c r="R93" s="58">
        <v>31.54</v>
      </c>
      <c r="S93" s="58">
        <v>1</v>
      </c>
      <c r="V93" s="53"/>
      <c r="W93" s="105" t="s">
        <v>133</v>
      </c>
      <c r="X93" s="53"/>
      <c r="Y93" s="53" t="s">
        <v>39</v>
      </c>
      <c r="Z93" s="53" t="s">
        <v>40</v>
      </c>
      <c r="AA93" s="53"/>
      <c r="AB93" s="53"/>
      <c r="AC93" s="53"/>
      <c r="AG93" s="176">
        <v>0.124</v>
      </c>
    </row>
    <row r="94" spans="3:33">
      <c r="C94" s="47" t="s">
        <v>135</v>
      </c>
      <c r="D94" s="47" t="s">
        <v>53</v>
      </c>
      <c r="E94" s="47"/>
      <c r="F94" s="47" t="s">
        <v>130</v>
      </c>
      <c r="G94" s="95">
        <v>2021</v>
      </c>
      <c r="H94" s="92">
        <f>'[4]TechWatHea-SingleDetached-RES'!$N$27</f>
        <v>0.9633267069663</v>
      </c>
      <c r="I94" s="92"/>
      <c r="J94" s="92">
        <v>0.821415055286326</v>
      </c>
      <c r="K94" s="161">
        <f>K95</f>
        <v>308.4448</v>
      </c>
      <c r="L94" s="161">
        <f t="shared" ref="L94:Q94" si="64">L95</f>
        <v>21.1544</v>
      </c>
      <c r="M94" s="161">
        <f t="shared" si="64"/>
        <v>308.4448</v>
      </c>
      <c r="N94" s="161">
        <f t="shared" si="64"/>
        <v>21.1544</v>
      </c>
      <c r="O94" s="161">
        <f t="shared" si="64"/>
        <v>308.4448</v>
      </c>
      <c r="P94" s="161">
        <f t="shared" si="64"/>
        <v>21.1544</v>
      </c>
      <c r="Q94" s="71">
        <f t="shared" si="64"/>
        <v>19</v>
      </c>
      <c r="R94" s="58">
        <v>31.54</v>
      </c>
      <c r="S94" s="58">
        <v>1</v>
      </c>
      <c r="V94" s="53"/>
      <c r="W94" s="105" t="s">
        <v>135</v>
      </c>
      <c r="X94" s="53"/>
      <c r="Y94" s="53" t="s">
        <v>39</v>
      </c>
      <c r="Z94" s="53" t="s">
        <v>40</v>
      </c>
      <c r="AA94" s="53"/>
      <c r="AB94" s="53"/>
      <c r="AC94" s="53"/>
      <c r="AG94" s="176"/>
    </row>
    <row r="95" spans="3:33">
      <c r="C95" s="47" t="s">
        <v>136</v>
      </c>
      <c r="D95" s="47" t="s">
        <v>64</v>
      </c>
      <c r="E95" s="47"/>
      <c r="F95" s="47" t="s">
        <v>130</v>
      </c>
      <c r="G95" s="95">
        <v>2021</v>
      </c>
      <c r="H95" s="92">
        <f>'[4]TechWatHea-SingleDetached-RES'!$N$28</f>
        <v>0.9633267069663</v>
      </c>
      <c r="I95" s="92"/>
      <c r="J95" s="92">
        <f>'[4]TechWatHea-SingleDetached-RES'!$N$59</f>
        <v>0.378345508174408</v>
      </c>
      <c r="K95" s="161">
        <f>4520/(50/3.412)*1</f>
        <v>308.4448</v>
      </c>
      <c r="L95" s="161">
        <f>310/(50/3.412)*1</f>
        <v>21.1544</v>
      </c>
      <c r="M95" s="161">
        <f>K95</f>
        <v>308.4448</v>
      </c>
      <c r="N95" s="161">
        <f>L95</f>
        <v>21.1544</v>
      </c>
      <c r="O95" s="161">
        <f>M95</f>
        <v>308.4448</v>
      </c>
      <c r="P95" s="161">
        <f>N95</f>
        <v>21.1544</v>
      </c>
      <c r="Q95" s="170">
        <v>19</v>
      </c>
      <c r="R95" s="58">
        <v>31.54</v>
      </c>
      <c r="S95" s="58">
        <v>1</v>
      </c>
      <c r="V95" s="53"/>
      <c r="W95" s="105" t="s">
        <v>136</v>
      </c>
      <c r="X95" s="53"/>
      <c r="Y95" s="53" t="s">
        <v>39</v>
      </c>
      <c r="Z95" s="53" t="s">
        <v>40</v>
      </c>
      <c r="AA95" s="53"/>
      <c r="AB95" s="53"/>
      <c r="AC95" s="53"/>
      <c r="AG95" s="176">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70">
        <f t="shared" si="65"/>
        <v>13</v>
      </c>
      <c r="R96" s="58">
        <v>31.54</v>
      </c>
      <c r="S96" s="58">
        <v>1</v>
      </c>
      <c r="V96" s="53"/>
      <c r="W96" s="105" t="s">
        <v>137</v>
      </c>
      <c r="X96" s="53"/>
      <c r="Y96" s="53" t="s">
        <v>39</v>
      </c>
      <c r="Z96" s="53" t="s">
        <v>40</v>
      </c>
      <c r="AA96" s="53"/>
      <c r="AB96" s="53"/>
      <c r="AC96" s="53"/>
      <c r="AG96" s="176"/>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70">
        <f t="shared" si="71"/>
        <v>19</v>
      </c>
      <c r="R97" s="58">
        <v>31.54</v>
      </c>
      <c r="S97" s="58">
        <v>1</v>
      </c>
      <c r="V97" s="53"/>
      <c r="W97" s="105" t="s">
        <v>139</v>
      </c>
      <c r="X97" s="53"/>
      <c r="Y97" s="53" t="s">
        <v>39</v>
      </c>
      <c r="Z97" s="53" t="s">
        <v>40</v>
      </c>
      <c r="AA97" s="53"/>
      <c r="AB97" s="53"/>
      <c r="AC97" s="53"/>
      <c r="AG97" s="176">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70">
        <f t="shared" si="71"/>
        <v>13</v>
      </c>
      <c r="R98" s="58">
        <v>31.54</v>
      </c>
      <c r="S98" s="58">
        <v>1</v>
      </c>
      <c r="V98" s="53"/>
      <c r="W98" s="105" t="s">
        <v>140</v>
      </c>
      <c r="X98" s="53"/>
      <c r="Y98" s="53" t="s">
        <v>39</v>
      </c>
      <c r="Z98" s="53" t="s">
        <v>40</v>
      </c>
      <c r="AA98" s="53"/>
      <c r="AB98" s="53"/>
      <c r="AC98" s="53"/>
      <c r="AG98" s="176"/>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70">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70">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70">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84">
        <f>'[4]TechWatHea-Appartment'!$N$23</f>
        <v>0.9633267069663</v>
      </c>
      <c r="I102" s="184"/>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70">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84">
        <f>'[4]TechWatHea-Appartment'!$N$24</f>
        <v>0.9633267069663</v>
      </c>
      <c r="I103" s="184"/>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70">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84">
        <f>'[4]TechWatHea-Appartment'!$N$25</f>
        <v>0.9633267069663</v>
      </c>
      <c r="I104" s="184"/>
      <c r="J104" s="92">
        <v>0.0885606517857261</v>
      </c>
      <c r="K104" s="62">
        <f t="shared" si="66"/>
        <v>300</v>
      </c>
      <c r="L104" s="62">
        <f t="shared" si="67"/>
        <v>21</v>
      </c>
      <c r="M104" s="62">
        <f t="shared" si="68"/>
        <v>300</v>
      </c>
      <c r="N104" s="62">
        <f t="shared" si="69"/>
        <v>21</v>
      </c>
      <c r="O104" s="62">
        <f t="shared" si="70"/>
        <v>300</v>
      </c>
      <c r="P104" s="62">
        <f t="shared" si="71"/>
        <v>21</v>
      </c>
      <c r="Q104" s="170">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84">
        <f>'[4]TechWatHea-Appartment'!$N$26</f>
        <v>0.9633267069663</v>
      </c>
      <c r="I105" s="184"/>
      <c r="J105" s="92">
        <v>0.143923107198767</v>
      </c>
      <c r="K105" s="62">
        <f t="shared" si="66"/>
        <v>202.6728</v>
      </c>
      <c r="L105" s="62">
        <f t="shared" si="67"/>
        <v>5.4592</v>
      </c>
      <c r="M105" s="62">
        <f t="shared" si="68"/>
        <v>202.6728</v>
      </c>
      <c r="N105" s="62">
        <f t="shared" si="69"/>
        <v>5.4592</v>
      </c>
      <c r="O105" s="62">
        <f t="shared" si="70"/>
        <v>202.6728</v>
      </c>
      <c r="P105" s="62">
        <f t="shared" si="71"/>
        <v>5.4592</v>
      </c>
      <c r="Q105" s="170">
        <f t="shared" ref="Q105" si="74">Q99</f>
        <v>25</v>
      </c>
      <c r="R105" s="58">
        <v>31.54</v>
      </c>
      <c r="S105" s="58">
        <v>1</v>
      </c>
      <c r="V105" s="190"/>
      <c r="W105" s="105" t="s">
        <v>148</v>
      </c>
      <c r="X105" s="191"/>
      <c r="Y105" s="190" t="s">
        <v>39</v>
      </c>
      <c r="Z105" s="190" t="s">
        <v>40</v>
      </c>
      <c r="AA105" s="53"/>
      <c r="AB105" s="190"/>
      <c r="AC105" s="190"/>
      <c r="AG105">
        <v>0.65</v>
      </c>
    </row>
    <row r="106" spans="3:33">
      <c r="C106" s="105" t="s">
        <v>149</v>
      </c>
      <c r="D106" s="105" t="s">
        <v>53</v>
      </c>
      <c r="E106" s="105"/>
      <c r="F106" s="105" t="s">
        <v>145</v>
      </c>
      <c r="G106" s="95">
        <v>2021</v>
      </c>
      <c r="H106" s="184">
        <f>'[4]TechWatHea-Appartment'!$N$27</f>
        <v>0.9633267069663</v>
      </c>
      <c r="I106" s="184"/>
      <c r="J106" s="92">
        <v>0.281268478157475</v>
      </c>
      <c r="K106" s="62">
        <f t="shared" si="66"/>
        <v>308.4448</v>
      </c>
      <c r="L106" s="62">
        <f t="shared" si="67"/>
        <v>21.1544</v>
      </c>
      <c r="M106" s="62">
        <f t="shared" si="68"/>
        <v>308.4448</v>
      </c>
      <c r="N106" s="62">
        <f t="shared" si="69"/>
        <v>21.1544</v>
      </c>
      <c r="O106" s="62">
        <f t="shared" si="70"/>
        <v>308.4448</v>
      </c>
      <c r="P106" s="62">
        <f t="shared" si="71"/>
        <v>21.1544</v>
      </c>
      <c r="Q106" s="170">
        <f t="shared" ref="Q106" si="75">Q100</f>
        <v>19</v>
      </c>
      <c r="R106" s="58">
        <v>31.54</v>
      </c>
      <c r="S106" s="58">
        <v>1</v>
      </c>
      <c r="W106" s="105" t="s">
        <v>149</v>
      </c>
      <c r="Y106" s="190" t="s">
        <v>39</v>
      </c>
      <c r="Z106" s="190" t="s">
        <v>40</v>
      </c>
      <c r="AA106" s="53"/>
      <c r="AB106" s="190"/>
      <c r="AC106" s="190"/>
      <c r="AG106">
        <v>0.65</v>
      </c>
    </row>
    <row r="107" spans="3:33">
      <c r="C107" s="105" t="s">
        <v>150</v>
      </c>
      <c r="D107" s="105" t="s">
        <v>64</v>
      </c>
      <c r="E107" s="105"/>
      <c r="F107" s="105" t="s">
        <v>145</v>
      </c>
      <c r="G107" s="95">
        <v>2021</v>
      </c>
      <c r="H107" s="184">
        <f>'[4]TechWatHea-Appartment'!$N$28</f>
        <v>0.9633267069663</v>
      </c>
      <c r="I107" s="184"/>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70">
        <f t="shared" ref="Q107:Q108" si="76">Q101</f>
        <v>19</v>
      </c>
      <c r="R107" s="58">
        <v>31.54</v>
      </c>
      <c r="S107" s="58">
        <v>1</v>
      </c>
      <c r="W107" s="105" t="s">
        <v>150</v>
      </c>
      <c r="Y107" s="190" t="s">
        <v>39</v>
      </c>
      <c r="Z107" s="190" t="s">
        <v>40</v>
      </c>
      <c r="AA107" s="53"/>
      <c r="AB107" s="190"/>
      <c r="AC107" s="190"/>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70">
        <f t="shared" si="76"/>
        <v>13</v>
      </c>
      <c r="R108">
        <v>31.54</v>
      </c>
      <c r="S108">
        <v>1</v>
      </c>
      <c r="W108" s="105" t="s">
        <v>151</v>
      </c>
      <c r="Y108" s="190" t="s">
        <v>39</v>
      </c>
      <c r="Z108" s="190" t="s">
        <v>40</v>
      </c>
      <c r="AA108" s="53"/>
      <c r="AB108" s="190"/>
      <c r="AC108" s="190"/>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70">
        <f t="shared" ref="Q109" si="77">Q103</f>
        <v>19</v>
      </c>
      <c r="R109">
        <v>31.54</v>
      </c>
      <c r="S109">
        <v>1</v>
      </c>
      <c r="W109" s="105" t="s">
        <v>153</v>
      </c>
      <c r="Y109" s="190" t="s">
        <v>39</v>
      </c>
      <c r="Z109" s="190" t="s">
        <v>40</v>
      </c>
      <c r="AA109" s="53"/>
      <c r="AB109" s="190"/>
      <c r="AC109" s="190"/>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70">
        <f t="shared" ref="Q110" si="78">Q104</f>
        <v>13</v>
      </c>
      <c r="R110">
        <v>31.54</v>
      </c>
      <c r="S110">
        <v>1</v>
      </c>
      <c r="W110" s="105" t="s">
        <v>154</v>
      </c>
      <c r="Y110" s="190" t="s">
        <v>39</v>
      </c>
      <c r="Z110" s="190" t="s">
        <v>40</v>
      </c>
      <c r="AA110" s="53"/>
      <c r="AB110" s="190"/>
      <c r="AC110" s="190"/>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70">
        <f t="shared" ref="Q111" si="79">Q105</f>
        <v>25</v>
      </c>
      <c r="R111">
        <v>31.54</v>
      </c>
      <c r="S111">
        <v>1</v>
      </c>
      <c r="W111" s="105" t="s">
        <v>155</v>
      </c>
      <c r="Y111" s="190" t="s">
        <v>39</v>
      </c>
      <c r="Z111" s="190" t="s">
        <v>40</v>
      </c>
      <c r="AA111" s="53"/>
      <c r="AB111" s="190"/>
      <c r="AC111" s="190"/>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70">
        <f t="shared" ref="Q112" si="80">Q106</f>
        <v>19</v>
      </c>
      <c r="R112">
        <v>31.54</v>
      </c>
      <c r="S112">
        <v>1</v>
      </c>
      <c r="W112" s="105" t="s">
        <v>156</v>
      </c>
      <c r="Y112" s="190" t="s">
        <v>39</v>
      </c>
      <c r="Z112" s="190" t="s">
        <v>40</v>
      </c>
      <c r="AA112" s="53"/>
      <c r="AB112" s="190"/>
      <c r="AC112" s="190"/>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70">
        <f t="shared" ref="Q113" si="81">Q107</f>
        <v>19</v>
      </c>
      <c r="R113">
        <v>31.54</v>
      </c>
      <c r="S113">
        <v>1</v>
      </c>
      <c r="W113" s="105" t="s">
        <v>157</v>
      </c>
      <c r="Y113" s="190" t="s">
        <v>39</v>
      </c>
      <c r="Z113" s="190" t="s">
        <v>40</v>
      </c>
      <c r="AA113" s="53"/>
      <c r="AB113" s="190"/>
      <c r="AC113" s="190"/>
      <c r="AG113">
        <v>0.65</v>
      </c>
    </row>
    <row r="114" spans="3:33">
      <c r="C114" s="105" t="s">
        <v>158</v>
      </c>
      <c r="D114" s="105" t="s">
        <v>48</v>
      </c>
      <c r="E114" s="105"/>
      <c r="F114" s="105" t="s">
        <v>159</v>
      </c>
      <c r="G114" s="41">
        <v>2021</v>
      </c>
      <c r="H114" s="121">
        <f>'[4]Tech-Appliance'!$N$24</f>
        <v>0.557300803809499</v>
      </c>
      <c r="I114" s="121"/>
      <c r="J114" s="42">
        <v>0.0454585176842925</v>
      </c>
      <c r="K114" s="187">
        <f>1130/0.079*J114*1</f>
        <v>650.229430167728</v>
      </c>
      <c r="L114" s="187">
        <f>20/0.079*J114</f>
        <v>11.5084854896943</v>
      </c>
      <c r="M114" s="187">
        <f>K114</f>
        <v>650.229430167728</v>
      </c>
      <c r="N114" s="187">
        <f>L114</f>
        <v>11.5084854896943</v>
      </c>
      <c r="O114" s="187">
        <f t="shared" ref="O114:O121" si="82">K114</f>
        <v>650.229430167728</v>
      </c>
      <c r="P114" s="187">
        <f t="shared" ref="P114:P121" si="83">L114</f>
        <v>11.5084854896943</v>
      </c>
      <c r="Q114" s="187">
        <v>15</v>
      </c>
      <c r="R114">
        <v>31.54</v>
      </c>
      <c r="S114">
        <v>1</v>
      </c>
      <c r="W114" s="105" t="s">
        <v>158</v>
      </c>
      <c r="Y114" s="190" t="s">
        <v>39</v>
      </c>
      <c r="Z114" s="190" t="s">
        <v>40</v>
      </c>
      <c r="AA114" s="53"/>
      <c r="AB114" s="190"/>
      <c r="AC114" s="190"/>
      <c r="AG114">
        <v>0.65</v>
      </c>
    </row>
    <row r="115" spans="3:33">
      <c r="C115" s="105" t="s">
        <v>160</v>
      </c>
      <c r="D115" s="105" t="s">
        <v>48</v>
      </c>
      <c r="E115" s="105"/>
      <c r="F115" s="105" t="s">
        <v>161</v>
      </c>
      <c r="G115" s="41">
        <v>2021</v>
      </c>
      <c r="H115" s="121">
        <f>'[4]Tech-Appliance'!$N$25</f>
        <v>0.56468068968069</v>
      </c>
      <c r="I115" s="121"/>
      <c r="J115" s="42">
        <v>0.0454585176842925</v>
      </c>
      <c r="K115" s="187">
        <f>880/0.05*J115</f>
        <v>800.069911243548</v>
      </c>
      <c r="L115" s="187">
        <f>10/0.05*J115</f>
        <v>9.0917035368585</v>
      </c>
      <c r="M115" s="187">
        <f>K115</f>
        <v>800.069911243548</v>
      </c>
      <c r="N115" s="187">
        <f t="shared" ref="N115:P115" si="84">L115</f>
        <v>9.0917035368585</v>
      </c>
      <c r="O115" s="187">
        <f t="shared" si="84"/>
        <v>800.069911243548</v>
      </c>
      <c r="P115" s="187">
        <f t="shared" si="84"/>
        <v>9.0917035368585</v>
      </c>
      <c r="Q115" s="187">
        <v>21</v>
      </c>
      <c r="R115">
        <v>31.54</v>
      </c>
      <c r="S115">
        <v>1</v>
      </c>
      <c r="W115" s="105" t="s">
        <v>160</v>
      </c>
      <c r="Y115" s="190" t="s">
        <v>39</v>
      </c>
      <c r="Z115" s="190" t="s">
        <v>40</v>
      </c>
      <c r="AA115" s="53"/>
      <c r="AB115" s="190"/>
      <c r="AC115" s="190"/>
      <c r="AG115">
        <v>0.65</v>
      </c>
    </row>
    <row r="116" spans="3:33">
      <c r="C116" s="105" t="s">
        <v>162</v>
      </c>
      <c r="D116" s="105" t="s">
        <v>48</v>
      </c>
      <c r="E116" s="105"/>
      <c r="F116" s="105" t="s">
        <v>163</v>
      </c>
      <c r="G116" s="41">
        <v>2021</v>
      </c>
      <c r="H116" s="121">
        <f>'[4]Tech-Appliance'!$N$26</f>
        <v>0.959183673469388</v>
      </c>
      <c r="I116" s="121"/>
      <c r="J116" s="42">
        <v>0.0454585176842925</v>
      </c>
      <c r="K116" s="187">
        <f>570/0.03*J116</f>
        <v>863.711836001558</v>
      </c>
      <c r="L116" s="187">
        <f t="shared" ref="L116:N116" si="85">L115</f>
        <v>9.0917035368585</v>
      </c>
      <c r="M116" s="187">
        <f t="shared" si="85"/>
        <v>800.069911243548</v>
      </c>
      <c r="N116" s="187">
        <f t="shared" si="85"/>
        <v>9.0917035368585</v>
      </c>
      <c r="O116" s="187">
        <f t="shared" si="82"/>
        <v>863.711836001558</v>
      </c>
      <c r="P116" s="187">
        <f t="shared" si="83"/>
        <v>9.0917035368585</v>
      </c>
      <c r="Q116" s="187">
        <v>15</v>
      </c>
      <c r="R116">
        <v>31.54</v>
      </c>
      <c r="S116">
        <v>1</v>
      </c>
      <c r="W116" s="105" t="s">
        <v>162</v>
      </c>
      <c r="Y116" s="190" t="s">
        <v>39</v>
      </c>
      <c r="Z116" s="190" t="s">
        <v>40</v>
      </c>
      <c r="AA116" s="53"/>
      <c r="AB116" s="190"/>
      <c r="AC116" s="190"/>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87">
        <v>12</v>
      </c>
      <c r="R117">
        <v>31.54</v>
      </c>
      <c r="S117">
        <v>1</v>
      </c>
      <c r="W117" s="105" t="s">
        <v>164</v>
      </c>
      <c r="Y117" s="190" t="s">
        <v>39</v>
      </c>
      <c r="Z117" s="190" t="s">
        <v>40</v>
      </c>
      <c r="AA117" s="53"/>
      <c r="AB117" s="190"/>
      <c r="AC117" s="190"/>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87">
        <v>13</v>
      </c>
      <c r="R118">
        <v>31.54</v>
      </c>
      <c r="S118">
        <v>1</v>
      </c>
      <c r="W118" s="105" t="s">
        <v>166</v>
      </c>
      <c r="Y118" s="190" t="s">
        <v>39</v>
      </c>
      <c r="Z118" s="190" t="s">
        <v>40</v>
      </c>
      <c r="AA118" s="53"/>
      <c r="AB118" s="190"/>
      <c r="AC118" s="190"/>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87">
        <v>17</v>
      </c>
      <c r="R119">
        <v>31.54</v>
      </c>
      <c r="S119">
        <v>1</v>
      </c>
      <c r="W119" s="105" t="s">
        <v>168</v>
      </c>
      <c r="Y119" s="190" t="s">
        <v>39</v>
      </c>
      <c r="Z119" s="190" t="s">
        <v>40</v>
      </c>
      <c r="AA119" s="53"/>
      <c r="AB119" s="190"/>
      <c r="AC119" s="190"/>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87">
        <f t="shared" si="87"/>
        <v>15.5</v>
      </c>
      <c r="R120">
        <v>31.54</v>
      </c>
      <c r="S120">
        <v>1</v>
      </c>
      <c r="W120" s="105" t="s">
        <v>170</v>
      </c>
      <c r="Y120" s="190" t="s">
        <v>39</v>
      </c>
      <c r="Z120" s="190" t="s">
        <v>40</v>
      </c>
      <c r="AA120" s="53"/>
      <c r="AB120" s="190"/>
      <c r="AC120" s="190"/>
      <c r="AG120">
        <v>0.65</v>
      </c>
    </row>
    <row r="121" spans="3:33">
      <c r="C121" s="105" t="s">
        <v>172</v>
      </c>
      <c r="D121" s="105" t="s">
        <v>48</v>
      </c>
      <c r="E121" s="105"/>
      <c r="F121" s="105" t="s">
        <v>173</v>
      </c>
      <c r="G121" s="41">
        <v>2021</v>
      </c>
      <c r="H121" s="185">
        <f>[4]TechLighting!$N$23</f>
        <v>0.695684634187153</v>
      </c>
      <c r="I121" s="121"/>
      <c r="J121" s="185">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87">
        <f>Q120</f>
        <v>15.5</v>
      </c>
      <c r="R121">
        <v>31.54</v>
      </c>
      <c r="S121">
        <v>1</v>
      </c>
      <c r="W121" s="105" t="s">
        <v>172</v>
      </c>
      <c r="Y121" s="190" t="s">
        <v>39</v>
      </c>
      <c r="Z121" s="190" t="s">
        <v>40</v>
      </c>
      <c r="AA121" s="53"/>
      <c r="AB121" s="190"/>
      <c r="AC121" s="190"/>
      <c r="AG121">
        <v>0.65</v>
      </c>
    </row>
    <row r="122" s="41" customFormat="1" spans="3:33">
      <c r="C122" s="42" t="str">
        <f t="shared" ref="C122:C126" si="89">W122</f>
        <v>R_ES_HET-SC-SD_HET1</v>
      </c>
      <c r="D122" s="186" t="s">
        <v>48</v>
      </c>
      <c r="E122" s="186"/>
      <c r="F122" s="186" t="s">
        <v>121</v>
      </c>
      <c r="G122" s="41">
        <v>2021</v>
      </c>
      <c r="H122" s="156">
        <v>1</v>
      </c>
      <c r="I122" s="156"/>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65">
        <f>15</f>
        <v>15</v>
      </c>
      <c r="R122" s="192">
        <v>31.54</v>
      </c>
      <c r="S122" s="193">
        <v>0.33</v>
      </c>
      <c r="W122" s="42" t="s">
        <v>174</v>
      </c>
      <c r="Y122" s="194" t="s">
        <v>39</v>
      </c>
      <c r="Z122" s="194" t="s">
        <v>40</v>
      </c>
      <c r="AA122" s="53"/>
      <c r="AB122" s="194"/>
      <c r="AC122" s="194"/>
      <c r="AG122" s="41">
        <v>0.65</v>
      </c>
    </row>
    <row r="123" s="41" customFormat="1" spans="4:33">
      <c r="D123" s="90" t="str">
        <f>[3]COMM!$E$19</f>
        <v>RSDAHT</v>
      </c>
      <c r="H123" s="156"/>
      <c r="I123" s="156"/>
      <c r="J123" s="42"/>
      <c r="K123" s="42"/>
      <c r="L123" s="81"/>
      <c r="M123" s="42"/>
      <c r="N123" s="81"/>
      <c r="O123" s="42"/>
      <c r="P123" s="81"/>
      <c r="Q123" s="165"/>
      <c r="R123" s="192">
        <v>31.54</v>
      </c>
      <c r="S123" s="41">
        <f>1-S122</f>
        <v>0.67</v>
      </c>
      <c r="W123" s="41" t="s">
        <v>18</v>
      </c>
      <c r="AA123" s="53"/>
      <c r="AG123" s="41">
        <v>0.8</v>
      </c>
    </row>
    <row r="124" s="41" customFormat="1" spans="3:33">
      <c r="C124" s="42" t="str">
        <f t="shared" si="89"/>
        <v>R_ES_HET-SC-SA_HET1</v>
      </c>
      <c r="D124" s="186" t="str">
        <f>D122</f>
        <v>RSDELC</v>
      </c>
      <c r="E124" s="186"/>
      <c r="F124" s="186" t="s">
        <v>123</v>
      </c>
      <c r="G124" s="41">
        <v>2021</v>
      </c>
      <c r="H124" s="156">
        <v>1</v>
      </c>
      <c r="I124" s="156"/>
      <c r="J124" s="81"/>
      <c r="K124" s="42">
        <f>K122</f>
        <v>1727.75295</v>
      </c>
      <c r="L124" s="42">
        <f t="shared" ref="L124:P124" si="93">150/10*1</f>
        <v>15</v>
      </c>
      <c r="M124" s="42">
        <f t="shared" si="91"/>
        <v>1727.75295</v>
      </c>
      <c r="N124" s="42">
        <f t="shared" si="93"/>
        <v>15</v>
      </c>
      <c r="O124" s="42">
        <f t="shared" si="92"/>
        <v>1727.75295</v>
      </c>
      <c r="P124" s="42">
        <f t="shared" si="93"/>
        <v>15</v>
      </c>
      <c r="Q124" s="165">
        <v>15</v>
      </c>
      <c r="R124" s="192">
        <v>31.54</v>
      </c>
      <c r="S124" s="193">
        <f>S122</f>
        <v>0.33</v>
      </c>
      <c r="W124" s="42" t="s">
        <v>175</v>
      </c>
      <c r="Y124" s="194" t="s">
        <v>39</v>
      </c>
      <c r="Z124" s="194" t="s">
        <v>40</v>
      </c>
      <c r="AA124" s="53"/>
      <c r="AB124" s="194"/>
      <c r="AC124" s="194"/>
      <c r="AG124" s="41">
        <v>0.8</v>
      </c>
    </row>
    <row r="125" s="41" customFormat="1" spans="4:33">
      <c r="D125" s="186" t="str">
        <f t="shared" ref="D125:D137" si="94">D123</f>
        <v>RSDAHT</v>
      </c>
      <c r="E125" s="90"/>
      <c r="H125" s="156"/>
      <c r="I125" s="156"/>
      <c r="J125" s="42"/>
      <c r="K125" s="42"/>
      <c r="L125" s="81"/>
      <c r="M125" s="42"/>
      <c r="N125" s="81"/>
      <c r="O125" s="42"/>
      <c r="P125" s="81"/>
      <c r="Q125" s="165"/>
      <c r="R125" s="192">
        <v>31.54</v>
      </c>
      <c r="S125" s="193">
        <f t="shared" ref="S125:S137" si="95">S123</f>
        <v>0.67</v>
      </c>
      <c r="W125" s="41" t="s">
        <v>18</v>
      </c>
      <c r="AA125" s="53"/>
      <c r="AG125" s="41">
        <v>0.8</v>
      </c>
    </row>
    <row r="126" s="41" customFormat="1" spans="3:33">
      <c r="C126" s="42" t="str">
        <f t="shared" si="89"/>
        <v>R_ES_HET-SC-AP_HET1</v>
      </c>
      <c r="D126" s="186" t="str">
        <f t="shared" si="94"/>
        <v>RSDELC</v>
      </c>
      <c r="E126" s="186"/>
      <c r="F126" s="186" t="s">
        <v>125</v>
      </c>
      <c r="G126" s="41">
        <v>2021</v>
      </c>
      <c r="H126" s="156">
        <v>1</v>
      </c>
      <c r="I126" s="156"/>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65">
        <v>15</v>
      </c>
      <c r="R126" s="192">
        <v>31.54</v>
      </c>
      <c r="S126" s="193">
        <f t="shared" si="95"/>
        <v>0.33</v>
      </c>
      <c r="W126" s="42" t="s">
        <v>176</v>
      </c>
      <c r="Y126" s="194" t="s">
        <v>39</v>
      </c>
      <c r="Z126" s="194" t="s">
        <v>40</v>
      </c>
      <c r="AA126" s="53"/>
      <c r="AB126" s="194"/>
      <c r="AC126" s="194"/>
      <c r="AG126" s="41">
        <v>0.8</v>
      </c>
    </row>
    <row r="127" s="41" customFormat="1" spans="4:33">
      <c r="D127" s="186" t="str">
        <f t="shared" si="94"/>
        <v>RSDAHT</v>
      </c>
      <c r="E127" s="90"/>
      <c r="H127" s="156"/>
      <c r="I127" s="156"/>
      <c r="J127" s="42"/>
      <c r="K127" s="42"/>
      <c r="L127" s="81"/>
      <c r="M127" s="42"/>
      <c r="N127" s="81"/>
      <c r="O127" s="42"/>
      <c r="P127" s="81"/>
      <c r="Q127" s="165"/>
      <c r="R127" s="192">
        <v>31.54</v>
      </c>
      <c r="S127" s="193">
        <f t="shared" si="95"/>
        <v>0.67</v>
      </c>
      <c r="W127" s="41" t="s">
        <v>18</v>
      </c>
      <c r="AA127" s="53"/>
      <c r="AG127" s="41">
        <v>0.8</v>
      </c>
    </row>
    <row r="128" s="41" customFormat="1" spans="3:33">
      <c r="C128" s="42" t="str">
        <f>W128</f>
        <v>R_ES_HET-SC-MOB_HET1</v>
      </c>
      <c r="D128" s="186" t="str">
        <f t="shared" si="94"/>
        <v>RSDELC</v>
      </c>
      <c r="E128" s="186"/>
      <c r="F128" s="186" t="s">
        <v>127</v>
      </c>
      <c r="G128" s="41">
        <v>2021</v>
      </c>
      <c r="H128" s="156">
        <v>1</v>
      </c>
      <c r="I128" s="156"/>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65">
        <v>15</v>
      </c>
      <c r="R128" s="192">
        <v>31.54</v>
      </c>
      <c r="S128" s="193">
        <f t="shared" si="95"/>
        <v>0.33</v>
      </c>
      <c r="W128" s="42" t="s">
        <v>177</v>
      </c>
      <c r="Y128" s="194" t="s">
        <v>39</v>
      </c>
      <c r="Z128" s="194" t="s">
        <v>40</v>
      </c>
      <c r="AA128" s="53"/>
      <c r="AB128" s="194"/>
      <c r="AC128" s="194"/>
      <c r="AG128" s="41">
        <v>0.8</v>
      </c>
    </row>
    <row r="129" s="41" customFormat="1" spans="4:33">
      <c r="D129" s="186" t="str">
        <f t="shared" si="94"/>
        <v>RSDAHT</v>
      </c>
      <c r="E129" s="90"/>
      <c r="H129" s="156"/>
      <c r="I129" s="156"/>
      <c r="J129" s="42"/>
      <c r="K129" s="42"/>
      <c r="L129" s="81"/>
      <c r="M129" s="81"/>
      <c r="N129" s="81"/>
      <c r="O129" s="81"/>
      <c r="P129" s="81"/>
      <c r="Q129" s="167"/>
      <c r="R129" s="192">
        <v>31.54</v>
      </c>
      <c r="S129" s="193">
        <f t="shared" si="95"/>
        <v>0.67</v>
      </c>
      <c r="W129" s="41" t="s">
        <v>18</v>
      </c>
      <c r="AA129" s="53"/>
      <c r="AG129" s="41">
        <v>0.8</v>
      </c>
    </row>
    <row r="130" s="41" customFormat="1" spans="3:33">
      <c r="C130" s="42" t="s">
        <v>178</v>
      </c>
      <c r="D130" s="186" t="str">
        <f t="shared" si="94"/>
        <v>RSDELC</v>
      </c>
      <c r="E130" s="186"/>
      <c r="F130" s="186" t="s">
        <v>130</v>
      </c>
      <c r="G130" s="41">
        <v>2021</v>
      </c>
      <c r="H130" s="156">
        <v>1</v>
      </c>
      <c r="I130" s="156"/>
      <c r="J130" s="81">
        <f>AVERAGE(J90:J95)</f>
        <v>0.378345508174408</v>
      </c>
      <c r="K130" s="195">
        <f>(1880+3000)/2*1/11</f>
        <v>221.818181818182</v>
      </c>
      <c r="L130" s="195">
        <f>20/11</f>
        <v>1.81818181818182</v>
      </c>
      <c r="M130" s="195">
        <f t="shared" si="99"/>
        <v>221.818181818182</v>
      </c>
      <c r="N130" s="195">
        <f>L130</f>
        <v>1.81818181818182</v>
      </c>
      <c r="O130" s="195">
        <f t="shared" si="100"/>
        <v>221.818181818182</v>
      </c>
      <c r="P130" s="195">
        <f>N130</f>
        <v>1.81818181818182</v>
      </c>
      <c r="Q130" s="165">
        <v>13</v>
      </c>
      <c r="R130" s="192">
        <v>31.54</v>
      </c>
      <c r="S130" s="193">
        <f t="shared" si="95"/>
        <v>0.33</v>
      </c>
      <c r="W130" s="42" t="s">
        <v>178</v>
      </c>
      <c r="Y130" s="194" t="s">
        <v>39</v>
      </c>
      <c r="Z130" s="194" t="s">
        <v>40</v>
      </c>
      <c r="AA130" s="53"/>
      <c r="AB130" s="194"/>
      <c r="AC130" s="194"/>
      <c r="AG130" s="41">
        <v>0.8</v>
      </c>
    </row>
    <row r="131" s="41" customFormat="1" spans="4:27">
      <c r="D131" s="186" t="str">
        <f t="shared" si="94"/>
        <v>RSDAHT</v>
      </c>
      <c r="E131" s="90"/>
      <c r="H131" s="156"/>
      <c r="I131" s="156"/>
      <c r="J131" s="42"/>
      <c r="K131" s="195"/>
      <c r="L131" s="195"/>
      <c r="M131" s="195"/>
      <c r="N131" s="195"/>
      <c r="O131" s="195"/>
      <c r="P131" s="195"/>
      <c r="Q131" s="167"/>
      <c r="R131" s="192">
        <v>31.54</v>
      </c>
      <c r="S131" s="193">
        <f t="shared" si="95"/>
        <v>0.67</v>
      </c>
      <c r="W131" s="41" t="s">
        <v>18</v>
      </c>
      <c r="AA131" s="53"/>
    </row>
    <row r="132" s="41" customFormat="1" spans="3:29">
      <c r="C132" s="42" t="s">
        <v>179</v>
      </c>
      <c r="D132" s="186" t="str">
        <f t="shared" si="94"/>
        <v>RSDELC</v>
      </c>
      <c r="E132" s="186"/>
      <c r="F132" s="186" t="s">
        <v>138</v>
      </c>
      <c r="G132" s="41">
        <v>2021</v>
      </c>
      <c r="H132" s="156">
        <v>1</v>
      </c>
      <c r="I132" s="156"/>
      <c r="J132" s="81">
        <f>AVERAGE(J96:J101)</f>
        <v>0.247987847453136</v>
      </c>
      <c r="K132" s="195">
        <f t="shared" ref="K132:K136" si="101">K130</f>
        <v>221.818181818182</v>
      </c>
      <c r="L132" s="195">
        <f>L130</f>
        <v>1.81818181818182</v>
      </c>
      <c r="M132" s="195">
        <f t="shared" si="99"/>
        <v>221.818181818182</v>
      </c>
      <c r="N132" s="195">
        <f>L132</f>
        <v>1.81818181818182</v>
      </c>
      <c r="O132" s="195">
        <f t="shared" si="100"/>
        <v>221.818181818182</v>
      </c>
      <c r="P132" s="195">
        <f>N132</f>
        <v>1.81818181818182</v>
      </c>
      <c r="Q132" s="165">
        <v>13</v>
      </c>
      <c r="R132" s="192">
        <v>31.54</v>
      </c>
      <c r="S132" s="193">
        <f t="shared" si="95"/>
        <v>0.33</v>
      </c>
      <c r="W132" s="42" t="s">
        <v>179</v>
      </c>
      <c r="Y132" s="194" t="s">
        <v>39</v>
      </c>
      <c r="Z132" s="194" t="s">
        <v>40</v>
      </c>
      <c r="AA132" s="53"/>
      <c r="AB132" s="194"/>
      <c r="AC132" s="194"/>
    </row>
    <row r="133" s="41" customFormat="1" spans="4:27">
      <c r="D133" s="186" t="str">
        <f t="shared" si="94"/>
        <v>RSDAHT</v>
      </c>
      <c r="E133" s="90"/>
      <c r="H133" s="156"/>
      <c r="I133" s="156"/>
      <c r="J133" s="42"/>
      <c r="K133" s="195"/>
      <c r="L133" s="195"/>
      <c r="M133" s="195"/>
      <c r="N133" s="195"/>
      <c r="O133" s="195"/>
      <c r="P133" s="195"/>
      <c r="Q133" s="167"/>
      <c r="R133" s="192">
        <v>31.54</v>
      </c>
      <c r="S133" s="193">
        <f t="shared" si="95"/>
        <v>0.67</v>
      </c>
      <c r="W133" s="41" t="s">
        <v>18</v>
      </c>
      <c r="AA133" s="53"/>
    </row>
    <row r="134" s="41" customFormat="1" spans="3:29">
      <c r="C134" s="42" t="s">
        <v>180</v>
      </c>
      <c r="D134" s="186" t="str">
        <f t="shared" si="94"/>
        <v>RSDELC</v>
      </c>
      <c r="E134" s="186"/>
      <c r="F134" s="186" t="s">
        <v>145</v>
      </c>
      <c r="G134" s="41">
        <v>2021</v>
      </c>
      <c r="H134" s="156">
        <v>1</v>
      </c>
      <c r="I134" s="156"/>
      <c r="J134" s="81">
        <f>AVERAGE(J102:J107)</f>
        <v>0.17270772863852</v>
      </c>
      <c r="K134" s="195">
        <f t="shared" si="101"/>
        <v>221.818181818182</v>
      </c>
      <c r="L134" s="195">
        <f t="shared" ref="L134:P134" si="102">L132</f>
        <v>1.81818181818182</v>
      </c>
      <c r="M134" s="195">
        <f>K134</f>
        <v>221.818181818182</v>
      </c>
      <c r="N134" s="195">
        <f t="shared" si="102"/>
        <v>1.81818181818182</v>
      </c>
      <c r="O134" s="195">
        <f>M134</f>
        <v>221.818181818182</v>
      </c>
      <c r="P134" s="195">
        <f t="shared" si="102"/>
        <v>1.81818181818182</v>
      </c>
      <c r="Q134" s="165">
        <v>13</v>
      </c>
      <c r="R134" s="192">
        <v>31.54</v>
      </c>
      <c r="S134" s="193">
        <f t="shared" si="95"/>
        <v>0.33</v>
      </c>
      <c r="W134" s="42" t="s">
        <v>180</v>
      </c>
      <c r="Y134" s="194" t="s">
        <v>39</v>
      </c>
      <c r="Z134" s="194" t="s">
        <v>40</v>
      </c>
      <c r="AA134" s="53"/>
      <c r="AB134" s="194"/>
      <c r="AC134" s="194"/>
    </row>
    <row r="135" s="41" customFormat="1" spans="4:27">
      <c r="D135" s="186" t="str">
        <f t="shared" si="94"/>
        <v>RSDAHT</v>
      </c>
      <c r="E135" s="90"/>
      <c r="H135" s="156"/>
      <c r="I135" s="156"/>
      <c r="J135" s="42"/>
      <c r="K135" s="195"/>
      <c r="L135" s="195"/>
      <c r="M135" s="195"/>
      <c r="N135" s="195"/>
      <c r="O135" s="195"/>
      <c r="P135" s="195"/>
      <c r="Q135" s="167"/>
      <c r="R135" s="192">
        <v>31.54</v>
      </c>
      <c r="S135" s="193">
        <f t="shared" si="95"/>
        <v>0.67</v>
      </c>
      <c r="W135" s="41" t="s">
        <v>18</v>
      </c>
      <c r="AA135" s="53"/>
    </row>
    <row r="136" s="41" customFormat="1" spans="3:29">
      <c r="C136" s="42" t="s">
        <v>181</v>
      </c>
      <c r="D136" s="186" t="str">
        <f t="shared" si="94"/>
        <v>RSDELC</v>
      </c>
      <c r="E136" s="186"/>
      <c r="F136" s="186" t="s">
        <v>152</v>
      </c>
      <c r="G136" s="41">
        <v>2021</v>
      </c>
      <c r="H136" s="156">
        <v>1</v>
      </c>
      <c r="I136" s="156"/>
      <c r="J136" s="81">
        <f>AVERAGE(J108:J113)</f>
        <v>0.179264684836042</v>
      </c>
      <c r="K136" s="195">
        <f t="shared" si="101"/>
        <v>221.818181818182</v>
      </c>
      <c r="L136" s="195">
        <f t="shared" ref="L136:P136" si="103">L134</f>
        <v>1.81818181818182</v>
      </c>
      <c r="M136" s="195">
        <f>K136</f>
        <v>221.818181818182</v>
      </c>
      <c r="N136" s="195">
        <f t="shared" si="103"/>
        <v>1.81818181818182</v>
      </c>
      <c r="O136" s="195">
        <f>M136</f>
        <v>221.818181818182</v>
      </c>
      <c r="P136" s="195">
        <f t="shared" si="103"/>
        <v>1.81818181818182</v>
      </c>
      <c r="Q136" s="165">
        <v>13</v>
      </c>
      <c r="R136" s="192">
        <v>31.54</v>
      </c>
      <c r="S136" s="193">
        <f t="shared" si="95"/>
        <v>0.33</v>
      </c>
      <c r="W136" s="42" t="s">
        <v>181</v>
      </c>
      <c r="Y136" s="194" t="s">
        <v>39</v>
      </c>
      <c r="Z136" s="194" t="s">
        <v>40</v>
      </c>
      <c r="AA136" s="53"/>
      <c r="AB136" s="194"/>
      <c r="AC136" s="194"/>
    </row>
    <row r="137" s="41" customFormat="1" spans="4:19">
      <c r="D137" s="186" t="str">
        <f t="shared" si="94"/>
        <v>RSDAHT</v>
      </c>
      <c r="E137" s="90"/>
      <c r="H137" s="156"/>
      <c r="I137" s="156"/>
      <c r="J137" s="42"/>
      <c r="K137" s="81"/>
      <c r="L137" s="81"/>
      <c r="M137" s="81"/>
      <c r="N137" s="81"/>
      <c r="O137" s="81"/>
      <c r="P137" s="81"/>
      <c r="Q137" s="167"/>
      <c r="R137" s="192">
        <v>31.54</v>
      </c>
      <c r="S137" s="193">
        <f t="shared" si="95"/>
        <v>0.67</v>
      </c>
    </row>
    <row r="138" spans="19:19">
      <c r="S138" s="193"/>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56">
        <v>0.6</v>
      </c>
      <c r="I152" s="156"/>
      <c r="J152" s="42">
        <v>0.191122946141536</v>
      </c>
      <c r="K152" s="57" t="s">
        <v>182</v>
      </c>
    </row>
    <row r="153" ht="112.5" spans="3:11">
      <c r="C153" t="s">
        <v>41</v>
      </c>
      <c r="D153" t="s">
        <v>36</v>
      </c>
      <c r="F153" t="s">
        <v>37</v>
      </c>
      <c r="G153" s="41">
        <v>2021</v>
      </c>
      <c r="H153" s="156">
        <v>0.78</v>
      </c>
      <c r="I153" s="156"/>
      <c r="J153" s="42">
        <v>0.191122946141536</v>
      </c>
      <c r="K153" s="57" t="s">
        <v>182</v>
      </c>
    </row>
    <row r="154" ht="112.5" spans="3:11">
      <c r="C154" t="s">
        <v>42</v>
      </c>
      <c r="D154" t="s">
        <v>36</v>
      </c>
      <c r="F154" t="s">
        <v>37</v>
      </c>
      <c r="G154" s="41">
        <v>2021</v>
      </c>
      <c r="H154" s="156">
        <v>0.85</v>
      </c>
      <c r="I154" s="156"/>
      <c r="J154" s="42">
        <v>0.191122946141536</v>
      </c>
      <c r="K154" s="57" t="s">
        <v>182</v>
      </c>
    </row>
    <row r="155" ht="112.5" spans="3:11">
      <c r="C155" t="s">
        <v>43</v>
      </c>
      <c r="D155" t="s">
        <v>44</v>
      </c>
      <c r="F155" t="s">
        <v>37</v>
      </c>
      <c r="G155" s="41">
        <v>2021</v>
      </c>
      <c r="H155" s="156">
        <v>0.62</v>
      </c>
      <c r="I155" s="156"/>
      <c r="J155" s="42">
        <v>0.27644125731911</v>
      </c>
      <c r="K155" s="57" t="s">
        <v>182</v>
      </c>
    </row>
    <row r="156" ht="112.5" spans="3:11">
      <c r="C156" t="s">
        <v>45</v>
      </c>
      <c r="D156" t="s">
        <v>44</v>
      </c>
      <c r="F156" t="s">
        <v>37</v>
      </c>
      <c r="G156" s="41">
        <v>2021</v>
      </c>
      <c r="H156" s="156">
        <v>0.8</v>
      </c>
      <c r="I156" s="156"/>
      <c r="J156" s="42">
        <v>0.27644125731911</v>
      </c>
      <c r="K156" s="57" t="s">
        <v>182</v>
      </c>
    </row>
    <row r="157" ht="112.5" spans="3:11">
      <c r="C157" t="s">
        <v>46</v>
      </c>
      <c r="D157" t="s">
        <v>44</v>
      </c>
      <c r="F157" t="s">
        <v>37</v>
      </c>
      <c r="G157" s="41">
        <v>2021</v>
      </c>
      <c r="H157" s="156">
        <v>0.9</v>
      </c>
      <c r="I157" s="156"/>
      <c r="J157" s="42">
        <v>0.27644125731911</v>
      </c>
      <c r="K157" s="57" t="s">
        <v>182</v>
      </c>
    </row>
    <row r="158" ht="112.5" spans="3:11">
      <c r="C158" t="s">
        <v>47</v>
      </c>
      <c r="D158" t="s">
        <v>48</v>
      </c>
      <c r="F158" t="s">
        <v>37</v>
      </c>
      <c r="G158" s="41">
        <v>2021</v>
      </c>
      <c r="H158" s="156">
        <v>1</v>
      </c>
      <c r="I158" s="156"/>
      <c r="J158" s="42">
        <v>0.247313988564565</v>
      </c>
      <c r="K158" s="57" t="s">
        <v>182</v>
      </c>
    </row>
    <row r="159" ht="112.5" spans="3:11">
      <c r="C159" t="s">
        <v>49</v>
      </c>
      <c r="D159" s="1" t="s">
        <v>48</v>
      </c>
      <c r="E159" s="1"/>
      <c r="F159" t="s">
        <v>37</v>
      </c>
      <c r="G159" s="41">
        <v>2021</v>
      </c>
      <c r="H159" s="156">
        <v>1</v>
      </c>
      <c r="I159" s="156"/>
      <c r="J159" s="42">
        <v>0.655745640510185</v>
      </c>
      <c r="K159" s="57" t="s">
        <v>182</v>
      </c>
    </row>
    <row r="160" spans="4:9">
      <c r="D160" s="157" t="str">
        <f>[3]COMM!$E$19</f>
        <v>RSDAHT</v>
      </c>
      <c r="H160" s="156"/>
      <c r="I160" s="156"/>
    </row>
    <row r="161" ht="112.5" spans="3:11">
      <c r="C161" t="s">
        <v>52</v>
      </c>
      <c r="D161" t="s">
        <v>53</v>
      </c>
      <c r="F161" t="s">
        <v>37</v>
      </c>
      <c r="G161" s="41">
        <v>2021</v>
      </c>
      <c r="H161" s="156">
        <v>0.5</v>
      </c>
      <c r="I161" s="156"/>
      <c r="J161" s="42">
        <v>0.322091809257061</v>
      </c>
      <c r="K161" s="57" t="s">
        <v>182</v>
      </c>
    </row>
    <row r="162" ht="112.5" spans="3:11">
      <c r="C162" t="s">
        <v>63</v>
      </c>
      <c r="D162" t="s">
        <v>64</v>
      </c>
      <c r="F162" t="s">
        <v>37</v>
      </c>
      <c r="G162" s="41">
        <v>2021</v>
      </c>
      <c r="H162" s="156">
        <v>0.5</v>
      </c>
      <c r="I162" s="156"/>
      <c r="J162" s="42">
        <v>0.492984723712865</v>
      </c>
      <c r="K162" s="57" t="s">
        <v>182</v>
      </c>
    </row>
    <row r="163" ht="112.5" spans="3:11">
      <c r="C163" s="105" t="s">
        <v>66</v>
      </c>
      <c r="D163" s="105" t="s">
        <v>48</v>
      </c>
      <c r="E163" s="105"/>
      <c r="F163" t="s">
        <v>37</v>
      </c>
      <c r="G163" s="41">
        <v>2021</v>
      </c>
      <c r="H163" s="158">
        <v>0.75</v>
      </c>
      <c r="I163" s="163"/>
      <c r="J163" s="42">
        <v>0.655745640510185</v>
      </c>
      <c r="K163" s="57" t="s">
        <v>182</v>
      </c>
    </row>
    <row r="164" spans="4:9">
      <c r="D164" s="105" t="s">
        <v>64</v>
      </c>
      <c r="E164" s="105"/>
      <c r="H164" s="158"/>
      <c r="I164" s="163"/>
    </row>
    <row r="165" ht="112.5" spans="3:11">
      <c r="C165" s="105" t="s">
        <v>69</v>
      </c>
      <c r="D165" s="105" t="s">
        <v>36</v>
      </c>
      <c r="E165" s="105"/>
      <c r="F165" t="s">
        <v>37</v>
      </c>
      <c r="G165" s="41">
        <v>2021</v>
      </c>
      <c r="H165" s="158">
        <v>0.675</v>
      </c>
      <c r="I165" s="163"/>
      <c r="J165" s="42">
        <v>0.655745640510185</v>
      </c>
      <c r="K165" s="57" t="s">
        <v>182</v>
      </c>
    </row>
    <row r="166" spans="4:9">
      <c r="D166" s="105" t="s">
        <v>64</v>
      </c>
      <c r="E166" s="105"/>
      <c r="H166" s="158"/>
      <c r="I166" s="163"/>
    </row>
    <row r="167" ht="112.5" spans="3:11">
      <c r="C167" s="105" t="s">
        <v>72</v>
      </c>
      <c r="D167" s="105" t="s">
        <v>48</v>
      </c>
      <c r="E167" s="105"/>
      <c r="F167" t="s">
        <v>37</v>
      </c>
      <c r="G167" s="41">
        <v>2021</v>
      </c>
      <c r="H167" s="158">
        <v>0.9</v>
      </c>
      <c r="I167" s="163"/>
      <c r="J167" s="42">
        <v>0.655745640510185</v>
      </c>
      <c r="K167" s="57" t="s">
        <v>182</v>
      </c>
    </row>
    <row r="168" spans="4:9">
      <c r="D168" s="105" t="s">
        <v>44</v>
      </c>
      <c r="E168" s="105"/>
      <c r="H168" s="158"/>
      <c r="I168" s="163"/>
    </row>
    <row r="169" ht="112.5" spans="3:11">
      <c r="C169" s="105" t="s">
        <v>75</v>
      </c>
      <c r="D169" s="105" t="s">
        <v>48</v>
      </c>
      <c r="E169" s="105"/>
      <c r="F169" t="s">
        <v>37</v>
      </c>
      <c r="G169" s="41">
        <v>2021</v>
      </c>
      <c r="H169" s="158">
        <v>0.89</v>
      </c>
      <c r="I169" s="163"/>
      <c r="J169" s="42">
        <v>0.655745640510185</v>
      </c>
      <c r="K169" s="57" t="s">
        <v>182</v>
      </c>
    </row>
    <row r="170" spans="4:5">
      <c r="D170" s="105" t="s">
        <v>36</v>
      </c>
      <c r="E170" s="105"/>
    </row>
    <row r="171" ht="112.5" spans="3:11">
      <c r="C171" t="s">
        <v>76</v>
      </c>
      <c r="D171" t="s">
        <v>36</v>
      </c>
      <c r="F171" t="s">
        <v>77</v>
      </c>
      <c r="G171" s="41">
        <v>2021</v>
      </c>
      <c r="H171" s="156">
        <v>0.6</v>
      </c>
      <c r="I171" s="156"/>
      <c r="J171" s="42">
        <v>0.107589579145215</v>
      </c>
      <c r="K171" s="57" t="s">
        <v>182</v>
      </c>
    </row>
    <row r="172" ht="112.5" spans="3:11">
      <c r="C172" t="s">
        <v>78</v>
      </c>
      <c r="D172" t="s">
        <v>36</v>
      </c>
      <c r="F172" t="s">
        <v>77</v>
      </c>
      <c r="G172" s="41">
        <v>2021</v>
      </c>
      <c r="H172" s="156">
        <v>0.78</v>
      </c>
      <c r="I172" s="156"/>
      <c r="J172" s="42">
        <v>0.107589579145215</v>
      </c>
      <c r="K172" s="57" t="s">
        <v>182</v>
      </c>
    </row>
    <row r="173" ht="112.5" spans="3:11">
      <c r="C173" t="s">
        <v>79</v>
      </c>
      <c r="D173" t="s">
        <v>36</v>
      </c>
      <c r="F173" t="s">
        <v>77</v>
      </c>
      <c r="G173" s="41">
        <v>2021</v>
      </c>
      <c r="H173" s="156">
        <v>0.85</v>
      </c>
      <c r="I173" s="156"/>
      <c r="J173" s="42">
        <v>0.107589579145215</v>
      </c>
      <c r="K173" s="57" t="s">
        <v>182</v>
      </c>
    </row>
    <row r="174" ht="112.5" spans="3:11">
      <c r="C174" t="s">
        <v>80</v>
      </c>
      <c r="D174" t="s">
        <v>44</v>
      </c>
      <c r="F174" t="s">
        <v>77</v>
      </c>
      <c r="G174" s="41">
        <v>2021</v>
      </c>
      <c r="H174" s="156">
        <v>0.62</v>
      </c>
      <c r="I174" s="156"/>
      <c r="J174" s="42">
        <v>0.148009559556309</v>
      </c>
      <c r="K174" s="57" t="s">
        <v>182</v>
      </c>
    </row>
    <row r="175" ht="112.5" spans="3:11">
      <c r="C175" t="s">
        <v>81</v>
      </c>
      <c r="D175" t="s">
        <v>44</v>
      </c>
      <c r="F175" t="s">
        <v>77</v>
      </c>
      <c r="G175" s="41">
        <v>2021</v>
      </c>
      <c r="H175" s="156">
        <v>0.8</v>
      </c>
      <c r="I175" s="156"/>
      <c r="J175" s="42">
        <v>0.148009559556309</v>
      </c>
      <c r="K175" s="57" t="s">
        <v>182</v>
      </c>
    </row>
    <row r="176" ht="112.5" spans="3:11">
      <c r="C176" t="s">
        <v>82</v>
      </c>
      <c r="D176" t="s">
        <v>44</v>
      </c>
      <c r="F176" t="s">
        <v>77</v>
      </c>
      <c r="G176" s="41">
        <v>2021</v>
      </c>
      <c r="H176" s="156">
        <v>0.9</v>
      </c>
      <c r="I176" s="156"/>
      <c r="J176" s="42">
        <v>0.148009559556309</v>
      </c>
      <c r="K176" s="57" t="s">
        <v>182</v>
      </c>
    </row>
    <row r="177" ht="112.5" spans="3:11">
      <c r="C177" t="s">
        <v>83</v>
      </c>
      <c r="D177" t="s">
        <v>48</v>
      </c>
      <c r="F177" t="s">
        <v>77</v>
      </c>
      <c r="G177" s="41">
        <v>2021</v>
      </c>
      <c r="H177" s="156">
        <v>1</v>
      </c>
      <c r="I177" s="156"/>
      <c r="J177" s="42">
        <v>0.115846759587079</v>
      </c>
      <c r="K177" s="57" t="s">
        <v>182</v>
      </c>
    </row>
    <row r="178" ht="112.5" spans="3:11">
      <c r="C178" t="s">
        <v>84</v>
      </c>
      <c r="D178" s="1" t="s">
        <v>48</v>
      </c>
      <c r="E178" s="1"/>
      <c r="F178" s="126" t="s">
        <v>77</v>
      </c>
      <c r="G178" s="41">
        <v>2021</v>
      </c>
      <c r="H178" s="156">
        <v>1</v>
      </c>
      <c r="I178" s="156"/>
      <c r="J178" s="42">
        <v>0.211062502382414</v>
      </c>
      <c r="K178" s="57" t="s">
        <v>182</v>
      </c>
    </row>
    <row r="179" spans="4:9">
      <c r="D179" s="157" t="str">
        <f>[3]COMM!$E$19</f>
        <v>RSDAHT</v>
      </c>
      <c r="H179" s="156"/>
      <c r="I179" s="156"/>
    </row>
    <row r="180" ht="112.5" spans="3:11">
      <c r="C180" t="s">
        <v>85</v>
      </c>
      <c r="D180" t="s">
        <v>53</v>
      </c>
      <c r="F180" t="s">
        <v>77</v>
      </c>
      <c r="G180" s="41">
        <v>2021</v>
      </c>
      <c r="H180" s="156">
        <v>0.5</v>
      </c>
      <c r="I180" s="156"/>
      <c r="J180" s="42">
        <v>0.160815666952592</v>
      </c>
      <c r="K180" s="57" t="s">
        <v>182</v>
      </c>
    </row>
    <row r="181" ht="112.5" spans="3:11">
      <c r="C181" t="s">
        <v>86</v>
      </c>
      <c r="D181" t="s">
        <v>64</v>
      </c>
      <c r="F181" t="s">
        <v>77</v>
      </c>
      <c r="G181" s="41">
        <v>2021</v>
      </c>
      <c r="H181" s="156">
        <v>0.5</v>
      </c>
      <c r="I181" s="156"/>
      <c r="J181" s="42">
        <v>0.0628248288539579</v>
      </c>
      <c r="K181" s="57" t="s">
        <v>182</v>
      </c>
    </row>
    <row r="182" ht="112.5" spans="3:11">
      <c r="C182" s="105" t="s">
        <v>87</v>
      </c>
      <c r="D182" s="105" t="s">
        <v>48</v>
      </c>
      <c r="E182" s="105"/>
      <c r="F182" t="s">
        <v>77</v>
      </c>
      <c r="G182" s="41">
        <v>2021</v>
      </c>
      <c r="H182" s="156">
        <v>0.75</v>
      </c>
      <c r="I182" s="156"/>
      <c r="J182" s="42">
        <v>0.211062502382414</v>
      </c>
      <c r="K182" s="57" t="s">
        <v>182</v>
      </c>
    </row>
    <row r="183" spans="4:9">
      <c r="D183" s="105" t="s">
        <v>64</v>
      </c>
      <c r="E183" s="105"/>
      <c r="H183" s="156"/>
      <c r="I183" s="156"/>
    </row>
    <row r="184" ht="112.5" spans="3:11">
      <c r="C184" s="105" t="s">
        <v>88</v>
      </c>
      <c r="D184" s="105" t="s">
        <v>36</v>
      </c>
      <c r="E184" s="105"/>
      <c r="F184" t="s">
        <v>77</v>
      </c>
      <c r="G184" s="41">
        <v>2021</v>
      </c>
      <c r="H184" s="156">
        <v>0.675</v>
      </c>
      <c r="I184" s="156"/>
      <c r="J184" s="42">
        <v>0.211062502382414</v>
      </c>
      <c r="K184" s="57" t="s">
        <v>182</v>
      </c>
    </row>
    <row r="185" spans="4:9">
      <c r="D185" s="105" t="s">
        <v>64</v>
      </c>
      <c r="E185" s="105"/>
      <c r="H185" s="156"/>
      <c r="I185" s="156"/>
    </row>
    <row r="186" ht="112.5" spans="3:11">
      <c r="C186" s="105" t="s">
        <v>89</v>
      </c>
      <c r="D186" s="105" t="s">
        <v>48</v>
      </c>
      <c r="E186" s="105"/>
      <c r="F186" t="s">
        <v>77</v>
      </c>
      <c r="G186" s="41">
        <v>2021</v>
      </c>
      <c r="H186" s="156">
        <v>0.9</v>
      </c>
      <c r="I186" s="156"/>
      <c r="J186" s="42">
        <v>0.211062502382414</v>
      </c>
      <c r="K186" s="57" t="s">
        <v>182</v>
      </c>
    </row>
    <row r="187" spans="4:9">
      <c r="D187" s="105" t="s">
        <v>44</v>
      </c>
      <c r="E187" s="105"/>
      <c r="H187" s="156"/>
      <c r="I187" s="156"/>
    </row>
    <row r="188" ht="112.5" spans="3:11">
      <c r="C188" s="105" t="s">
        <v>90</v>
      </c>
      <c r="D188" s="105" t="s">
        <v>48</v>
      </c>
      <c r="E188" s="105"/>
      <c r="F188" t="s">
        <v>77</v>
      </c>
      <c r="G188" s="41">
        <v>2021</v>
      </c>
      <c r="H188" s="156">
        <v>0.89</v>
      </c>
      <c r="I188" s="156"/>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59" t="s">
        <v>48</v>
      </c>
      <c r="E197" s="159"/>
      <c r="F197" s="126" t="s">
        <v>92</v>
      </c>
      <c r="G197" s="41">
        <v>2021</v>
      </c>
      <c r="H197" s="42">
        <v>1</v>
      </c>
      <c r="J197" s="42">
        <v>0.317251291639583</v>
      </c>
      <c r="K197" s="57" t="s">
        <v>182</v>
      </c>
    </row>
    <row r="198" spans="4:4">
      <c r="D198" s="157" t="str">
        <f>[3]COMM!$E$19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6" t="s">
        <v>114</v>
      </c>
      <c r="D216" s="159" t="s">
        <v>48</v>
      </c>
      <c r="E216" s="159"/>
      <c r="F216" s="126" t="s">
        <v>107</v>
      </c>
      <c r="G216" s="41">
        <v>2021</v>
      </c>
      <c r="H216" s="42">
        <f>H215</f>
        <v>1</v>
      </c>
      <c r="J216" s="42">
        <v>0.659119941244054</v>
      </c>
      <c r="K216" s="57" t="s">
        <v>182</v>
      </c>
    </row>
    <row r="217" spans="4:4">
      <c r="D217" s="157" t="str">
        <f>[3]COMM!$E$19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83">
        <f>11.5/3.412</f>
        <v>3.3704572098476</v>
      </c>
      <c r="I228" s="156"/>
      <c r="K228" s="57" t="s">
        <v>183</v>
      </c>
    </row>
    <row r="229" spans="3:9">
      <c r="C229" s="105" t="s">
        <v>18</v>
      </c>
      <c r="D229" s="105"/>
      <c r="E229" s="105"/>
      <c r="F229" s="105"/>
      <c r="H229" s="183"/>
      <c r="I229" s="156"/>
    </row>
    <row r="230" ht="112.5" spans="3:11">
      <c r="C230" s="105" t="s">
        <v>124</v>
      </c>
      <c r="D230" s="105" t="s">
        <v>48</v>
      </c>
      <c r="E230" s="105"/>
      <c r="F230" s="105" t="s">
        <v>123</v>
      </c>
      <c r="G230" s="41">
        <v>2021</v>
      </c>
      <c r="H230" s="183">
        <f>H228</f>
        <v>3.3704572098476</v>
      </c>
      <c r="I230" s="156"/>
      <c r="K230" s="57" t="s">
        <v>183</v>
      </c>
    </row>
    <row r="231" spans="3:9">
      <c r="C231" s="105" t="s">
        <v>18</v>
      </c>
      <c r="D231" s="105"/>
      <c r="E231" s="105"/>
      <c r="F231" s="105"/>
      <c r="H231" s="183"/>
      <c r="I231" s="156"/>
    </row>
    <row r="232" ht="112.5" spans="3:11">
      <c r="C232" s="105" t="s">
        <v>126</v>
      </c>
      <c r="D232" s="105" t="s">
        <v>48</v>
      </c>
      <c r="E232" s="105"/>
      <c r="F232" s="105" t="s">
        <v>125</v>
      </c>
      <c r="G232" s="41">
        <v>2021</v>
      </c>
      <c r="H232" s="183">
        <f>13.7/3.412</f>
        <v>4.01524032825322</v>
      </c>
      <c r="I232" s="156"/>
      <c r="K232" s="57" t="s">
        <v>183</v>
      </c>
    </row>
    <row r="233" spans="3:9">
      <c r="C233" s="105" t="s">
        <v>18</v>
      </c>
      <c r="D233" s="105"/>
      <c r="E233" s="105"/>
      <c r="F233" s="105"/>
      <c r="H233" s="183"/>
      <c r="I233" s="156"/>
    </row>
    <row r="234" ht="112.5" spans="3:11">
      <c r="C234" s="105" t="s">
        <v>128</v>
      </c>
      <c r="D234" s="105" t="s">
        <v>48</v>
      </c>
      <c r="E234" s="105"/>
      <c r="F234" s="105" t="s">
        <v>127</v>
      </c>
      <c r="G234" s="41">
        <v>2021</v>
      </c>
      <c r="H234" s="183">
        <f>H232</f>
        <v>4.01524032825322</v>
      </c>
      <c r="I234" s="156"/>
      <c r="K234" s="57" t="s">
        <v>183</v>
      </c>
    </row>
    <row r="235" spans="3:9">
      <c r="C235" s="105" t="s">
        <v>18</v>
      </c>
      <c r="D235" s="105"/>
      <c r="E235" s="105"/>
      <c r="F235" s="105"/>
      <c r="H235" s="156"/>
      <c r="I235" s="156"/>
    </row>
    <row r="236" ht="112.5" spans="3:11">
      <c r="C236" s="42" t="s">
        <v>174</v>
      </c>
      <c r="D236" s="186" t="s">
        <v>48</v>
      </c>
      <c r="E236" s="186"/>
      <c r="F236" s="186" t="s">
        <v>121</v>
      </c>
      <c r="G236" s="41">
        <v>2021</v>
      </c>
      <c r="H236" s="156">
        <v>1</v>
      </c>
      <c r="I236" s="156"/>
      <c r="J236" s="81"/>
      <c r="K236" s="57" t="s">
        <v>183</v>
      </c>
    </row>
    <row r="237" spans="3:9">
      <c r="C237" s="41"/>
      <c r="D237" s="90" t="s">
        <v>184</v>
      </c>
      <c r="F237" s="41"/>
      <c r="H237" s="156"/>
      <c r="I237" s="156"/>
    </row>
    <row r="238" ht="112.5" spans="3:11">
      <c r="C238" s="42" t="s">
        <v>175</v>
      </c>
      <c r="D238" s="186" t="s">
        <v>48</v>
      </c>
      <c r="E238" s="186"/>
      <c r="F238" s="186" t="s">
        <v>123</v>
      </c>
      <c r="G238" s="41">
        <v>2021</v>
      </c>
      <c r="H238" s="156">
        <v>1</v>
      </c>
      <c r="I238" s="156"/>
      <c r="J238" s="81"/>
      <c r="K238" s="57" t="s">
        <v>183</v>
      </c>
    </row>
    <row r="239" spans="3:9">
      <c r="C239" s="41"/>
      <c r="D239" s="90" t="s">
        <v>184</v>
      </c>
      <c r="F239" s="41"/>
      <c r="H239" s="156"/>
      <c r="I239" s="156"/>
    </row>
    <row r="240" ht="112.5" spans="3:11">
      <c r="C240" s="42" t="s">
        <v>176</v>
      </c>
      <c r="D240" s="186" t="s">
        <v>48</v>
      </c>
      <c r="E240" s="186"/>
      <c r="F240" s="186" t="s">
        <v>125</v>
      </c>
      <c r="G240" s="41">
        <v>2021</v>
      </c>
      <c r="H240" s="156">
        <v>1</v>
      </c>
      <c r="I240" s="156"/>
      <c r="J240" s="81"/>
      <c r="K240" s="57" t="s">
        <v>183</v>
      </c>
    </row>
    <row r="241" spans="3:9">
      <c r="C241" s="41"/>
      <c r="D241" s="90" t="s">
        <v>184</v>
      </c>
      <c r="F241" s="41"/>
      <c r="H241" s="156"/>
      <c r="I241" s="156"/>
    </row>
    <row r="242" ht="112.5" spans="3:11">
      <c r="C242" s="42" t="s">
        <v>177</v>
      </c>
      <c r="D242" s="186" t="s">
        <v>48</v>
      </c>
      <c r="E242" s="186"/>
      <c r="F242" s="186" t="s">
        <v>127</v>
      </c>
      <c r="G242" s="41">
        <v>2021</v>
      </c>
      <c r="H242" s="156">
        <v>1</v>
      </c>
      <c r="I242" s="156"/>
      <c r="J242" s="81"/>
      <c r="K242" s="57" t="s">
        <v>183</v>
      </c>
    </row>
    <row r="243" spans="3:9">
      <c r="C243" s="41"/>
      <c r="D243" s="90" t="s">
        <v>184</v>
      </c>
      <c r="F243" s="41"/>
      <c r="H243" s="156"/>
      <c r="I243" s="156"/>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3" zoomScaleNormal="73" topLeftCell="T4" workbookViewId="0">
      <selection activeCell="AQ16" sqref="AQ16"/>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185</v>
      </c>
      <c r="E1" s="103" t="s">
        <v>186</v>
      </c>
      <c r="G1" s="24"/>
      <c r="O1" s="126"/>
      <c r="P1" s="126"/>
    </row>
    <row r="2" ht="15.5" spans="1:17">
      <c r="A2" t="s">
        <v>187</v>
      </c>
      <c r="B2" s="104" t="s">
        <v>188</v>
      </c>
      <c r="C2" s="1"/>
      <c r="M2" s="81"/>
      <c r="N2" s="81"/>
      <c r="O2" s="126"/>
      <c r="P2" s="127"/>
      <c r="Q2" s="139"/>
    </row>
    <row r="3" ht="15.5" spans="1:17">
      <c r="A3" t="s">
        <v>189</v>
      </c>
      <c r="B3" s="105" t="s">
        <v>190</v>
      </c>
      <c r="C3" s="1"/>
      <c r="M3" s="81"/>
      <c r="N3" s="81"/>
      <c r="O3" s="126"/>
      <c r="P3" s="127"/>
      <c r="Q3" s="139"/>
    </row>
    <row r="4" ht="15.5" spans="2:17">
      <c r="B4" s="104"/>
      <c r="C4" s="1"/>
      <c r="M4" s="81"/>
      <c r="N4" s="81"/>
      <c r="O4" s="126"/>
      <c r="P4" s="127"/>
      <c r="Q4" s="139"/>
    </row>
    <row r="5" spans="5:36">
      <c r="E5" s="12" t="s">
        <v>10</v>
      </c>
      <c r="AB5" s="143" t="s">
        <v>11</v>
      </c>
      <c r="AC5" s="143"/>
      <c r="AD5" s="40"/>
      <c r="AE5" s="40"/>
      <c r="AF5" s="40"/>
      <c r="AG5" s="40"/>
      <c r="AH5" s="40"/>
      <c r="AI5" s="40"/>
      <c r="AJ5" s="40"/>
    </row>
    <row r="6" ht="15.25" spans="3:36">
      <c r="C6" s="13" t="s">
        <v>12</v>
      </c>
      <c r="D6" s="13" t="s">
        <v>13</v>
      </c>
      <c r="E6" s="13" t="s">
        <v>15</v>
      </c>
      <c r="F6" s="106" t="s">
        <v>16</v>
      </c>
      <c r="G6" s="15" t="s">
        <v>17</v>
      </c>
      <c r="H6" s="15" t="s">
        <v>19</v>
      </c>
      <c r="I6" s="15" t="s">
        <v>191</v>
      </c>
      <c r="J6" s="15" t="s">
        <v>20</v>
      </c>
      <c r="K6" s="15" t="s">
        <v>192</v>
      </c>
      <c r="L6" s="15" t="s">
        <v>21</v>
      </c>
      <c r="M6" s="15" t="s">
        <v>22</v>
      </c>
      <c r="N6" s="15" t="s">
        <v>193</v>
      </c>
      <c r="O6" s="15" t="s">
        <v>23</v>
      </c>
      <c r="P6" s="15" t="s">
        <v>24</v>
      </c>
      <c r="Q6" s="15" t="s">
        <v>194</v>
      </c>
      <c r="R6" s="15" t="s">
        <v>25</v>
      </c>
      <c r="S6" s="50" t="s">
        <v>27</v>
      </c>
      <c r="T6" s="50" t="s">
        <v>26</v>
      </c>
      <c r="U6" s="50" t="s">
        <v>195</v>
      </c>
      <c r="AB6" s="144" t="s">
        <v>29</v>
      </c>
      <c r="AC6" s="145" t="s">
        <v>196</v>
      </c>
      <c r="AD6" s="144" t="s">
        <v>12</v>
      </c>
      <c r="AE6" s="144" t="s">
        <v>30</v>
      </c>
      <c r="AF6" s="144" t="s">
        <v>31</v>
      </c>
      <c r="AG6" s="144" t="s">
        <v>32</v>
      </c>
      <c r="AH6" s="144" t="s">
        <v>33</v>
      </c>
      <c r="AI6" s="144" t="s">
        <v>34</v>
      </c>
      <c r="AJ6" s="144" t="s">
        <v>197</v>
      </c>
    </row>
    <row r="7" ht="40.75" spans="3:36">
      <c r="C7" s="107" t="s">
        <v>198</v>
      </c>
      <c r="D7" s="10" t="s">
        <v>199</v>
      </c>
      <c r="E7" s="10" t="s">
        <v>200</v>
      </c>
      <c r="F7" s="102">
        <v>2021</v>
      </c>
      <c r="G7" s="108">
        <f>[2]mvkmPerTJ_EFF!$C$31</f>
        <v>0.261491968156759</v>
      </c>
      <c r="H7" s="109">
        <f>AVERAGE([2]AFA_000kmPerVeh_AFA!$E$11:$K$11)</f>
        <v>14</v>
      </c>
      <c r="I7" s="108">
        <f>AVERAGE([2]Occupancy_ACTFLO_CAP2ACT!$D$11:$J$11)</f>
        <v>1.71369752068902</v>
      </c>
      <c r="J7" s="128">
        <f>25.2*1.35</f>
        <v>34.02</v>
      </c>
      <c r="K7" s="129">
        <f>(0.2/1.6)*(10^9)*1.35/10^6</f>
        <v>168.75</v>
      </c>
      <c r="L7" s="130">
        <f>1.733*1.35</f>
        <v>2.33955</v>
      </c>
      <c r="M7" s="130">
        <f>J7*95%</f>
        <v>32.319</v>
      </c>
      <c r="N7" s="131">
        <f>K7*0.95</f>
        <v>160.3125</v>
      </c>
      <c r="O7" s="130">
        <f>L7*0.95</f>
        <v>2.2225725</v>
      </c>
      <c r="P7" s="130">
        <f>J7*90%</f>
        <v>30.618</v>
      </c>
      <c r="Q7" s="131">
        <f>K7*0.9</f>
        <v>151.875</v>
      </c>
      <c r="R7" s="130">
        <f t="shared" ref="R7:R22" si="0">L7*0.9</f>
        <v>2.105595</v>
      </c>
      <c r="S7">
        <v>0.001</v>
      </c>
      <c r="T7" s="132">
        <f t="shared" ref="T7:T20" si="1">15</f>
        <v>15</v>
      </c>
      <c r="AB7" s="146" t="s">
        <v>201</v>
      </c>
      <c r="AC7" s="146" t="s">
        <v>202</v>
      </c>
      <c r="AD7" s="146" t="s">
        <v>203</v>
      </c>
      <c r="AE7" s="146" t="s">
        <v>204</v>
      </c>
      <c r="AF7" s="146" t="s">
        <v>205</v>
      </c>
      <c r="AG7" s="146" t="s">
        <v>206</v>
      </c>
      <c r="AH7" s="146" t="s">
        <v>207</v>
      </c>
      <c r="AI7" s="146" t="s">
        <v>208</v>
      </c>
      <c r="AJ7" s="146" t="s">
        <v>209</v>
      </c>
    </row>
    <row r="8" spans="3:36">
      <c r="C8" s="107" t="s">
        <v>210</v>
      </c>
      <c r="D8" s="10" t="s">
        <v>211</v>
      </c>
      <c r="E8" s="10" t="s">
        <v>200</v>
      </c>
      <c r="F8" s="102">
        <v>2021</v>
      </c>
      <c r="G8" s="108">
        <f>[2]mvkmPerTJ_EFF!$C$32</f>
        <v>0.261491968156759</v>
      </c>
      <c r="H8" s="109">
        <f>AVERAGE([2]AFA_000kmPerVeh_AFA!$E$12:$K$12)</f>
        <v>14</v>
      </c>
      <c r="I8" s="108">
        <f>AVERAGE([2]Occupancy_ACTFLO_CAP2ACT!$D$12:$J$12)</f>
        <v>1.71369752068902</v>
      </c>
      <c r="J8" s="128">
        <f>25.2*1.35</f>
        <v>34.02</v>
      </c>
      <c r="K8" s="129">
        <f t="shared" ref="K8:K20" si="2">(0.2/1.6)*(10^9)*1.35/10^6</f>
        <v>168.75</v>
      </c>
      <c r="L8" s="130">
        <f>1.733*1.35</f>
        <v>2.33955</v>
      </c>
      <c r="M8" s="130">
        <f t="shared" ref="M8:M29" si="3">J8*95%</f>
        <v>32.319</v>
      </c>
      <c r="N8" s="131">
        <f t="shared" ref="N8:N22" si="4">K8*0.95</f>
        <v>160.3125</v>
      </c>
      <c r="O8" s="130">
        <f t="shared" ref="O8:O34" si="5">L8*0.95</f>
        <v>2.2225725</v>
      </c>
      <c r="P8" s="130">
        <f t="shared" ref="P8:P29" si="6">J8*90%</f>
        <v>30.618</v>
      </c>
      <c r="Q8" s="131">
        <f t="shared" ref="Q8:Q22" si="7">K8*0.9</f>
        <v>151.875</v>
      </c>
      <c r="R8" s="130">
        <f t="shared" si="0"/>
        <v>2.105595</v>
      </c>
      <c r="S8">
        <v>0.001</v>
      </c>
      <c r="T8" s="132">
        <f t="shared" si="1"/>
        <v>15</v>
      </c>
      <c r="AB8" s="147" t="s">
        <v>18</v>
      </c>
      <c r="AC8" s="148"/>
      <c r="AD8" s="148"/>
      <c r="AE8" s="148"/>
      <c r="AF8" s="148"/>
      <c r="AG8" s="148"/>
      <c r="AH8" s="148"/>
      <c r="AI8" s="148"/>
      <c r="AJ8" s="148"/>
    </row>
    <row r="9" spans="3:36">
      <c r="C9" s="10" t="s">
        <v>212</v>
      </c>
      <c r="D9" s="10" t="s">
        <v>199</v>
      </c>
      <c r="E9" s="10" t="s">
        <v>200</v>
      </c>
      <c r="F9" s="102">
        <v>2021</v>
      </c>
      <c r="G9" s="108">
        <f>[2]mvkmPerTJ_EFF!$C$33</f>
        <v>0.257318171823108</v>
      </c>
      <c r="H9" s="109">
        <f>AVERAGE([2]AFA_000kmPerVeh_AFA!$E$13:$K$13)</f>
        <v>16.1428571428571</v>
      </c>
      <c r="I9" s="108">
        <f>AVERAGE([2]Occupancy_ACTFLO_CAP2ACT!$D$13:$J$13)</f>
        <v>0.55986165464206</v>
      </c>
      <c r="J9" s="128">
        <f>25.2*1.35</f>
        <v>34.02</v>
      </c>
      <c r="K9" s="129">
        <f t="shared" si="2"/>
        <v>168.75</v>
      </c>
      <c r="L9" s="130">
        <f>1.733*1.35</f>
        <v>2.33955</v>
      </c>
      <c r="M9" s="130">
        <f t="shared" si="3"/>
        <v>32.319</v>
      </c>
      <c r="N9" s="131">
        <f t="shared" si="4"/>
        <v>160.3125</v>
      </c>
      <c r="O9" s="130">
        <f t="shared" si="5"/>
        <v>2.2225725</v>
      </c>
      <c r="P9" s="130">
        <f t="shared" si="6"/>
        <v>30.618</v>
      </c>
      <c r="Q9" s="131">
        <f t="shared" si="7"/>
        <v>151.875</v>
      </c>
      <c r="R9" s="130">
        <f t="shared" si="0"/>
        <v>2.105595</v>
      </c>
      <c r="S9">
        <v>0.001</v>
      </c>
      <c r="T9" s="132">
        <f t="shared" si="1"/>
        <v>15</v>
      </c>
      <c r="AB9" s="39" t="s">
        <v>38</v>
      </c>
      <c r="AC9" s="40"/>
      <c r="AD9" s="10" t="s">
        <v>198</v>
      </c>
      <c r="AE9" s="39"/>
      <c r="AF9" s="149" t="s">
        <v>213</v>
      </c>
      <c r="AG9" s="150" t="s">
        <v>214</v>
      </c>
      <c r="AH9" s="40"/>
      <c r="AI9" s="40" t="s">
        <v>215</v>
      </c>
      <c r="AJ9" s="40"/>
    </row>
    <row r="10" spans="3:36">
      <c r="C10" s="10" t="s">
        <v>216</v>
      </c>
      <c r="D10" s="10" t="s">
        <v>199</v>
      </c>
      <c r="E10" s="10" t="s">
        <v>200</v>
      </c>
      <c r="F10" s="102">
        <v>2021</v>
      </c>
      <c r="G10" s="108">
        <f>[2]mvkmPerTJ_EFF!$C$34</f>
        <v>0.140897419953681</v>
      </c>
      <c r="H10" s="109">
        <f>AVERAGE([2]AFA_000kmPerVeh_AFA!$E$14:$K$14)</f>
        <v>19.1428571428571</v>
      </c>
      <c r="I10" s="108">
        <f>AVERAGE([2]Occupancy_ACTFLO_CAP2ACT!$D$14:$J$14)</f>
        <v>1.01179998747686</v>
      </c>
      <c r="J10" s="128">
        <f>58.6*1.35</f>
        <v>79.11</v>
      </c>
      <c r="K10" s="129">
        <f t="shared" si="2"/>
        <v>168.75</v>
      </c>
      <c r="L10" s="130">
        <f>1.733*1.35</f>
        <v>2.33955</v>
      </c>
      <c r="M10" s="130">
        <f t="shared" si="3"/>
        <v>75.1545</v>
      </c>
      <c r="N10" s="131">
        <f t="shared" si="4"/>
        <v>160.3125</v>
      </c>
      <c r="O10" s="130">
        <f t="shared" si="5"/>
        <v>2.2225725</v>
      </c>
      <c r="P10" s="130">
        <f t="shared" si="6"/>
        <v>71.199</v>
      </c>
      <c r="Q10" s="131">
        <f t="shared" si="7"/>
        <v>151.875</v>
      </c>
      <c r="R10" s="130">
        <f t="shared" si="0"/>
        <v>2.105595</v>
      </c>
      <c r="S10">
        <v>0.001</v>
      </c>
      <c r="T10" s="132">
        <f t="shared" si="1"/>
        <v>15</v>
      </c>
      <c r="AB10" s="40"/>
      <c r="AC10" s="40"/>
      <c r="AD10" s="10" t="s">
        <v>210</v>
      </c>
      <c r="AE10" s="39"/>
      <c r="AF10" s="150" t="s">
        <v>213</v>
      </c>
      <c r="AG10" s="150" t="s">
        <v>214</v>
      </c>
      <c r="AH10" s="40"/>
      <c r="AI10" s="40" t="s">
        <v>215</v>
      </c>
      <c r="AJ10" s="40"/>
    </row>
    <row r="11" spans="3:36">
      <c r="C11" s="10" t="s">
        <v>217</v>
      </c>
      <c r="D11" s="10" t="s">
        <v>211</v>
      </c>
      <c r="E11" s="10" t="s">
        <v>200</v>
      </c>
      <c r="F11" s="102">
        <v>2021</v>
      </c>
      <c r="G11" s="108">
        <f>[2]mvkmPerTJ_EFF!$C$35</f>
        <v>2.1517197458069</v>
      </c>
      <c r="H11" s="109">
        <f>AVERAGE([2]AFA_000kmPerVeh_AFA!$E$15:$K$15)</f>
        <v>65.4285714285714</v>
      </c>
      <c r="I11" s="108">
        <f>AVERAGE([2]Occupancy_ACTFLO_CAP2ACT!$D$15:$J$15)</f>
        <v>0.318970292616525</v>
      </c>
      <c r="J11" s="128">
        <f>164*1.35</f>
        <v>221.4</v>
      </c>
      <c r="K11" s="129">
        <f t="shared" si="2"/>
        <v>168.75</v>
      </c>
      <c r="L11" s="130">
        <f>1.733*1.35</f>
        <v>2.33955</v>
      </c>
      <c r="M11" s="130">
        <f t="shared" si="3"/>
        <v>210.33</v>
      </c>
      <c r="N11" s="131">
        <f t="shared" si="4"/>
        <v>160.3125</v>
      </c>
      <c r="O11" s="130">
        <f t="shared" si="5"/>
        <v>2.2225725</v>
      </c>
      <c r="P11" s="130">
        <f t="shared" si="6"/>
        <v>199.26</v>
      </c>
      <c r="Q11" s="131">
        <f t="shared" si="7"/>
        <v>151.875</v>
      </c>
      <c r="R11" s="130">
        <f t="shared" si="0"/>
        <v>2.105595</v>
      </c>
      <c r="S11">
        <v>0.001</v>
      </c>
      <c r="T11" s="132">
        <f t="shared" si="1"/>
        <v>15</v>
      </c>
      <c r="AB11" s="40"/>
      <c r="AC11" s="40"/>
      <c r="AD11" s="10" t="s">
        <v>212</v>
      </c>
      <c r="AE11" s="39"/>
      <c r="AF11" s="150" t="s">
        <v>213</v>
      </c>
      <c r="AG11" s="150" t="s">
        <v>214</v>
      </c>
      <c r="AH11" s="40"/>
      <c r="AI11" s="40" t="s">
        <v>215</v>
      </c>
      <c r="AJ11" s="40"/>
    </row>
    <row r="12" spans="3:36">
      <c r="C12" s="10" t="s">
        <v>218</v>
      </c>
      <c r="D12" s="10" t="s">
        <v>199</v>
      </c>
      <c r="E12" s="105" t="s">
        <v>219</v>
      </c>
      <c r="F12" s="102">
        <v>2021</v>
      </c>
      <c r="G12" s="108">
        <f>[2]mvkmPerTJ_EFF!$C$36</f>
        <v>0.545214206926702</v>
      </c>
      <c r="H12" s="109">
        <f>AVERAGE([2]AFA_000kmPerVeh_AFA!$E$16:$K$16)</f>
        <v>4.02857142857143</v>
      </c>
      <c r="I12" s="108">
        <f>AVERAGE([2]Occupancy_ACTFLO_CAP2ACT!$D$16:$J$16)</f>
        <v>1.19133027778195</v>
      </c>
      <c r="J12" s="132">
        <f>5*1.35</f>
        <v>6.75</v>
      </c>
      <c r="K12" s="129">
        <f t="shared" si="2"/>
        <v>168.75</v>
      </c>
      <c r="L12" s="132">
        <f>J12/100</f>
        <v>0.0675</v>
      </c>
      <c r="M12" s="17">
        <f t="shared" si="3"/>
        <v>6.4125</v>
      </c>
      <c r="N12" s="131">
        <f t="shared" si="4"/>
        <v>160.3125</v>
      </c>
      <c r="O12" s="17">
        <f t="shared" si="5"/>
        <v>0.064125</v>
      </c>
      <c r="P12" s="17">
        <f t="shared" si="6"/>
        <v>6.075</v>
      </c>
      <c r="Q12" s="131">
        <f t="shared" si="7"/>
        <v>151.875</v>
      </c>
      <c r="R12" s="17">
        <f t="shared" si="0"/>
        <v>0.06075</v>
      </c>
      <c r="S12">
        <v>0.001</v>
      </c>
      <c r="T12" s="132">
        <f t="shared" si="1"/>
        <v>15</v>
      </c>
      <c r="X12" t="s">
        <v>220</v>
      </c>
      <c r="AB12" s="40"/>
      <c r="AC12" s="40"/>
      <c r="AD12" s="10" t="s">
        <v>216</v>
      </c>
      <c r="AE12" s="39"/>
      <c r="AF12" s="150" t="s">
        <v>213</v>
      </c>
      <c r="AG12" s="150" t="s">
        <v>214</v>
      </c>
      <c r="AH12" s="40"/>
      <c r="AI12" s="40" t="s">
        <v>215</v>
      </c>
      <c r="AJ12" s="40"/>
    </row>
    <row r="13" spans="3:36">
      <c r="C13" s="10" t="s">
        <v>221</v>
      </c>
      <c r="D13" s="10" t="s">
        <v>211</v>
      </c>
      <c r="E13" t="s">
        <v>222</v>
      </c>
      <c r="F13" s="102">
        <v>2021</v>
      </c>
      <c r="G13" s="108">
        <f>[2]mvkmPerTJ_EFF!$C$26</f>
        <v>0.133343131699898</v>
      </c>
      <c r="H13" s="110">
        <f>AVERAGE([2]AFA_000kmPerVeh_AFA!$E$6:$K$6)</f>
        <v>20.2857142857143</v>
      </c>
      <c r="I13" s="119">
        <f>AVERAGE([2]Occupancy_ACTFLO_CAP2ACT!$D$6:$J$6)</f>
        <v>21.9737611487708</v>
      </c>
      <c r="J13" s="130">
        <f>100*1.35</f>
        <v>135</v>
      </c>
      <c r="K13" s="129">
        <f t="shared" si="2"/>
        <v>168.75</v>
      </c>
      <c r="L13" s="85">
        <f>2.2*1.35</f>
        <v>2.97</v>
      </c>
      <c r="M13" s="85">
        <f t="shared" si="3"/>
        <v>128.25</v>
      </c>
      <c r="N13" s="131">
        <f t="shared" si="4"/>
        <v>160.3125</v>
      </c>
      <c r="O13" s="85">
        <f t="shared" si="5"/>
        <v>2.8215</v>
      </c>
      <c r="P13" s="85">
        <f t="shared" si="6"/>
        <v>121.5</v>
      </c>
      <c r="Q13" s="131">
        <f t="shared" si="7"/>
        <v>151.875</v>
      </c>
      <c r="R13" s="85">
        <f t="shared" si="0"/>
        <v>2.673</v>
      </c>
      <c r="S13">
        <v>0.001</v>
      </c>
      <c r="T13" s="132">
        <f t="shared" si="1"/>
        <v>15</v>
      </c>
      <c r="AB13" s="40"/>
      <c r="AC13" s="40"/>
      <c r="AD13" s="10" t="s">
        <v>217</v>
      </c>
      <c r="AE13" s="39"/>
      <c r="AF13" s="150" t="s">
        <v>213</v>
      </c>
      <c r="AG13" s="150" t="s">
        <v>214</v>
      </c>
      <c r="AH13" s="40"/>
      <c r="AI13" s="40" t="s">
        <v>215</v>
      </c>
      <c r="AJ13" s="40"/>
    </row>
    <row r="14" spans="3:36">
      <c r="C14" s="10" t="s">
        <v>223</v>
      </c>
      <c r="D14" s="10" t="s">
        <v>199</v>
      </c>
      <c r="E14" t="s">
        <v>222</v>
      </c>
      <c r="F14" s="102">
        <v>2021</v>
      </c>
      <c r="G14" s="108">
        <f>[2]mvkmPerTJ_EFF!$C$25</f>
        <v>0.133343131699898</v>
      </c>
      <c r="H14" s="110">
        <f>AVERAGE([2]AFA_000kmPerVeh_AFA!$E$5:$K$5)</f>
        <v>20.2857142857143</v>
      </c>
      <c r="I14" s="119">
        <f>AVERAGE([2]Occupancy_ACTFLO_CAP2ACT!$D$5:$J$5)</f>
        <v>21.9737611487708</v>
      </c>
      <c r="J14" s="130">
        <f>J13</f>
        <v>135</v>
      </c>
      <c r="K14" s="129">
        <f t="shared" si="2"/>
        <v>168.75</v>
      </c>
      <c r="L14" s="85">
        <f>2.2*1.35</f>
        <v>2.97</v>
      </c>
      <c r="M14" s="85">
        <f t="shared" si="3"/>
        <v>128.25</v>
      </c>
      <c r="N14" s="131">
        <f t="shared" si="4"/>
        <v>160.3125</v>
      </c>
      <c r="O14" s="85">
        <f t="shared" si="5"/>
        <v>2.8215</v>
      </c>
      <c r="P14" s="85">
        <f t="shared" si="6"/>
        <v>121.5</v>
      </c>
      <c r="Q14" s="131">
        <f t="shared" si="7"/>
        <v>151.875</v>
      </c>
      <c r="R14" s="85">
        <f t="shared" si="0"/>
        <v>2.673</v>
      </c>
      <c r="S14">
        <v>0.001</v>
      </c>
      <c r="T14" s="132">
        <f t="shared" si="1"/>
        <v>15</v>
      </c>
      <c r="AB14" s="151"/>
      <c r="AC14" s="151"/>
      <c r="AD14" s="10" t="s">
        <v>218</v>
      </c>
      <c r="AE14" s="152"/>
      <c r="AF14" s="150" t="s">
        <v>213</v>
      </c>
      <c r="AG14" s="150" t="s">
        <v>214</v>
      </c>
      <c r="AH14" s="40"/>
      <c r="AI14" s="151" t="s">
        <v>215</v>
      </c>
      <c r="AJ14" s="151"/>
    </row>
    <row r="15" spans="3:36">
      <c r="C15" s="10" t="s">
        <v>224</v>
      </c>
      <c r="D15" s="10" t="s">
        <v>211</v>
      </c>
      <c r="E15" t="s">
        <v>222</v>
      </c>
      <c r="F15" s="102">
        <v>2021</v>
      </c>
      <c r="G15" s="108">
        <f>[2]mvkmPerTJ_EFF!$C$28</f>
        <v>0.0638508424036321</v>
      </c>
      <c r="H15" s="110">
        <f>AVERAGE([2]AFA_000kmPerVeh_AFA!$E$8:$K$8)</f>
        <v>39.8571428571429</v>
      </c>
      <c r="I15" s="119">
        <f>AVERAGE([2]Occupancy_ACTFLO_CAP2ACT!$D$8:$J$8)</f>
        <v>11.9384348573679</v>
      </c>
      <c r="J15" s="130">
        <f>500*1.35</f>
        <v>675</v>
      </c>
      <c r="K15" s="129">
        <f t="shared" si="2"/>
        <v>168.75</v>
      </c>
      <c r="L15" s="85">
        <f>L13</f>
        <v>2.97</v>
      </c>
      <c r="M15" s="85">
        <f t="shared" si="3"/>
        <v>641.25</v>
      </c>
      <c r="N15" s="131">
        <f t="shared" si="4"/>
        <v>160.3125</v>
      </c>
      <c r="O15" s="85">
        <f t="shared" si="5"/>
        <v>2.8215</v>
      </c>
      <c r="P15" s="85">
        <f t="shared" si="6"/>
        <v>607.5</v>
      </c>
      <c r="Q15" s="131">
        <f t="shared" si="7"/>
        <v>151.875</v>
      </c>
      <c r="R15" s="85">
        <f t="shared" si="0"/>
        <v>2.673</v>
      </c>
      <c r="S15">
        <v>0.001</v>
      </c>
      <c r="T15" s="132">
        <f t="shared" si="1"/>
        <v>15</v>
      </c>
      <c r="AB15" s="40"/>
      <c r="AC15" s="40"/>
      <c r="AD15" s="10" t="s">
        <v>221</v>
      </c>
      <c r="AE15" s="39"/>
      <c r="AF15" s="150" t="s">
        <v>213</v>
      </c>
      <c r="AG15" s="150" t="s">
        <v>214</v>
      </c>
      <c r="AH15" s="40"/>
      <c r="AI15" s="40" t="s">
        <v>215</v>
      </c>
      <c r="AJ15" s="40"/>
    </row>
    <row r="16" spans="3:36">
      <c r="C16" s="10" t="s">
        <v>225</v>
      </c>
      <c r="D16" s="10" t="s">
        <v>199</v>
      </c>
      <c r="E16" t="s">
        <v>222</v>
      </c>
      <c r="F16" s="102">
        <v>2021</v>
      </c>
      <c r="G16" s="108">
        <f>[2]mvkmPerTJ_EFF!$C$27</f>
        <v>0.0638508424036321</v>
      </c>
      <c r="H16" s="110">
        <f>AVERAGE([2]AFA_000kmPerVeh_AFA!$E$7:$K$7)</f>
        <v>39.8571428571429</v>
      </c>
      <c r="I16" s="119">
        <f>AVERAGE([2]Occupancy_ACTFLO_CAP2ACT!$D$7:$J$7)</f>
        <v>11.9384348573679</v>
      </c>
      <c r="J16" s="130">
        <f>500*1.35</f>
        <v>675</v>
      </c>
      <c r="K16" s="129">
        <f t="shared" si="2"/>
        <v>168.75</v>
      </c>
      <c r="L16" s="85">
        <f>L14</f>
        <v>2.97</v>
      </c>
      <c r="M16" s="85">
        <f t="shared" si="3"/>
        <v>641.25</v>
      </c>
      <c r="N16" s="131">
        <f t="shared" si="4"/>
        <v>160.3125</v>
      </c>
      <c r="O16" s="85">
        <f t="shared" si="5"/>
        <v>2.8215</v>
      </c>
      <c r="P16" s="85">
        <f t="shared" si="6"/>
        <v>607.5</v>
      </c>
      <c r="Q16" s="131">
        <f t="shared" si="7"/>
        <v>151.875</v>
      </c>
      <c r="R16" s="85">
        <f t="shared" si="0"/>
        <v>2.673</v>
      </c>
      <c r="S16">
        <v>0.001</v>
      </c>
      <c r="T16" s="132">
        <f t="shared" si="1"/>
        <v>15</v>
      </c>
      <c r="AB16" s="40"/>
      <c r="AC16" s="40"/>
      <c r="AD16" s="10" t="s">
        <v>223</v>
      </c>
      <c r="AE16" s="39"/>
      <c r="AF16" s="150" t="s">
        <v>213</v>
      </c>
      <c r="AG16" s="150" t="s">
        <v>214</v>
      </c>
      <c r="AH16" s="40"/>
      <c r="AI16" s="40" t="s">
        <v>215</v>
      </c>
      <c r="AJ16" s="40"/>
    </row>
    <row r="17" spans="3:36">
      <c r="C17" s="10" t="s">
        <v>226</v>
      </c>
      <c r="D17" s="10" t="s">
        <v>211</v>
      </c>
      <c r="E17" t="s">
        <v>222</v>
      </c>
      <c r="F17" s="102">
        <v>2021</v>
      </c>
      <c r="G17" s="108">
        <f>[2]mvkmPerTJ_EFF!$C$30</f>
        <v>0.14665517879394</v>
      </c>
      <c r="H17" s="110">
        <f>AVERAGE([2]AFA_000kmPerVeh_AFA!$E$10:$K$10)</f>
        <v>33.7142857142857</v>
      </c>
      <c r="I17" s="119">
        <f>AVERAGE([2]Occupancy_ACTFLO_CAP2ACT!$D$10:$J$10)</f>
        <v>16.1127667258741</v>
      </c>
      <c r="J17" s="130">
        <f>500*1.35</f>
        <v>675</v>
      </c>
      <c r="K17" s="129">
        <f t="shared" si="2"/>
        <v>168.75</v>
      </c>
      <c r="L17" s="85">
        <f>1.4*1.35</f>
        <v>1.89</v>
      </c>
      <c r="M17" s="85">
        <f t="shared" si="3"/>
        <v>641.25</v>
      </c>
      <c r="N17" s="131">
        <f t="shared" si="4"/>
        <v>160.3125</v>
      </c>
      <c r="O17" s="85">
        <f t="shared" si="5"/>
        <v>1.7955</v>
      </c>
      <c r="P17" s="85">
        <f t="shared" si="6"/>
        <v>607.5</v>
      </c>
      <c r="Q17" s="131">
        <f t="shared" si="7"/>
        <v>151.875</v>
      </c>
      <c r="R17" s="85">
        <f t="shared" si="0"/>
        <v>1.701</v>
      </c>
      <c r="S17">
        <v>0.001</v>
      </c>
      <c r="T17" s="132">
        <f t="shared" si="1"/>
        <v>15</v>
      </c>
      <c r="AB17" s="40"/>
      <c r="AC17" s="40"/>
      <c r="AD17" s="10" t="s">
        <v>224</v>
      </c>
      <c r="AE17" s="39"/>
      <c r="AF17" s="150" t="s">
        <v>213</v>
      </c>
      <c r="AG17" s="150" t="s">
        <v>214</v>
      </c>
      <c r="AH17" s="40"/>
      <c r="AI17" s="40" t="s">
        <v>215</v>
      </c>
      <c r="AJ17" s="40"/>
    </row>
    <row r="18" spans="3:36">
      <c r="C18" s="10" t="s">
        <v>227</v>
      </c>
      <c r="D18" s="10" t="s">
        <v>199</v>
      </c>
      <c r="E18" t="s">
        <v>222</v>
      </c>
      <c r="F18" s="102">
        <v>2021</v>
      </c>
      <c r="G18" s="108">
        <f>[2]mvkmPerTJ_EFF!$C$29</f>
        <v>0.14665517879394</v>
      </c>
      <c r="H18" s="110">
        <f>AVERAGE([2]AFA_000kmPerVeh_AFA!$E$9:$K$9)</f>
        <v>33.7142857142857</v>
      </c>
      <c r="I18" s="119">
        <f>AVERAGE([2]Occupancy_ACTFLO_CAP2ACT!$D$9:$J$9)</f>
        <v>16.1127667258741</v>
      </c>
      <c r="J18" s="130">
        <f>500*1.35</f>
        <v>675</v>
      </c>
      <c r="K18" s="129">
        <f t="shared" si="2"/>
        <v>168.75</v>
      </c>
      <c r="L18" s="85">
        <f>1.4*1.35</f>
        <v>1.89</v>
      </c>
      <c r="M18" s="85">
        <f t="shared" si="3"/>
        <v>641.25</v>
      </c>
      <c r="N18" s="131">
        <f t="shared" si="4"/>
        <v>160.3125</v>
      </c>
      <c r="O18" s="85">
        <f t="shared" si="5"/>
        <v>1.7955</v>
      </c>
      <c r="P18" s="85">
        <f t="shared" si="6"/>
        <v>607.5</v>
      </c>
      <c r="Q18" s="131">
        <f t="shared" si="7"/>
        <v>151.875</v>
      </c>
      <c r="R18" s="85">
        <f t="shared" si="0"/>
        <v>1.701</v>
      </c>
      <c r="S18">
        <v>0.001</v>
      </c>
      <c r="T18" s="132">
        <f t="shared" si="1"/>
        <v>15</v>
      </c>
      <c r="AB18" s="40"/>
      <c r="AC18" s="40"/>
      <c r="AD18" s="10" t="s">
        <v>225</v>
      </c>
      <c r="AE18" s="39"/>
      <c r="AF18" s="150" t="s">
        <v>213</v>
      </c>
      <c r="AG18" s="150" t="s">
        <v>214</v>
      </c>
      <c r="AH18" s="40"/>
      <c r="AI18" s="40" t="s">
        <v>215</v>
      </c>
      <c r="AJ18" s="40"/>
    </row>
    <row r="19" spans="3:36">
      <c r="C19" s="111" t="s">
        <v>228</v>
      </c>
      <c r="D19" s="111" t="s">
        <v>199</v>
      </c>
      <c r="E19" s="111" t="s">
        <v>229</v>
      </c>
      <c r="F19" s="62">
        <v>2021</v>
      </c>
      <c r="G19" s="69">
        <f>[2]mvkmPerTJ_EFF!$C$37</f>
        <v>0.361169076867751</v>
      </c>
      <c r="H19" s="112">
        <f>AVERAGE([2]AFA_000kmPerVeh_AFA!$E$17:$K$17)</f>
        <v>13.0058571428571</v>
      </c>
      <c r="I19" s="115">
        <f>AVERAGE([2]Occupancy_ACTFLO_CAP2ACT!$D$17:$J$17)</f>
        <v>1.58589639888736</v>
      </c>
      <c r="J19" s="130">
        <f>22.8*1.35</f>
        <v>30.78</v>
      </c>
      <c r="K19" s="129">
        <f t="shared" si="2"/>
        <v>168.75</v>
      </c>
      <c r="L19" s="133">
        <f>1.533*1.35</f>
        <v>2.06955</v>
      </c>
      <c r="M19" s="133">
        <f t="shared" si="3"/>
        <v>29.241</v>
      </c>
      <c r="N19" s="131">
        <f t="shared" si="4"/>
        <v>160.3125</v>
      </c>
      <c r="O19" s="85">
        <f t="shared" si="5"/>
        <v>1.9660725</v>
      </c>
      <c r="P19" s="85">
        <f t="shared" si="6"/>
        <v>27.702</v>
      </c>
      <c r="Q19" s="131">
        <f t="shared" si="7"/>
        <v>151.875</v>
      </c>
      <c r="R19" s="85">
        <f t="shared" si="0"/>
        <v>1.862595</v>
      </c>
      <c r="S19" s="140">
        <v>0.001</v>
      </c>
      <c r="T19" s="85">
        <f t="shared" si="1"/>
        <v>15</v>
      </c>
      <c r="AB19" s="40"/>
      <c r="AC19" s="40"/>
      <c r="AD19" s="10" t="s">
        <v>226</v>
      </c>
      <c r="AE19" s="39"/>
      <c r="AF19" s="150" t="s">
        <v>213</v>
      </c>
      <c r="AG19" s="150" t="s">
        <v>214</v>
      </c>
      <c r="AH19" s="40"/>
      <c r="AI19" s="40" t="s">
        <v>215</v>
      </c>
      <c r="AJ19" s="40"/>
    </row>
    <row r="20" spans="3:36">
      <c r="C20" s="111" t="s">
        <v>230</v>
      </c>
      <c r="D20" s="111" t="s">
        <v>211</v>
      </c>
      <c r="E20" s="111" t="s">
        <v>229</v>
      </c>
      <c r="F20" s="62">
        <v>2021</v>
      </c>
      <c r="G20" s="69">
        <f>[2]mvkmPerTJ_EFF!$C$38</f>
        <v>0.361356147837007</v>
      </c>
      <c r="H20" s="112">
        <f>AVERAGE([2]AFA_000kmPerVeh_AFA!$E$18:$K$18)</f>
        <v>13.0058571428571</v>
      </c>
      <c r="I20" s="115">
        <f>AVERAGE([2]Occupancy_ACTFLO_CAP2ACT!$D$18:$J$18)</f>
        <v>1.58589639888736</v>
      </c>
      <c r="J20" s="130">
        <f>22.8*1.35</f>
        <v>30.78</v>
      </c>
      <c r="K20" s="129">
        <f t="shared" si="2"/>
        <v>168.75</v>
      </c>
      <c r="L20" s="130">
        <f>1.533*1.35</f>
        <v>2.06955</v>
      </c>
      <c r="M20" s="130">
        <f t="shared" si="3"/>
        <v>29.241</v>
      </c>
      <c r="N20" s="131">
        <f t="shared" si="4"/>
        <v>160.3125</v>
      </c>
      <c r="O20" s="85">
        <f t="shared" si="5"/>
        <v>1.9660725</v>
      </c>
      <c r="P20" s="85">
        <f t="shared" si="6"/>
        <v>27.702</v>
      </c>
      <c r="Q20" s="131">
        <f t="shared" si="7"/>
        <v>151.875</v>
      </c>
      <c r="R20" s="85">
        <f t="shared" si="0"/>
        <v>1.862595</v>
      </c>
      <c r="S20" s="140">
        <v>0.001</v>
      </c>
      <c r="T20" s="85">
        <f t="shared" si="1"/>
        <v>15</v>
      </c>
      <c r="AB20" s="40"/>
      <c r="AC20" s="40"/>
      <c r="AD20" s="10" t="s">
        <v>227</v>
      </c>
      <c r="AE20" s="39"/>
      <c r="AF20" s="150" t="s">
        <v>213</v>
      </c>
      <c r="AG20" s="150" t="s">
        <v>214</v>
      </c>
      <c r="AH20" s="40"/>
      <c r="AI20" s="40" t="s">
        <v>215</v>
      </c>
      <c r="AJ20" s="40"/>
    </row>
    <row r="21" spans="3:35">
      <c r="C21" s="113" t="s">
        <v>231</v>
      </c>
      <c r="D21" s="111" t="s">
        <v>232</v>
      </c>
      <c r="E21" s="111" t="s">
        <v>229</v>
      </c>
      <c r="F21" s="62">
        <v>2021</v>
      </c>
      <c r="G21" s="114">
        <f>AVERAGE([2]Electric_vehecle!$D$72:$J$72)</f>
        <v>1.77</v>
      </c>
      <c r="H21" s="115">
        <f>AVERAGE([2]Electric_vehecle!$D$49:$J$49)</f>
        <v>13.3333333333333</v>
      </c>
      <c r="I21" s="115">
        <f>AVERAGE([2]Occupancy_ACTFLO_CAP2ACT!$D$19:$J$19)</f>
        <v>1.58589639888736</v>
      </c>
      <c r="J21" s="130">
        <f>31.5*1.35</f>
        <v>42.525</v>
      </c>
      <c r="K21" s="129">
        <f>(0.1/1.6)*(10^9/1)*1.35/10^6</f>
        <v>84.375</v>
      </c>
      <c r="L21" s="130">
        <f>L19</f>
        <v>2.06955</v>
      </c>
      <c r="M21" s="130">
        <f t="shared" si="3"/>
        <v>40.39875</v>
      </c>
      <c r="N21" s="131">
        <f t="shared" si="4"/>
        <v>80.15625</v>
      </c>
      <c r="O21" s="85">
        <f t="shared" si="5"/>
        <v>1.9660725</v>
      </c>
      <c r="P21" s="85">
        <f t="shared" si="6"/>
        <v>38.2725</v>
      </c>
      <c r="Q21" s="131">
        <f t="shared" si="7"/>
        <v>75.9375</v>
      </c>
      <c r="R21" s="85">
        <f t="shared" si="0"/>
        <v>1.862595</v>
      </c>
      <c r="S21" s="85">
        <v>0.001</v>
      </c>
      <c r="T21" s="85">
        <v>15</v>
      </c>
      <c r="U21" s="141">
        <v>1</v>
      </c>
      <c r="W21" s="102"/>
      <c r="AD21" s="10" t="s">
        <v>228</v>
      </c>
      <c r="AF21" s="150" t="s">
        <v>213</v>
      </c>
      <c r="AG21" s="150" t="s">
        <v>214</v>
      </c>
      <c r="AH21" s="40"/>
      <c r="AI21" s="40" t="s">
        <v>215</v>
      </c>
    </row>
    <row r="22" spans="3:35">
      <c r="C22" s="113" t="s">
        <v>233</v>
      </c>
      <c r="D22" s="111" t="s">
        <v>232</v>
      </c>
      <c r="E22" s="111" t="s">
        <v>229</v>
      </c>
      <c r="F22" s="62">
        <v>2021</v>
      </c>
      <c r="G22" s="114">
        <f>AVERAGE([2]Electric_vehecle!$D$73:$J$73)</f>
        <v>1.239</v>
      </c>
      <c r="H22" s="115">
        <f>AVERAGE([2]Electric_vehecle!$D$50:$J$50)</f>
        <v>13.3333333333333</v>
      </c>
      <c r="I22" s="115">
        <f>AVERAGE([2]Occupancy_ACTFLO_CAP2ACT!$D$20:$J$20)</f>
        <v>1.58589639888736</v>
      </c>
      <c r="J22" s="130">
        <f>25.3*1.35</f>
        <v>34.155</v>
      </c>
      <c r="K22" s="129">
        <f>K21</f>
        <v>84.375</v>
      </c>
      <c r="L22" s="130">
        <f>L21</f>
        <v>2.06955</v>
      </c>
      <c r="M22" s="130">
        <f t="shared" si="3"/>
        <v>32.44725</v>
      </c>
      <c r="N22" s="131">
        <f t="shared" si="4"/>
        <v>80.15625</v>
      </c>
      <c r="O22" s="85">
        <f t="shared" si="5"/>
        <v>1.9660725</v>
      </c>
      <c r="P22" s="85">
        <f t="shared" si="6"/>
        <v>30.7395</v>
      </c>
      <c r="Q22" s="131">
        <f t="shared" si="7"/>
        <v>75.9375</v>
      </c>
      <c r="R22" s="85">
        <f t="shared" si="0"/>
        <v>1.862595</v>
      </c>
      <c r="S22" s="130">
        <v>0.001</v>
      </c>
      <c r="T22" s="85">
        <v>15</v>
      </c>
      <c r="U22" s="141">
        <f>[2]Electric_vehecle!$D$94</f>
        <v>0.4</v>
      </c>
      <c r="AD22" s="10" t="s">
        <v>230</v>
      </c>
      <c r="AF22" s="150" t="s">
        <v>213</v>
      </c>
      <c r="AG22" s="150" t="s">
        <v>214</v>
      </c>
      <c r="AH22" s="40"/>
      <c r="AI22" s="40" t="s">
        <v>215</v>
      </c>
    </row>
    <row r="23" spans="3:38">
      <c r="C23" s="113"/>
      <c r="D23" s="111" t="s">
        <v>199</v>
      </c>
      <c r="E23" s="111"/>
      <c r="F23" s="62"/>
      <c r="G23" s="116"/>
      <c r="H23" s="115"/>
      <c r="I23" s="95"/>
      <c r="J23" s="58"/>
      <c r="K23" s="58"/>
      <c r="L23" s="134"/>
      <c r="M23" s="134"/>
      <c r="N23" s="134"/>
      <c r="O23" s="85"/>
      <c r="P23" s="85"/>
      <c r="Q23" s="85"/>
      <c r="R23" s="85"/>
      <c r="S23" s="58"/>
      <c r="T23" s="62"/>
      <c r="U23" s="142">
        <f>1-U22</f>
        <v>0.6</v>
      </c>
      <c r="AD23" s="117" t="s">
        <v>231</v>
      </c>
      <c r="AF23" s="150" t="s">
        <v>213</v>
      </c>
      <c r="AG23" s="150" t="s">
        <v>214</v>
      </c>
      <c r="AI23" s="40" t="s">
        <v>215</v>
      </c>
      <c r="AL23" s="40" t="s">
        <v>234</v>
      </c>
    </row>
    <row r="24" spans="3:38">
      <c r="C24" s="113" t="s">
        <v>235</v>
      </c>
      <c r="D24" s="111" t="s">
        <v>232</v>
      </c>
      <c r="E24" s="111" t="s">
        <v>229</v>
      </c>
      <c r="F24" s="62">
        <v>2021</v>
      </c>
      <c r="G24" s="114">
        <f>AVERAGE([2]Electric_vehecle!$D$75:$J$75)</f>
        <v>1.1505</v>
      </c>
      <c r="H24" s="115">
        <f>AVERAGE([2]Electric_vehecle!$D$52:$J$52)</f>
        <v>13.3333333333333</v>
      </c>
      <c r="I24" s="115">
        <f>AVERAGE([2]Occupancy_ACTFLO_CAP2ACT!$D$21:$J$21)</f>
        <v>1.58589639888736</v>
      </c>
      <c r="J24" s="130">
        <f>J22</f>
        <v>34.155</v>
      </c>
      <c r="K24" s="129">
        <f>K22</f>
        <v>84.375</v>
      </c>
      <c r="L24" s="130">
        <f>L22</f>
        <v>2.06955</v>
      </c>
      <c r="M24" s="130">
        <f t="shared" si="3"/>
        <v>32.44725</v>
      </c>
      <c r="N24" s="131">
        <f t="shared" ref="N24:N29" si="8">K24*0.95</f>
        <v>80.15625</v>
      </c>
      <c r="O24" s="85">
        <f t="shared" si="5"/>
        <v>1.9660725</v>
      </c>
      <c r="P24" s="85">
        <f t="shared" si="6"/>
        <v>30.7395</v>
      </c>
      <c r="Q24" s="131">
        <f t="shared" ref="Q24:Q29" si="9">K24*0.9</f>
        <v>75.9375</v>
      </c>
      <c r="R24" s="85">
        <f>R22</f>
        <v>1.862595</v>
      </c>
      <c r="S24" s="130">
        <v>0.001</v>
      </c>
      <c r="T24" s="85">
        <v>15</v>
      </c>
      <c r="U24" s="141">
        <v>0.3</v>
      </c>
      <c r="AD24" s="117" t="s">
        <v>233</v>
      </c>
      <c r="AF24" s="150" t="s">
        <v>213</v>
      </c>
      <c r="AG24" s="150" t="s">
        <v>214</v>
      </c>
      <c r="AI24" s="40" t="s">
        <v>215</v>
      </c>
      <c r="AL24" s="40" t="s">
        <v>234</v>
      </c>
    </row>
    <row r="25" spans="3:38">
      <c r="C25" s="117"/>
      <c r="D25" s="10" t="s">
        <v>199</v>
      </c>
      <c r="E25" s="10"/>
      <c r="G25" s="118"/>
      <c r="H25" s="119"/>
      <c r="I25" s="41"/>
      <c r="L25" s="17"/>
      <c r="M25" s="17"/>
      <c r="N25" s="17"/>
      <c r="O25" s="17"/>
      <c r="P25" s="17"/>
      <c r="Q25" s="17"/>
      <c r="R25" s="17"/>
      <c r="T25" s="102"/>
      <c r="U25" s="142">
        <f>1-U24</f>
        <v>0.7</v>
      </c>
      <c r="AD25" s="117" t="s">
        <v>235</v>
      </c>
      <c r="AF25" s="150" t="s">
        <v>213</v>
      </c>
      <c r="AG25" s="150" t="s">
        <v>214</v>
      </c>
      <c r="AI25" s="40" t="s">
        <v>215</v>
      </c>
      <c r="AL25" s="40" t="s">
        <v>234</v>
      </c>
    </row>
    <row r="26" spans="3:38">
      <c r="C26" s="117" t="s">
        <v>236</v>
      </c>
      <c r="D26" s="10" t="s">
        <v>232</v>
      </c>
      <c r="E26" s="10" t="s">
        <v>200</v>
      </c>
      <c r="F26" s="102">
        <v>2021</v>
      </c>
      <c r="G26" s="120">
        <f>AVERAGE([2]Electric_vehecle!$D$77)</f>
        <v>0.69</v>
      </c>
      <c r="H26" s="119">
        <f>AVERAGE([2]Electric_vehecle!$D$54:$J$54)</f>
        <v>13.3333333333333</v>
      </c>
      <c r="I26" s="108">
        <f>AVERAGE([2]Occupancy_ACTFLO_CAP2ACT!$D$22:$J$22)</f>
        <v>1.71369752068902</v>
      </c>
      <c r="J26" s="85">
        <f>44.3*1.35</f>
        <v>59.805</v>
      </c>
      <c r="K26" s="129">
        <f>(0.1/1.6)*(10^9/1)*1.35/10^6</f>
        <v>84.375</v>
      </c>
      <c r="L26" s="85">
        <f>L7</f>
        <v>2.33955</v>
      </c>
      <c r="M26" s="85">
        <f t="shared" si="3"/>
        <v>56.81475</v>
      </c>
      <c r="N26" s="131">
        <f t="shared" si="8"/>
        <v>80.15625</v>
      </c>
      <c r="O26" s="85">
        <f t="shared" si="5"/>
        <v>2.2225725</v>
      </c>
      <c r="P26" s="85">
        <f t="shared" si="6"/>
        <v>53.8245</v>
      </c>
      <c r="Q26" s="131">
        <f t="shared" si="9"/>
        <v>75.9375</v>
      </c>
      <c r="R26" s="85">
        <f>R7</f>
        <v>2.105595</v>
      </c>
      <c r="S26" s="85">
        <v>0.001</v>
      </c>
      <c r="T26" s="85">
        <v>15</v>
      </c>
      <c r="U26" s="141">
        <v>1</v>
      </c>
      <c r="AD26" s="117" t="s">
        <v>236</v>
      </c>
      <c r="AF26" s="150" t="s">
        <v>213</v>
      </c>
      <c r="AG26" s="150" t="s">
        <v>214</v>
      </c>
      <c r="AI26" s="40" t="s">
        <v>215</v>
      </c>
      <c r="AL26" s="40" t="s">
        <v>234</v>
      </c>
    </row>
    <row r="27" spans="3:38">
      <c r="C27" s="117" t="s">
        <v>237</v>
      </c>
      <c r="D27" s="10" t="s">
        <v>232</v>
      </c>
      <c r="E27" s="10" t="s">
        <v>200</v>
      </c>
      <c r="F27" s="102">
        <v>2021</v>
      </c>
      <c r="G27" s="120">
        <f>AVERAGE([2]Electric_vehecle!$D$78)</f>
        <v>0.483</v>
      </c>
      <c r="H27" s="119">
        <f>AVERAGE([2]Electric_vehecle!$D$55:$J$55)</f>
        <v>13.3333333333333</v>
      </c>
      <c r="I27" s="108">
        <f>AVERAGE([2]Occupancy_ACTFLO_CAP2ACT!$D$23:$J$23)</f>
        <v>1.71369752068902</v>
      </c>
      <c r="J27" s="85">
        <f>30.5*1.35</f>
        <v>41.175</v>
      </c>
      <c r="K27" s="129">
        <f>K26</f>
        <v>84.375</v>
      </c>
      <c r="L27" s="85">
        <f>L8</f>
        <v>2.33955</v>
      </c>
      <c r="M27" s="85">
        <f t="shared" si="3"/>
        <v>39.11625</v>
      </c>
      <c r="N27" s="131">
        <f t="shared" si="8"/>
        <v>80.15625</v>
      </c>
      <c r="O27" s="85">
        <f t="shared" si="5"/>
        <v>2.2225725</v>
      </c>
      <c r="P27" s="85">
        <f t="shared" si="6"/>
        <v>37.0575</v>
      </c>
      <c r="Q27" s="131">
        <f t="shared" si="9"/>
        <v>75.9375</v>
      </c>
      <c r="R27" s="85">
        <f>R8</f>
        <v>2.105595</v>
      </c>
      <c r="S27" s="85">
        <v>0.001</v>
      </c>
      <c r="T27" s="85">
        <v>15</v>
      </c>
      <c r="U27" s="141">
        <f>[2]Electric_vehecle!$D$94</f>
        <v>0.4</v>
      </c>
      <c r="AD27" s="117" t="s">
        <v>237</v>
      </c>
      <c r="AF27" s="150" t="s">
        <v>213</v>
      </c>
      <c r="AG27" s="150" t="s">
        <v>214</v>
      </c>
      <c r="AI27" s="40" t="s">
        <v>215</v>
      </c>
      <c r="AL27" s="40" t="s">
        <v>234</v>
      </c>
    </row>
    <row r="28" spans="3:38">
      <c r="C28" s="117"/>
      <c r="D28" s="10" t="s">
        <v>199</v>
      </c>
      <c r="E28" s="10"/>
      <c r="G28" s="120"/>
      <c r="H28" s="119"/>
      <c r="I28" s="135"/>
      <c r="J28" s="85"/>
      <c r="K28" s="85"/>
      <c r="L28" s="85"/>
      <c r="M28" s="85"/>
      <c r="N28" s="85"/>
      <c r="O28" s="85"/>
      <c r="P28" s="85"/>
      <c r="Q28" s="85"/>
      <c r="R28" s="85"/>
      <c r="S28" s="85"/>
      <c r="T28" s="85"/>
      <c r="U28" s="142">
        <f>1-U27</f>
        <v>0.6</v>
      </c>
      <c r="AD28" s="117" t="s">
        <v>238</v>
      </c>
      <c r="AF28" s="150" t="s">
        <v>213</v>
      </c>
      <c r="AG28" s="150" t="s">
        <v>214</v>
      </c>
      <c r="AI28" s="40" t="s">
        <v>215</v>
      </c>
      <c r="AL28" s="40" t="s">
        <v>234</v>
      </c>
    </row>
    <row r="29" spans="3:38">
      <c r="C29" s="117" t="s">
        <v>238</v>
      </c>
      <c r="D29" s="10" t="s">
        <v>232</v>
      </c>
      <c r="E29" s="10" t="s">
        <v>200</v>
      </c>
      <c r="F29" s="102">
        <v>2021</v>
      </c>
      <c r="G29" s="120">
        <f>AVERAGE([2]Electric_vehecle!$D$80)</f>
        <v>0.4485</v>
      </c>
      <c r="H29" s="119">
        <f>AVERAGE([2]Electric_vehecle!$D$57:$J$57)</f>
        <v>13.3333333333333</v>
      </c>
      <c r="I29" s="108">
        <f>AVERAGE([2]Occupancy_ACTFLO_CAP2ACT!$D$24:$J$24)</f>
        <v>1.71369752068902</v>
      </c>
      <c r="J29" s="85">
        <f>J27</f>
        <v>41.175</v>
      </c>
      <c r="K29" s="129">
        <f>K27</f>
        <v>84.375</v>
      </c>
      <c r="L29" s="85">
        <f>L9</f>
        <v>2.33955</v>
      </c>
      <c r="M29" s="85">
        <f t="shared" si="3"/>
        <v>39.11625</v>
      </c>
      <c r="N29" s="131">
        <f t="shared" si="8"/>
        <v>80.15625</v>
      </c>
      <c r="O29" s="85">
        <f t="shared" si="5"/>
        <v>2.2225725</v>
      </c>
      <c r="P29" s="85">
        <f t="shared" si="6"/>
        <v>37.0575</v>
      </c>
      <c r="Q29" s="131">
        <f t="shared" si="9"/>
        <v>75.9375</v>
      </c>
      <c r="R29" s="85">
        <f>R9</f>
        <v>2.105595</v>
      </c>
      <c r="S29" s="85">
        <v>0.001</v>
      </c>
      <c r="T29" s="85">
        <v>15</v>
      </c>
      <c r="U29" s="141">
        <v>0.3</v>
      </c>
      <c r="AD29" s="10" t="s">
        <v>239</v>
      </c>
      <c r="AE29" s="150"/>
      <c r="AF29" s="150" t="s">
        <v>213</v>
      </c>
      <c r="AG29" s="150" t="s">
        <v>214</v>
      </c>
      <c r="AI29" s="40" t="s">
        <v>215</v>
      </c>
      <c r="AL29" s="40" t="s">
        <v>234</v>
      </c>
    </row>
    <row r="30" spans="4:38">
      <c r="D30" s="10" t="s">
        <v>199</v>
      </c>
      <c r="G30" s="41"/>
      <c r="H30" s="41"/>
      <c r="I30" s="41"/>
      <c r="M30" s="17"/>
      <c r="N30" s="17"/>
      <c r="O30" s="17"/>
      <c r="T30" s="102"/>
      <c r="U30" s="142">
        <f>1-U29</f>
        <v>0.7</v>
      </c>
      <c r="Y30" s="153"/>
      <c r="AD30" s="10" t="s">
        <v>240</v>
      </c>
      <c r="AE30" s="150"/>
      <c r="AF30" s="150" t="s">
        <v>213</v>
      </c>
      <c r="AG30" s="150" t="s">
        <v>214</v>
      </c>
      <c r="AI30" s="40" t="s">
        <v>215</v>
      </c>
      <c r="AL30" s="40" t="s">
        <v>234</v>
      </c>
    </row>
    <row r="31" spans="3:38">
      <c r="C31" s="10" t="s">
        <v>239</v>
      </c>
      <c r="D31" t="s">
        <v>232</v>
      </c>
      <c r="E31" t="s">
        <v>222</v>
      </c>
      <c r="F31">
        <v>2021</v>
      </c>
      <c r="G31" s="121">
        <f>AVERAGE([2]mvkmPerTJ_EFF!$G$5:$M$6)*2</f>
        <v>0.266686263399797</v>
      </c>
      <c r="H31" s="122">
        <f>AVERAGE([2]AFA_000kmPerVeh_AFA!$E$5:$K$10)</f>
        <v>31.2857142857143</v>
      </c>
      <c r="I31" s="135">
        <f>TRA!I13</f>
        <v>21.9737611487708</v>
      </c>
      <c r="J31" s="71">
        <f>250*1.35</f>
        <v>337.5</v>
      </c>
      <c r="K31" s="129">
        <f>(0.1/1.6)*(10^9)*1.35/10^6</f>
        <v>84.375</v>
      </c>
      <c r="L31" s="85">
        <f>L13</f>
        <v>2.97</v>
      </c>
      <c r="M31" s="85">
        <f t="shared" ref="M31:M34" si="10">J31*95%</f>
        <v>320.625</v>
      </c>
      <c r="N31" s="131">
        <f>K31*0.95</f>
        <v>80.15625</v>
      </c>
      <c r="O31" s="85">
        <f t="shared" si="5"/>
        <v>2.8215</v>
      </c>
      <c r="P31" s="85">
        <f>J31*90%</f>
        <v>303.75</v>
      </c>
      <c r="Q31" s="131">
        <f t="shared" ref="Q31:R34" si="11">K31*0.9</f>
        <v>75.9375</v>
      </c>
      <c r="R31" s="85">
        <f t="shared" si="11"/>
        <v>2.673</v>
      </c>
      <c r="S31" s="85">
        <v>0.001</v>
      </c>
      <c r="T31" s="102">
        <v>15</v>
      </c>
      <c r="U31" s="102"/>
      <c r="AD31" s="10" t="s">
        <v>241</v>
      </c>
      <c r="AF31" s="150" t="s">
        <v>213</v>
      </c>
      <c r="AG31" s="150" t="s">
        <v>214</v>
      </c>
      <c r="AI31" s="40" t="s">
        <v>215</v>
      </c>
      <c r="AL31" s="40" t="s">
        <v>234</v>
      </c>
    </row>
    <row r="32" spans="3:38">
      <c r="C32" s="10" t="s">
        <v>240</v>
      </c>
      <c r="D32" t="s">
        <v>232</v>
      </c>
      <c r="E32" t="s">
        <v>222</v>
      </c>
      <c r="F32">
        <v>2021</v>
      </c>
      <c r="G32" s="121">
        <f>AVERAGE([2]mvkmPerTJ_EFF!$G$7:$M$8)*3</f>
        <v>0.191552527210896</v>
      </c>
      <c r="H32" s="122">
        <f>AVERAGE([2]AFA_000kmPerVeh_AFA!$E$5:$K$10)</f>
        <v>31.2857142857143</v>
      </c>
      <c r="I32" s="135">
        <f>I15</f>
        <v>11.9384348573679</v>
      </c>
      <c r="J32" s="71">
        <f>668*1.35</f>
        <v>901.8</v>
      </c>
      <c r="K32" s="129">
        <f>(0.1/1.6)*(10^9)*1.35/10^6</f>
        <v>84.375</v>
      </c>
      <c r="L32" s="85">
        <f>L15</f>
        <v>2.97</v>
      </c>
      <c r="M32" s="85">
        <f t="shared" si="10"/>
        <v>856.71</v>
      </c>
      <c r="N32" s="131">
        <f>K32*0.95</f>
        <v>80.15625</v>
      </c>
      <c r="O32" s="85">
        <f t="shared" si="5"/>
        <v>2.8215</v>
      </c>
      <c r="P32" s="85">
        <f>J32*90%</f>
        <v>811.62</v>
      </c>
      <c r="Q32" s="131">
        <f t="shared" si="11"/>
        <v>75.9375</v>
      </c>
      <c r="R32" s="85">
        <f t="shared" si="11"/>
        <v>2.673</v>
      </c>
      <c r="S32" s="85">
        <v>0.001</v>
      </c>
      <c r="T32" s="102">
        <v>15</v>
      </c>
      <c r="AD32" s="10" t="s">
        <v>242</v>
      </c>
      <c r="AF32" s="150" t="s">
        <v>213</v>
      </c>
      <c r="AG32" s="150" t="s">
        <v>214</v>
      </c>
      <c r="AI32" s="40" t="s">
        <v>215</v>
      </c>
      <c r="AL32" s="40" t="s">
        <v>234</v>
      </c>
    </row>
    <row r="33" spans="3:38">
      <c r="C33" s="10" t="s">
        <v>241</v>
      </c>
      <c r="D33" t="s">
        <v>232</v>
      </c>
      <c r="E33" t="s">
        <v>222</v>
      </c>
      <c r="F33">
        <v>2021</v>
      </c>
      <c r="G33" s="121">
        <f>AVERAGE([2]mvkmPerTJ_EFF!$G$9:$M$10)*2</f>
        <v>0.293310357587879</v>
      </c>
      <c r="H33" s="122">
        <f>AVERAGE([2]AFA_000kmPerVeh_AFA!$E$5:$K$10)</f>
        <v>31.2857142857143</v>
      </c>
      <c r="I33" s="135">
        <f>I17</f>
        <v>16.1127667258741</v>
      </c>
      <c r="J33" s="71">
        <f>676*1.35</f>
        <v>912.6</v>
      </c>
      <c r="K33" s="129">
        <f>(0.1/1.6)*(10^9)*1.35/10^6</f>
        <v>84.375</v>
      </c>
      <c r="L33" s="85">
        <f>L17</f>
        <v>1.89</v>
      </c>
      <c r="M33" s="85">
        <f t="shared" si="10"/>
        <v>866.97</v>
      </c>
      <c r="N33" s="131">
        <f>K33*0.95</f>
        <v>80.15625</v>
      </c>
      <c r="O33" s="85">
        <f t="shared" si="5"/>
        <v>1.7955</v>
      </c>
      <c r="P33" s="85">
        <f>J33*90%</f>
        <v>821.34</v>
      </c>
      <c r="Q33" s="131">
        <f t="shared" si="11"/>
        <v>75.9375</v>
      </c>
      <c r="R33" s="85">
        <f t="shared" si="11"/>
        <v>1.701</v>
      </c>
      <c r="S33" s="85">
        <v>0.001</v>
      </c>
      <c r="T33" s="102">
        <v>15</v>
      </c>
      <c r="AD33" s="102" t="str">
        <f>C35</f>
        <v>TRA_Tru_PLT_hydrogen</v>
      </c>
      <c r="AE33" s="102"/>
      <c r="AF33" s="102" t="str">
        <f>AF9</f>
        <v>BVkm</v>
      </c>
      <c r="AG33" s="149" t="s">
        <v>214</v>
      </c>
      <c r="AI33" s="40" t="s">
        <v>215</v>
      </c>
      <c r="AL33" s="40"/>
    </row>
    <row r="34" spans="3:38">
      <c r="C34" s="10" t="s">
        <v>242</v>
      </c>
      <c r="D34" t="s">
        <v>232</v>
      </c>
      <c r="E34" s="105" t="s">
        <v>219</v>
      </c>
      <c r="F34">
        <v>2021</v>
      </c>
      <c r="G34" s="123">
        <f>TRA!G12*3</f>
        <v>1.63564262078011</v>
      </c>
      <c r="H34" s="122">
        <f>TRA!H12</f>
        <v>4.02857142857143</v>
      </c>
      <c r="I34" s="108">
        <f>TRA!I12</f>
        <v>1.19133027778195</v>
      </c>
      <c r="J34" s="132">
        <f>15*1.35</f>
        <v>20.25</v>
      </c>
      <c r="K34" s="129">
        <f>(0.1/1.6)*(10^9)*1.35/10^6</f>
        <v>84.375</v>
      </c>
      <c r="L34" s="17">
        <f>J34/100</f>
        <v>0.2025</v>
      </c>
      <c r="M34" s="17">
        <f t="shared" si="10"/>
        <v>19.2375</v>
      </c>
      <c r="N34" s="131">
        <f>K34*0.95</f>
        <v>80.15625</v>
      </c>
      <c r="O34" s="17">
        <f t="shared" si="5"/>
        <v>0.192375</v>
      </c>
      <c r="P34" s="17">
        <f>J34*0.9</f>
        <v>18.225</v>
      </c>
      <c r="Q34" s="131">
        <f t="shared" si="11"/>
        <v>75.9375</v>
      </c>
      <c r="R34">
        <f t="shared" si="11"/>
        <v>0.18225</v>
      </c>
      <c r="S34">
        <v>0.001</v>
      </c>
      <c r="T34" s="102">
        <v>15</v>
      </c>
      <c r="AD34" s="102" t="str">
        <f t="shared" ref="AD34:AD40" si="12">C36</f>
        <v>TRA_Tru_FLT_hydrogen</v>
      </c>
      <c r="AE34" s="102"/>
      <c r="AF34" s="102" t="str">
        <f t="shared" ref="AF34:AF40" si="13">AF10</f>
        <v>BVkm</v>
      </c>
      <c r="AG34" s="149" t="s">
        <v>214</v>
      </c>
      <c r="AI34" s="40" t="s">
        <v>215</v>
      </c>
      <c r="AL34" s="40"/>
    </row>
    <row r="35" s="102" customFormat="1" spans="3:38">
      <c r="C35" s="102" t="s">
        <v>243</v>
      </c>
      <c r="D35" s="124" t="s">
        <v>244</v>
      </c>
      <c r="E35" s="102" t="str">
        <f>E10</f>
        <v>TRA_Tru</v>
      </c>
      <c r="F35" s="102">
        <v>2021</v>
      </c>
      <c r="G35" s="102">
        <f>2*AVERAGE([2]mvkmPerTJ_EFF!$G$11:$M$12)</f>
        <v>0.522983936313518</v>
      </c>
      <c r="H35" s="125">
        <f>H19</f>
        <v>13.0058571428571</v>
      </c>
      <c r="I35" s="136">
        <f>I7</f>
        <v>1.71369752068902</v>
      </c>
      <c r="J35" s="102">
        <f>93*1.35</f>
        <v>125.55</v>
      </c>
      <c r="K35" s="137">
        <f>(0.1/1.6)*(10^9)*1.35/10^6</f>
        <v>84.375</v>
      </c>
      <c r="L35" s="102">
        <f>L7</f>
        <v>2.33955</v>
      </c>
      <c r="M35" s="132">
        <f t="shared" ref="M35:M42" si="14">J35*95%</f>
        <v>119.2725</v>
      </c>
      <c r="N35" s="138">
        <f t="shared" ref="N35:N42" si="15">K35*0.95</f>
        <v>80.15625</v>
      </c>
      <c r="O35" s="132">
        <f t="shared" ref="O35:O42" si="16">L35*0.95</f>
        <v>2.2225725</v>
      </c>
      <c r="P35" s="132">
        <f t="shared" ref="P35:P42" si="17">J35*0.9</f>
        <v>112.995</v>
      </c>
      <c r="Q35" s="138">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49" t="s">
        <v>214</v>
      </c>
      <c r="AI35" s="154" t="s">
        <v>215</v>
      </c>
      <c r="AL35" s="40"/>
    </row>
    <row r="36" s="102" customFormat="1" spans="3:38">
      <c r="C36" s="102" t="s">
        <v>245</v>
      </c>
      <c r="D36" s="124" t="str">
        <f>D35</f>
        <v>TRASYNH2CT</v>
      </c>
      <c r="E36" s="124" t="str">
        <f>E35</f>
        <v>TRA_Tru</v>
      </c>
      <c r="F36" s="124">
        <f>F35</f>
        <v>2021</v>
      </c>
      <c r="G36" s="102">
        <f>G35</f>
        <v>0.522983936313518</v>
      </c>
      <c r="H36" s="125">
        <f>H35</f>
        <v>13.0058571428571</v>
      </c>
      <c r="I36" s="137">
        <f>I9</f>
        <v>0.55986165464206</v>
      </c>
      <c r="J36" s="102">
        <f>J35</f>
        <v>125.55</v>
      </c>
      <c r="K36" s="137">
        <f t="shared" ref="K36:K42" si="22">(0.1/1.6)*(10^9)*1.35/10^6</f>
        <v>84.375</v>
      </c>
      <c r="L36" s="102">
        <f>L9</f>
        <v>2.33955</v>
      </c>
      <c r="M36" s="132">
        <f t="shared" si="14"/>
        <v>119.2725</v>
      </c>
      <c r="N36" s="138">
        <f t="shared" si="15"/>
        <v>80.15625</v>
      </c>
      <c r="O36" s="132">
        <f t="shared" si="16"/>
        <v>2.2225725</v>
      </c>
      <c r="P36" s="132">
        <f t="shared" si="17"/>
        <v>112.995</v>
      </c>
      <c r="Q36" s="138">
        <f t="shared" si="18"/>
        <v>75.9375</v>
      </c>
      <c r="R36" s="102">
        <f t="shared" si="19"/>
        <v>2.105595</v>
      </c>
      <c r="S36" s="102">
        <f t="shared" si="20"/>
        <v>0.001</v>
      </c>
      <c r="T36" s="102">
        <f t="shared" si="21"/>
        <v>15</v>
      </c>
      <c r="AD36" s="102" t="str">
        <f t="shared" si="12"/>
        <v>TRA_Tru_HT_hydrogen</v>
      </c>
      <c r="AF36" s="102" t="str">
        <f t="shared" si="13"/>
        <v>BVkm</v>
      </c>
      <c r="AG36" s="149" t="s">
        <v>214</v>
      </c>
      <c r="AI36" s="154" t="s">
        <v>215</v>
      </c>
      <c r="AL36" s="40"/>
    </row>
    <row r="37" s="102" customFormat="1" spans="3:38">
      <c r="C37" s="102" t="s">
        <v>246</v>
      </c>
      <c r="D37" s="124" t="str">
        <f t="shared" ref="D37:F38" si="23">D36</f>
        <v>TRASYNH2CT</v>
      </c>
      <c r="E37" s="124" t="str">
        <f t="shared" si="23"/>
        <v>TRA_Tru</v>
      </c>
      <c r="F37" s="124">
        <f t="shared" si="23"/>
        <v>2021</v>
      </c>
      <c r="G37" s="102">
        <f>2*AVERAGE([2]mvkmPerTJ_EFF!$G$14:$M$15)</f>
        <v>0.353645986173803</v>
      </c>
      <c r="H37" s="125">
        <f t="shared" ref="H37:H42" si="24">H36</f>
        <v>13.0058571428571</v>
      </c>
      <c r="I37" s="137">
        <f>I10</f>
        <v>1.01179998747686</v>
      </c>
      <c r="J37" s="102">
        <f>181*1.35</f>
        <v>244.35</v>
      </c>
      <c r="K37" s="137">
        <f t="shared" si="22"/>
        <v>84.375</v>
      </c>
      <c r="L37" s="42">
        <f>L10</f>
        <v>2.33955</v>
      </c>
      <c r="M37" s="132">
        <f t="shared" si="14"/>
        <v>232.1325</v>
      </c>
      <c r="N37" s="138">
        <f t="shared" si="15"/>
        <v>80.15625</v>
      </c>
      <c r="O37" s="132">
        <f t="shared" si="16"/>
        <v>2.2225725</v>
      </c>
      <c r="P37" s="132">
        <f t="shared" si="17"/>
        <v>219.915</v>
      </c>
      <c r="Q37" s="138">
        <f t="shared" si="18"/>
        <v>75.9375</v>
      </c>
      <c r="R37" s="102">
        <f t="shared" si="19"/>
        <v>2.105595</v>
      </c>
      <c r="S37" s="102">
        <f t="shared" si="20"/>
        <v>0.001</v>
      </c>
      <c r="T37" s="102">
        <f t="shared" si="21"/>
        <v>15</v>
      </c>
      <c r="AD37" s="102" t="str">
        <f t="shared" si="12"/>
        <v>TRA_Bus_SB_hydrogen</v>
      </c>
      <c r="AF37" s="102" t="str">
        <f t="shared" si="13"/>
        <v>BVkm</v>
      </c>
      <c r="AG37" s="149" t="s">
        <v>214</v>
      </c>
      <c r="AI37" s="154" t="s">
        <v>215</v>
      </c>
      <c r="AL37" s="40"/>
    </row>
    <row r="38" s="102" customFormat="1" spans="3:38">
      <c r="C38" s="102" t="s">
        <v>247</v>
      </c>
      <c r="D38" s="124" t="str">
        <f t="shared" si="23"/>
        <v>TRASYNH2CT</v>
      </c>
      <c r="E38" s="124" t="str">
        <f t="shared" si="23"/>
        <v>TRA_Tru</v>
      </c>
      <c r="F38" s="124">
        <f t="shared" si="23"/>
        <v>2021</v>
      </c>
      <c r="G38" s="102">
        <f>1.5*AVERAGE([2]mvkmPerTJ_EFF!$G$16:$M$16)</f>
        <v>3.22757961871035</v>
      </c>
      <c r="H38" s="125">
        <f t="shared" si="24"/>
        <v>13.0058571428571</v>
      </c>
      <c r="I38" s="137">
        <f>I11</f>
        <v>0.318970292616525</v>
      </c>
      <c r="J38" s="42">
        <f>473*1.35</f>
        <v>638.55</v>
      </c>
      <c r="K38" s="137">
        <f t="shared" si="22"/>
        <v>84.375</v>
      </c>
      <c r="L38" s="42">
        <f>L11</f>
        <v>2.33955</v>
      </c>
      <c r="M38" s="132">
        <f t="shared" si="14"/>
        <v>606.6225</v>
      </c>
      <c r="N38" s="138">
        <f t="shared" si="15"/>
        <v>80.15625</v>
      </c>
      <c r="O38" s="132">
        <f t="shared" si="16"/>
        <v>2.2225725</v>
      </c>
      <c r="P38" s="132">
        <f t="shared" si="17"/>
        <v>574.695</v>
      </c>
      <c r="Q38" s="138">
        <f t="shared" si="18"/>
        <v>75.9375</v>
      </c>
      <c r="R38" s="102">
        <f t="shared" si="19"/>
        <v>2.105595</v>
      </c>
      <c r="S38" s="102">
        <f t="shared" si="20"/>
        <v>0.001</v>
      </c>
      <c r="T38" s="102">
        <f t="shared" si="21"/>
        <v>15</v>
      </c>
      <c r="AD38" s="102" t="str">
        <f t="shared" si="12"/>
        <v>TRA_Bus_UT_hydrogen</v>
      </c>
      <c r="AF38" s="102" t="str">
        <f t="shared" si="13"/>
        <v>BVkm</v>
      </c>
      <c r="AG38" s="149" t="s">
        <v>214</v>
      </c>
      <c r="AI38" s="154" t="s">
        <v>215</v>
      </c>
      <c r="AL38" s="40"/>
    </row>
    <row r="39" s="102" customFormat="1" spans="3:38">
      <c r="C39" s="102" t="s">
        <v>248</v>
      </c>
      <c r="D39" s="102" t="str">
        <f>D35</f>
        <v>TRASYNH2CT</v>
      </c>
      <c r="E39" s="102" t="str">
        <f>E13</f>
        <v>TRA_Bus</v>
      </c>
      <c r="F39" s="102">
        <v>2021</v>
      </c>
      <c r="G39" s="121">
        <f>AVERAGE([2]mvkmPerTJ_EFF!$G$5:$M$6)*1.5</f>
        <v>0.200014697549847</v>
      </c>
      <c r="H39" s="125">
        <f t="shared" si="24"/>
        <v>13.0058571428571</v>
      </c>
      <c r="I39" s="102">
        <f>I13</f>
        <v>21.9737611487708</v>
      </c>
      <c r="J39" s="102">
        <f>261*1.35</f>
        <v>352.35</v>
      </c>
      <c r="K39" s="137">
        <f t="shared" si="22"/>
        <v>84.375</v>
      </c>
      <c r="L39" s="102">
        <f>L13</f>
        <v>2.97</v>
      </c>
      <c r="M39" s="132">
        <f t="shared" si="14"/>
        <v>334.7325</v>
      </c>
      <c r="N39" s="138">
        <f t="shared" si="15"/>
        <v>80.15625</v>
      </c>
      <c r="O39" s="132">
        <f t="shared" si="16"/>
        <v>2.8215</v>
      </c>
      <c r="P39" s="132">
        <f t="shared" si="17"/>
        <v>317.115</v>
      </c>
      <c r="Q39" s="138">
        <f t="shared" si="18"/>
        <v>75.9375</v>
      </c>
      <c r="R39" s="102">
        <f t="shared" si="19"/>
        <v>2.673</v>
      </c>
      <c r="S39" s="102">
        <f t="shared" si="20"/>
        <v>0.001</v>
      </c>
      <c r="T39" s="102">
        <f t="shared" si="21"/>
        <v>15</v>
      </c>
      <c r="AD39" s="102" t="str">
        <f t="shared" si="12"/>
        <v>TRA_Bus_IC_hydrogen</v>
      </c>
      <c r="AF39" s="102" t="str">
        <f t="shared" si="13"/>
        <v>BVkm</v>
      </c>
      <c r="AG39" s="149" t="s">
        <v>214</v>
      </c>
      <c r="AI39" s="154" t="s">
        <v>215</v>
      </c>
      <c r="AL39" s="40"/>
    </row>
    <row r="40" s="102" customFormat="1" spans="3:38">
      <c r="C40" s="102" t="s">
        <v>249</v>
      </c>
      <c r="D40" s="102" t="str">
        <f t="shared" ref="D40:F41" si="25">D39</f>
        <v>TRASYNH2CT</v>
      </c>
      <c r="E40" s="102" t="str">
        <f t="shared" si="25"/>
        <v>TRA_Bus</v>
      </c>
      <c r="F40" s="102">
        <f t="shared" si="25"/>
        <v>2021</v>
      </c>
      <c r="G40" s="121">
        <f>AVERAGE([2]mvkmPerTJ_EFF!$G$7:$M$8)*2</f>
        <v>0.127701684807264</v>
      </c>
      <c r="H40" s="125">
        <f t="shared" si="24"/>
        <v>13.0058571428571</v>
      </c>
      <c r="I40" s="102">
        <f>I15</f>
        <v>11.9384348573679</v>
      </c>
      <c r="J40" s="102">
        <f>664*1.35</f>
        <v>896.4</v>
      </c>
      <c r="K40" s="137">
        <f t="shared" si="22"/>
        <v>84.375</v>
      </c>
      <c r="L40" s="102">
        <f>L15</f>
        <v>2.97</v>
      </c>
      <c r="M40" s="132">
        <f t="shared" si="14"/>
        <v>851.58</v>
      </c>
      <c r="N40" s="138">
        <f t="shared" si="15"/>
        <v>80.15625</v>
      </c>
      <c r="O40" s="132">
        <f t="shared" si="16"/>
        <v>2.8215</v>
      </c>
      <c r="P40" s="132">
        <f t="shared" si="17"/>
        <v>806.76</v>
      </c>
      <c r="Q40" s="138">
        <f t="shared" si="18"/>
        <v>75.9375</v>
      </c>
      <c r="R40" s="102">
        <f t="shared" si="19"/>
        <v>2.673</v>
      </c>
      <c r="S40" s="102">
        <f t="shared" si="20"/>
        <v>0.001</v>
      </c>
      <c r="T40" s="102">
        <f t="shared" si="21"/>
        <v>15</v>
      </c>
      <c r="AD40" s="102" t="str">
        <f t="shared" si="12"/>
        <v>TRA_Car_hydrogen</v>
      </c>
      <c r="AF40" s="102" t="str">
        <f t="shared" si="13"/>
        <v>BVkm</v>
      </c>
      <c r="AG40" s="149" t="s">
        <v>214</v>
      </c>
      <c r="AI40" s="154" t="s">
        <v>215</v>
      </c>
      <c r="AL40" s="40"/>
    </row>
    <row r="41" s="102" customFormat="1" spans="3:20">
      <c r="C41" s="102" t="s">
        <v>250</v>
      </c>
      <c r="D41" s="102" t="str">
        <f t="shared" si="25"/>
        <v>TRASYNH2CT</v>
      </c>
      <c r="E41" s="102" t="str">
        <f t="shared" si="25"/>
        <v>TRA_Bus</v>
      </c>
      <c r="F41" s="102">
        <f t="shared" si="25"/>
        <v>2021</v>
      </c>
      <c r="G41" s="121">
        <f>AVERAGE([2]mvkmPerTJ_EFF!$G$9:$M$10)*1.5</f>
        <v>0.219982768190909</v>
      </c>
      <c r="H41" s="125">
        <f t="shared" si="24"/>
        <v>13.0058571428571</v>
      </c>
      <c r="I41" s="102">
        <f>I17</f>
        <v>16.1127667258741</v>
      </c>
      <c r="J41" s="102">
        <f>666*1.35</f>
        <v>899.1</v>
      </c>
      <c r="K41" s="137">
        <f t="shared" si="22"/>
        <v>84.375</v>
      </c>
      <c r="L41" s="102">
        <f>L17</f>
        <v>1.89</v>
      </c>
      <c r="M41" s="132">
        <f t="shared" si="14"/>
        <v>854.145</v>
      </c>
      <c r="N41" s="138">
        <f t="shared" si="15"/>
        <v>80.15625</v>
      </c>
      <c r="O41" s="132">
        <f t="shared" si="16"/>
        <v>1.7955</v>
      </c>
      <c r="P41" s="132">
        <f t="shared" si="17"/>
        <v>809.19</v>
      </c>
      <c r="Q41" s="138">
        <f t="shared" si="18"/>
        <v>75.9375</v>
      </c>
      <c r="R41" s="102">
        <f t="shared" si="19"/>
        <v>1.701</v>
      </c>
      <c r="S41" s="102">
        <f t="shared" si="20"/>
        <v>0.001</v>
      </c>
      <c r="T41" s="102">
        <f t="shared" si="21"/>
        <v>15</v>
      </c>
    </row>
    <row r="42" s="102" customFormat="1" spans="3:20">
      <c r="C42" s="102" t="s">
        <v>251</v>
      </c>
      <c r="D42" s="102" t="str">
        <f>D39</f>
        <v>TRASYNH2CT</v>
      </c>
      <c r="E42" s="102" t="str">
        <f>E19</f>
        <v>TRA_Car</v>
      </c>
      <c r="F42" s="102">
        <v>2021</v>
      </c>
      <c r="G42" s="102">
        <f>AVERAGE([2]mvkmPerTJ_EFF!$G$18:$M$18)*2</f>
        <v>0.722338153735503</v>
      </c>
      <c r="H42" s="125">
        <f t="shared" si="24"/>
        <v>13.0058571428571</v>
      </c>
      <c r="I42" s="102">
        <f>I19</f>
        <v>1.58589639888736</v>
      </c>
      <c r="J42" s="42">
        <f>48.2*1.35</f>
        <v>65.07</v>
      </c>
      <c r="K42" s="137">
        <f t="shared" si="22"/>
        <v>84.375</v>
      </c>
      <c r="L42" s="102">
        <f>L19</f>
        <v>2.06955</v>
      </c>
      <c r="M42" s="132">
        <f t="shared" si="14"/>
        <v>61.8165</v>
      </c>
      <c r="N42" s="138">
        <f t="shared" si="15"/>
        <v>80.15625</v>
      </c>
      <c r="O42" s="132">
        <f t="shared" si="16"/>
        <v>1.9660725</v>
      </c>
      <c r="P42" s="132">
        <f t="shared" si="17"/>
        <v>58.563</v>
      </c>
      <c r="Q42" s="138">
        <f t="shared" si="18"/>
        <v>75.9375</v>
      </c>
      <c r="R42" s="102">
        <f t="shared" si="19"/>
        <v>1.862595</v>
      </c>
      <c r="S42" s="102">
        <f t="shared" si="20"/>
        <v>0.001</v>
      </c>
      <c r="T42" s="102">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7" zoomScaleNormal="77" topLeftCell="V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197</v>
      </c>
      <c r="AE5" s="13" t="s">
        <v>12</v>
      </c>
      <c r="AF5" s="13" t="s">
        <v>18</v>
      </c>
      <c r="AG5" s="43" t="s">
        <v>18</v>
      </c>
      <c r="AH5" s="13" t="s">
        <v>18</v>
      </c>
      <c r="AI5" s="14" t="s">
        <v>16</v>
      </c>
      <c r="AJ5" s="45" t="s">
        <v>19</v>
      </c>
      <c r="AK5" s="82" t="s">
        <v>18</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255</v>
      </c>
      <c r="W6" s="80" t="s">
        <v>39</v>
      </c>
      <c r="X6" s="80" t="s">
        <v>40</v>
      </c>
      <c r="AE6" t="str">
        <f>B146</f>
        <v>WST-SpHeat_ELE1</v>
      </c>
      <c r="AJ6" t="e">
        <f>'[6]TechSpaceHeat-COM'!$O$199</f>
        <v>#VALUE!</v>
      </c>
      <c r="AK6" s="57" t="s">
        <v>182</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39</v>
      </c>
      <c r="X7" s="80" t="s">
        <v>40</v>
      </c>
      <c r="AE7" t="str">
        <f t="shared" ref="AE7:AE36" si="1">B147</f>
        <v>WST-SpHeat_GAS1</v>
      </c>
      <c r="AJ7" t="e">
        <f>'[6]TechSpaceHeat-COM'!$O$200</f>
        <v>#VALUE!</v>
      </c>
      <c r="AK7" s="57" t="s">
        <v>182</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39</v>
      </c>
      <c r="X8" s="80" t="s">
        <v>40</v>
      </c>
      <c r="AE8" t="str">
        <f t="shared" si="1"/>
        <v>WST-SpHeat_LFO1</v>
      </c>
      <c r="AJ8" t="e">
        <f>'[6]TechSpaceHeat-COM'!$O$201</f>
        <v>#VALUE!</v>
      </c>
      <c r="AK8" s="57" t="s">
        <v>182</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39</v>
      </c>
      <c r="X9" s="80" t="s">
        <v>40</v>
      </c>
      <c r="AE9" t="str">
        <f t="shared" si="1"/>
        <v>WST-SpHeat_HFO1</v>
      </c>
      <c r="AJ9" t="e">
        <f>'[6]TechSpaceHeat-COM'!$O$202</f>
        <v>#VALUE!</v>
      </c>
      <c r="AK9" s="57" t="s">
        <v>182</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39</v>
      </c>
      <c r="X10" s="80" t="s">
        <v>40</v>
      </c>
      <c r="AE10" t="str">
        <f t="shared" si="1"/>
        <v>WST-SpHeat_STE1</v>
      </c>
      <c r="AJ10" t="e">
        <f>'[6]TechSpaceHeat-COM'!$O$203</f>
        <v>#VALUE!</v>
      </c>
      <c r="AK10" s="57" t="s">
        <v>182</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39</v>
      </c>
      <c r="X11" s="80" t="s">
        <v>40</v>
      </c>
      <c r="AE11" t="str">
        <f t="shared" si="1"/>
        <v>WST-SpHeat_COA1</v>
      </c>
      <c r="AJ11" t="e">
        <f>'[6]TechSpaceHeat-COM'!$O$204</f>
        <v>#VALUE!</v>
      </c>
      <c r="AK11" s="57" t="s">
        <v>182</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39</v>
      </c>
      <c r="X12" s="80" t="s">
        <v>40</v>
      </c>
      <c r="AE12" t="str">
        <f t="shared" si="1"/>
        <v>RTS-SpHeat_ELE1</v>
      </c>
      <c r="AJ12" t="e">
        <f t="shared" ref="AJ12:AJ17" si="9">AJ6</f>
        <v>#VALUE!</v>
      </c>
      <c r="AK12" s="57" t="s">
        <v>182</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39</v>
      </c>
      <c r="X13" s="80" t="s">
        <v>40</v>
      </c>
      <c r="AE13" t="str">
        <f t="shared" si="1"/>
        <v>RTS-SpHeat_GAS1</v>
      </c>
      <c r="AJ13" t="e">
        <f t="shared" si="9"/>
        <v>#VALUE!</v>
      </c>
      <c r="AK13" s="57" t="s">
        <v>182</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39</v>
      </c>
      <c r="X14" s="80" t="s">
        <v>40</v>
      </c>
      <c r="AE14" t="str">
        <f t="shared" si="1"/>
        <v>RTS-SpHeat_LFO1</v>
      </c>
      <c r="AJ14" t="e">
        <f t="shared" si="9"/>
        <v>#VALUE!</v>
      </c>
      <c r="AK14" s="57" t="s">
        <v>182</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39</v>
      </c>
      <c r="X15" s="80" t="s">
        <v>40</v>
      </c>
      <c r="AE15" t="str">
        <f t="shared" si="1"/>
        <v>RTS-SpHeat_HFO1</v>
      </c>
      <c r="AJ15" t="e">
        <f t="shared" si="9"/>
        <v>#VALUE!</v>
      </c>
      <c r="AK15" s="57" t="s">
        <v>182</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39</v>
      </c>
      <c r="X16" s="80" t="s">
        <v>40</v>
      </c>
      <c r="AE16" t="str">
        <f t="shared" si="1"/>
        <v>RTS-SpHeat_STE1</v>
      </c>
      <c r="AJ16" t="e">
        <f t="shared" si="9"/>
        <v>#VALUE!</v>
      </c>
      <c r="AK16" s="57" t="s">
        <v>182</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39</v>
      </c>
      <c r="X17" s="80" t="s">
        <v>40</v>
      </c>
      <c r="AE17" t="str">
        <f t="shared" si="1"/>
        <v>RTS-SpHeat_COA1</v>
      </c>
      <c r="AJ17" t="e">
        <f t="shared" si="9"/>
        <v>#VALUE!</v>
      </c>
      <c r="AK17" s="57" t="s">
        <v>182</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39</v>
      </c>
      <c r="X18" s="80" t="s">
        <v>40</v>
      </c>
      <c r="AE18" t="str">
        <f t="shared" si="1"/>
        <v>TWS-SpHeat_ELE1</v>
      </c>
      <c r="AJ18" t="e">
        <f t="shared" ref="AJ18:AJ65" si="20">AJ12</f>
        <v>#VALUE!</v>
      </c>
      <c r="AK18" s="57" t="s">
        <v>182</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39</v>
      </c>
      <c r="X19" s="80" t="s">
        <v>40</v>
      </c>
      <c r="AE19" t="str">
        <f t="shared" si="1"/>
        <v>TWS-SpHeat_GAS1</v>
      </c>
      <c r="AJ19" t="e">
        <f t="shared" si="20"/>
        <v>#VALUE!</v>
      </c>
      <c r="AK19" s="57" t="s">
        <v>182</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39</v>
      </c>
      <c r="X20" s="80" t="s">
        <v>40</v>
      </c>
      <c r="AE20" t="str">
        <f t="shared" si="1"/>
        <v>TWS-SpHeat_LFO1</v>
      </c>
      <c r="AJ20" t="e">
        <f t="shared" si="20"/>
        <v>#VALUE!</v>
      </c>
      <c r="AK20" s="57" t="s">
        <v>182</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39</v>
      </c>
      <c r="X21" s="80" t="s">
        <v>40</v>
      </c>
      <c r="AE21" t="str">
        <f t="shared" si="1"/>
        <v>TWS-SpHeat_HFO1</v>
      </c>
      <c r="AJ21" t="e">
        <f t="shared" si="20"/>
        <v>#VALUE!</v>
      </c>
      <c r="AK21" s="57" t="s">
        <v>182</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39</v>
      </c>
      <c r="X22" s="80" t="s">
        <v>40</v>
      </c>
      <c r="AE22" t="str">
        <f t="shared" si="1"/>
        <v>TWS-SpHeat_STE1</v>
      </c>
      <c r="AJ22" t="e">
        <f t="shared" si="20"/>
        <v>#VALUE!</v>
      </c>
      <c r="AK22" s="57" t="s">
        <v>182</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39</v>
      </c>
      <c r="X23" s="80" t="s">
        <v>40</v>
      </c>
      <c r="AE23" t="str">
        <f t="shared" si="1"/>
        <v>TWS-SpHeat_COA1</v>
      </c>
      <c r="AJ23" t="e">
        <f t="shared" si="20"/>
        <v>#VALUE!</v>
      </c>
      <c r="AK23" s="57" t="s">
        <v>182</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39</v>
      </c>
      <c r="X24" s="80" t="s">
        <v>40</v>
      </c>
      <c r="AE24" t="str">
        <f t="shared" si="1"/>
        <v>ICS-SpHeat_ELE1</v>
      </c>
      <c r="AJ24" t="e">
        <f t="shared" si="20"/>
        <v>#VALUE!</v>
      </c>
      <c r="AK24" s="57" t="s">
        <v>182</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39</v>
      </c>
      <c r="X25" s="80" t="s">
        <v>40</v>
      </c>
      <c r="AE25" t="str">
        <f t="shared" si="1"/>
        <v>ICS-SpHeat_GAS1</v>
      </c>
      <c r="AJ25" t="e">
        <f t="shared" si="20"/>
        <v>#VALUE!</v>
      </c>
      <c r="AK25" s="57" t="s">
        <v>182</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39</v>
      </c>
      <c r="X26" s="80" t="s">
        <v>40</v>
      </c>
      <c r="AE26" t="str">
        <f t="shared" si="1"/>
        <v>ICS-SpHeat_LFO1</v>
      </c>
      <c r="AJ26" t="e">
        <f t="shared" si="20"/>
        <v>#VALUE!</v>
      </c>
      <c r="AK26" s="57" t="s">
        <v>182</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39</v>
      </c>
      <c r="X27" s="80" t="s">
        <v>40</v>
      </c>
      <c r="AE27" t="str">
        <f t="shared" si="1"/>
        <v>ICS-SpHeat_HFO1</v>
      </c>
      <c r="AJ27" t="e">
        <f t="shared" si="20"/>
        <v>#VALUE!</v>
      </c>
      <c r="AK27" s="57" t="s">
        <v>182</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39</v>
      </c>
      <c r="X28" s="80" t="s">
        <v>40</v>
      </c>
      <c r="AE28" t="str">
        <f t="shared" si="1"/>
        <v>ICS-SpHeat_STE1</v>
      </c>
      <c r="AJ28" t="e">
        <f t="shared" si="20"/>
        <v>#VALUE!</v>
      </c>
      <c r="AK28" s="57" t="s">
        <v>182</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39</v>
      </c>
      <c r="X29" s="80" t="s">
        <v>40</v>
      </c>
      <c r="AE29" t="str">
        <f t="shared" si="1"/>
        <v>ICS-SpHeat_COA1</v>
      </c>
      <c r="AJ29" t="e">
        <f t="shared" si="20"/>
        <v>#VALUE!</v>
      </c>
      <c r="AK29" s="57" t="s">
        <v>182</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39</v>
      </c>
      <c r="X30" s="80" t="s">
        <v>40</v>
      </c>
      <c r="AE30" t="str">
        <f t="shared" si="1"/>
        <v>OS-SpHeat_ELE1</v>
      </c>
      <c r="AJ30" t="e">
        <f t="shared" si="20"/>
        <v>#VALUE!</v>
      </c>
      <c r="AK30" s="57" t="s">
        <v>182</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39</v>
      </c>
      <c r="X31" s="80" t="s">
        <v>40</v>
      </c>
      <c r="AE31" t="str">
        <f t="shared" si="1"/>
        <v>OS-SpHeat_GAS1</v>
      </c>
      <c r="AJ31" t="e">
        <f t="shared" si="20"/>
        <v>#VALUE!</v>
      </c>
      <c r="AK31" s="57" t="s">
        <v>182</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39</v>
      </c>
      <c r="X32" s="80" t="s">
        <v>40</v>
      </c>
      <c r="AE32" t="str">
        <f t="shared" si="1"/>
        <v>OS-SpHeat_LFO1</v>
      </c>
      <c r="AJ32" t="e">
        <f t="shared" si="20"/>
        <v>#VALUE!</v>
      </c>
      <c r="AK32" s="57" t="s">
        <v>182</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39</v>
      </c>
      <c r="X33" s="80" t="s">
        <v>40</v>
      </c>
      <c r="AE33" t="str">
        <f t="shared" si="1"/>
        <v>OS-SpHeat_HFO1</v>
      </c>
      <c r="AJ33" t="e">
        <f t="shared" si="20"/>
        <v>#VALUE!</v>
      </c>
      <c r="AK33" s="57" t="s">
        <v>182</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39</v>
      </c>
      <c r="X34" s="80" t="s">
        <v>40</v>
      </c>
      <c r="AE34" t="str">
        <f t="shared" si="1"/>
        <v>OS-SpHeat_STE1</v>
      </c>
      <c r="AJ34" t="e">
        <f t="shared" si="20"/>
        <v>#VALUE!</v>
      </c>
      <c r="AK34" s="57" t="s">
        <v>182</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39</v>
      </c>
      <c r="X35" s="80" t="s">
        <v>40</v>
      </c>
      <c r="AE35" t="str">
        <f t="shared" si="1"/>
        <v>OS-SpHeat_COA1</v>
      </c>
      <c r="AJ35" t="e">
        <f t="shared" si="20"/>
        <v>#VALUE!</v>
      </c>
      <c r="AK35" s="57" t="s">
        <v>182</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39</v>
      </c>
      <c r="X36" s="80" t="s">
        <v>40</v>
      </c>
      <c r="AE36" t="str">
        <f t="shared" si="1"/>
        <v>EDU-SpHeat_ELE1</v>
      </c>
      <c r="AJ36" t="e">
        <f t="shared" si="20"/>
        <v>#VALUE!</v>
      </c>
      <c r="AK36" s="57" t="s">
        <v>182</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39</v>
      </c>
      <c r="X37" s="80" t="s">
        <v>40</v>
      </c>
      <c r="AE37" t="str">
        <f t="shared" ref="AE37:AE55" si="34">B177</f>
        <v>EDU-SpHeat_GAS1</v>
      </c>
      <c r="AJ37" t="e">
        <f t="shared" si="20"/>
        <v>#VALUE!</v>
      </c>
      <c r="AK37" s="57" t="s">
        <v>182</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39</v>
      </c>
      <c r="X38" s="80" t="s">
        <v>40</v>
      </c>
      <c r="AE38" t="str">
        <f t="shared" si="34"/>
        <v>EDU-SpHeat_LFO1</v>
      </c>
      <c r="AJ38" t="e">
        <f t="shared" si="20"/>
        <v>#VALUE!</v>
      </c>
      <c r="AK38" s="57" t="s">
        <v>182</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39</v>
      </c>
      <c r="X39" s="80" t="s">
        <v>40</v>
      </c>
      <c r="AE39" t="str">
        <f t="shared" si="34"/>
        <v>EDU-SpHeat_HFO1</v>
      </c>
      <c r="AJ39" t="e">
        <f t="shared" si="20"/>
        <v>#VALUE!</v>
      </c>
      <c r="AK39" s="57" t="s">
        <v>182</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39</v>
      </c>
      <c r="X40" s="80" t="s">
        <v>40</v>
      </c>
      <c r="AE40" t="str">
        <f t="shared" si="34"/>
        <v>EDU-SpHeat_STE1</v>
      </c>
      <c r="AJ40" t="e">
        <f t="shared" si="20"/>
        <v>#VALUE!</v>
      </c>
      <c r="AK40" s="57" t="s">
        <v>182</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39</v>
      </c>
      <c r="X41" s="80" t="s">
        <v>40</v>
      </c>
      <c r="AE41" t="str">
        <f t="shared" si="34"/>
        <v>EDU-SpHeat_COA1</v>
      </c>
      <c r="AJ41" t="e">
        <f t="shared" si="20"/>
        <v>#VALUE!</v>
      </c>
      <c r="AK41" s="57" t="s">
        <v>182</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39</v>
      </c>
      <c r="X42" s="80" t="s">
        <v>40</v>
      </c>
      <c r="AE42" t="str">
        <f t="shared" si="34"/>
        <v>HSS-SpHeat_ELE1</v>
      </c>
      <c r="AJ42" t="e">
        <f t="shared" si="20"/>
        <v>#VALUE!</v>
      </c>
      <c r="AK42" s="57" t="s">
        <v>182</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39</v>
      </c>
      <c r="X43" s="80" t="s">
        <v>40</v>
      </c>
      <c r="AE43" t="str">
        <f t="shared" si="34"/>
        <v>HSS-SpHeat_GAS1</v>
      </c>
      <c r="AJ43" t="e">
        <f t="shared" si="20"/>
        <v>#VALUE!</v>
      </c>
      <c r="AK43" s="57" t="s">
        <v>182</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39</v>
      </c>
      <c r="X44" s="80" t="s">
        <v>40</v>
      </c>
      <c r="AE44" t="str">
        <f t="shared" si="34"/>
        <v>HSS-SpHeat_LFO1</v>
      </c>
      <c r="AJ44" t="e">
        <f t="shared" si="20"/>
        <v>#VALUE!</v>
      </c>
      <c r="AK44" s="57" t="s">
        <v>182</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39</v>
      </c>
      <c r="X45" s="80" t="s">
        <v>40</v>
      </c>
      <c r="AE45" t="str">
        <f t="shared" si="34"/>
        <v>HSS-SpHeat_HFO1</v>
      </c>
      <c r="AJ45" t="e">
        <f t="shared" si="20"/>
        <v>#VALUE!</v>
      </c>
      <c r="AK45" s="57" t="s">
        <v>182</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39</v>
      </c>
      <c r="X46" s="80" t="s">
        <v>40</v>
      </c>
      <c r="AE46" t="str">
        <f t="shared" si="34"/>
        <v>HSS-SpHeat_STE1</v>
      </c>
      <c r="AJ46" t="e">
        <f t="shared" si="20"/>
        <v>#VALUE!</v>
      </c>
      <c r="AK46" s="57" t="s">
        <v>182</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39</v>
      </c>
      <c r="X47" s="80" t="s">
        <v>40</v>
      </c>
      <c r="AE47" t="str">
        <f t="shared" si="34"/>
        <v>HSS-SpHeat_COA1</v>
      </c>
      <c r="AJ47" t="e">
        <f t="shared" si="20"/>
        <v>#VALUE!</v>
      </c>
      <c r="AK47" s="57" t="s">
        <v>182</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39</v>
      </c>
      <c r="X48" s="80" t="s">
        <v>40</v>
      </c>
      <c r="AE48" t="str">
        <f t="shared" si="34"/>
        <v>ART-SpHeat_ELE1</v>
      </c>
      <c r="AJ48" t="e">
        <f t="shared" si="20"/>
        <v>#VALUE!</v>
      </c>
      <c r="AK48" s="57" t="s">
        <v>182</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39</v>
      </c>
      <c r="X49" s="80" t="s">
        <v>40</v>
      </c>
      <c r="AE49" t="str">
        <f t="shared" si="34"/>
        <v>ART-SpHeat_GAS1</v>
      </c>
      <c r="AJ49" t="e">
        <f t="shared" si="20"/>
        <v>#VALUE!</v>
      </c>
      <c r="AK49" s="57" t="s">
        <v>182</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39</v>
      </c>
      <c r="X50" s="80" t="s">
        <v>40</v>
      </c>
      <c r="AE50" t="str">
        <f t="shared" si="34"/>
        <v>ART-SpHeat_LFO1</v>
      </c>
      <c r="AJ50" t="e">
        <f t="shared" si="20"/>
        <v>#VALUE!</v>
      </c>
      <c r="AK50" s="57" t="s">
        <v>182</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39</v>
      </c>
      <c r="X51" s="80" t="s">
        <v>40</v>
      </c>
      <c r="AE51" t="str">
        <f t="shared" si="34"/>
        <v>ART-SpHeat_HFO1</v>
      </c>
      <c r="AJ51" t="e">
        <f t="shared" si="20"/>
        <v>#VALUE!</v>
      </c>
      <c r="AK51" s="57" t="s">
        <v>182</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39</v>
      </c>
      <c r="X52" s="80" t="s">
        <v>40</v>
      </c>
      <c r="AE52" t="str">
        <f t="shared" si="34"/>
        <v>ART-SpHeat_STE1</v>
      </c>
      <c r="AJ52" t="e">
        <f t="shared" si="20"/>
        <v>#VALUE!</v>
      </c>
      <c r="AK52" s="57" t="s">
        <v>182</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39</v>
      </c>
      <c r="X53" s="80" t="s">
        <v>40</v>
      </c>
      <c r="AE53" t="str">
        <f t="shared" si="34"/>
        <v>ART-SpHeat_COA1</v>
      </c>
      <c r="AJ53" t="e">
        <f t="shared" si="20"/>
        <v>#VALUE!</v>
      </c>
      <c r="AK53" s="57" t="s">
        <v>182</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39</v>
      </c>
      <c r="X54" s="80" t="s">
        <v>40</v>
      </c>
      <c r="AE54" t="str">
        <f t="shared" si="34"/>
        <v>AFM-SpHeat_ELE1</v>
      </c>
      <c r="AJ54" t="e">
        <f t="shared" si="20"/>
        <v>#VALUE!</v>
      </c>
      <c r="AK54" s="57" t="s">
        <v>182</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39</v>
      </c>
      <c r="X55" s="80" t="s">
        <v>40</v>
      </c>
      <c r="AE55" t="str">
        <f t="shared" si="34"/>
        <v>AFM-SpHeat_GAS1</v>
      </c>
      <c r="AJ55" t="e">
        <f t="shared" si="20"/>
        <v>#VALUE!</v>
      </c>
      <c r="AK55" s="57" t="s">
        <v>182</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39</v>
      </c>
      <c r="X56" s="80" t="s">
        <v>40</v>
      </c>
      <c r="AE56" t="str">
        <f t="shared" ref="AE56:AE71" si="54">B196</f>
        <v>AFM-SpHeat_LFO1</v>
      </c>
      <c r="AJ56" t="e">
        <f t="shared" si="20"/>
        <v>#VALUE!</v>
      </c>
      <c r="AK56" s="57" t="s">
        <v>182</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39</v>
      </c>
      <c r="X57" s="80" t="s">
        <v>40</v>
      </c>
      <c r="AE57" t="str">
        <f t="shared" si="54"/>
        <v>AFM-SpHeat_HFO1</v>
      </c>
      <c r="AJ57" t="e">
        <f t="shared" si="20"/>
        <v>#VALUE!</v>
      </c>
      <c r="AK57" s="57" t="s">
        <v>182</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39</v>
      </c>
      <c r="X58" s="80" t="s">
        <v>40</v>
      </c>
      <c r="AE58" t="str">
        <f t="shared" si="54"/>
        <v>AFM-SpHeat_STE1</v>
      </c>
      <c r="AJ58" t="e">
        <f t="shared" si="20"/>
        <v>#VALUE!</v>
      </c>
      <c r="AK58" s="57" t="s">
        <v>182</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39</v>
      </c>
      <c r="X59" s="80" t="s">
        <v>40</v>
      </c>
      <c r="AE59" t="str">
        <f t="shared" si="54"/>
        <v>AFM-SpHeat_COA1</v>
      </c>
      <c r="AJ59" t="e">
        <f t="shared" si="20"/>
        <v>#VALUE!</v>
      </c>
      <c r="AK59" s="57" t="s">
        <v>182</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39</v>
      </c>
      <c r="X60" s="80" t="s">
        <v>40</v>
      </c>
      <c r="AE60" t="str">
        <f t="shared" si="54"/>
        <v>OTH-SpHeat_ELE1</v>
      </c>
      <c r="AJ60" t="e">
        <f t="shared" si="20"/>
        <v>#VALUE!</v>
      </c>
      <c r="AK60" s="57" t="s">
        <v>182</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39</v>
      </c>
      <c r="X61" s="80" t="s">
        <v>40</v>
      </c>
      <c r="AE61" t="str">
        <f t="shared" si="54"/>
        <v>OTH-SpHeat_GAS1</v>
      </c>
      <c r="AJ61" t="e">
        <f t="shared" si="20"/>
        <v>#VALUE!</v>
      </c>
      <c r="AK61" s="57" t="s">
        <v>182</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39</v>
      </c>
      <c r="X62" s="80" t="s">
        <v>40</v>
      </c>
      <c r="AE62" t="str">
        <f t="shared" si="54"/>
        <v>OTH-SpHeat_LFO1</v>
      </c>
      <c r="AJ62" t="e">
        <f t="shared" si="20"/>
        <v>#VALUE!</v>
      </c>
      <c r="AK62" s="57" t="s">
        <v>182</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39</v>
      </c>
      <c r="X63" s="80" t="s">
        <v>40</v>
      </c>
      <c r="AE63" t="str">
        <f t="shared" si="54"/>
        <v>OTH-SpHeat_HFO1</v>
      </c>
      <c r="AJ63" t="e">
        <f t="shared" si="20"/>
        <v>#VALUE!</v>
      </c>
      <c r="AK63" s="57" t="s">
        <v>182</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39</v>
      </c>
      <c r="X64" s="80" t="s">
        <v>40</v>
      </c>
      <c r="AE64" t="str">
        <f t="shared" si="54"/>
        <v>OTH-SpHeat_STE1</v>
      </c>
      <c r="AJ64" t="e">
        <f t="shared" si="20"/>
        <v>#VALUE!</v>
      </c>
      <c r="AK64" s="57" t="s">
        <v>182</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39</v>
      </c>
      <c r="X65" s="80" t="s">
        <v>40</v>
      </c>
      <c r="AE65" t="str">
        <f t="shared" si="54"/>
        <v>OTH-SpHeat_COA1</v>
      </c>
      <c r="AJ65" t="e">
        <f t="shared" si="20"/>
        <v>#VALUE!</v>
      </c>
      <c r="AK65" s="57" t="s">
        <v>182</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39</v>
      </c>
      <c r="X66" s="80" t="s">
        <v>40</v>
      </c>
      <c r="AE66" t="str">
        <f t="shared" si="54"/>
        <v>WST-SpCool_ELE1</v>
      </c>
      <c r="AJ66">
        <f>'[6]TechSpaceCooling-COM'!$U$79</f>
        <v>0.0134159728442635</v>
      </c>
      <c r="AK66" s="57" t="s">
        <v>183</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39</v>
      </c>
      <c r="X67" s="80" t="s">
        <v>40</v>
      </c>
      <c r="AE67" t="str">
        <f t="shared" si="54"/>
        <v>WST-SpCool_GAS1</v>
      </c>
      <c r="AJ67">
        <f>'[6]TechSpaceCooling-COM'!$U$80</f>
        <v>0.0134159728442635</v>
      </c>
      <c r="AK67" s="57" t="s">
        <v>183</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39</v>
      </c>
      <c r="X68" s="80" t="s">
        <v>40</v>
      </c>
      <c r="AE68" t="str">
        <f t="shared" si="54"/>
        <v>RTS-SpCool_ELE1</v>
      </c>
      <c r="AJ68">
        <f>AJ66</f>
        <v>0.0134159728442635</v>
      </c>
      <c r="AK68" s="57" t="s">
        <v>183</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39</v>
      </c>
      <c r="X69" s="80" t="s">
        <v>40</v>
      </c>
      <c r="AE69" t="str">
        <f t="shared" si="54"/>
        <v>RTS-SpCool_GAS1</v>
      </c>
      <c r="AJ69">
        <f>AJ67</f>
        <v>0.0134159728442635</v>
      </c>
      <c r="AK69" s="57" t="s">
        <v>183</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39</v>
      </c>
      <c r="X70" s="80" t="s">
        <v>40</v>
      </c>
      <c r="AE70" t="str">
        <f t="shared" si="54"/>
        <v>TWS-SpCool_ELE1</v>
      </c>
      <c r="AJ70">
        <f t="shared" ref="AJ70:AJ85" si="69">AJ68</f>
        <v>0.0134159728442635</v>
      </c>
      <c r="AK70" s="57" t="s">
        <v>183</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39</v>
      </c>
      <c r="X71" s="80" t="s">
        <v>40</v>
      </c>
      <c r="AE71" t="str">
        <f t="shared" si="54"/>
        <v>TWS-SpCool_GAS1</v>
      </c>
      <c r="AJ71">
        <f t="shared" si="69"/>
        <v>0.0134159728442635</v>
      </c>
      <c r="AK71" s="57" t="s">
        <v>183</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39</v>
      </c>
      <c r="X72" s="80" t="s">
        <v>40</v>
      </c>
      <c r="AE72" t="str">
        <f t="shared" ref="AE72:AE90" si="72">B212</f>
        <v>ICS-SpCool_ELE1</v>
      </c>
      <c r="AJ72">
        <f t="shared" si="69"/>
        <v>0.0134159728442635</v>
      </c>
      <c r="AK72" s="57" t="s">
        <v>183</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39</v>
      </c>
      <c r="X73" s="80" t="s">
        <v>40</v>
      </c>
      <c r="AE73" t="str">
        <f t="shared" si="72"/>
        <v>ICS-SpCool_GAS1</v>
      </c>
      <c r="AJ73">
        <f t="shared" si="69"/>
        <v>0.0134159728442635</v>
      </c>
      <c r="AK73" s="57" t="s">
        <v>183</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39</v>
      </c>
      <c r="X74" s="80" t="s">
        <v>40</v>
      </c>
      <c r="AE74" t="str">
        <f t="shared" si="72"/>
        <v>OS-SpCool_ELE1</v>
      </c>
      <c r="AJ74">
        <f t="shared" si="69"/>
        <v>0.0134159728442635</v>
      </c>
      <c r="AK74" s="57" t="s">
        <v>183</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39</v>
      </c>
      <c r="X75" s="80" t="s">
        <v>40</v>
      </c>
      <c r="AE75" t="str">
        <f t="shared" si="72"/>
        <v>OS-SpCool_GAS1</v>
      </c>
      <c r="AJ75">
        <f t="shared" si="69"/>
        <v>0.0134159728442635</v>
      </c>
      <c r="AK75" s="57" t="s">
        <v>183</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39</v>
      </c>
      <c r="X76" s="80" t="s">
        <v>40</v>
      </c>
      <c r="AE76" t="str">
        <f t="shared" si="72"/>
        <v>EDU-SpCool_ELE1</v>
      </c>
      <c r="AJ76">
        <f t="shared" si="69"/>
        <v>0.0134159728442635</v>
      </c>
      <c r="AK76" s="57" t="s">
        <v>183</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39</v>
      </c>
      <c r="X77" s="80" t="s">
        <v>40</v>
      </c>
      <c r="AE77" t="str">
        <f t="shared" si="72"/>
        <v>EDU-SpCool_GAS1</v>
      </c>
      <c r="AJ77">
        <f t="shared" si="69"/>
        <v>0.0134159728442635</v>
      </c>
      <c r="AK77" s="57" t="s">
        <v>183</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39</v>
      </c>
      <c r="X78" s="80" t="s">
        <v>40</v>
      </c>
      <c r="AE78" t="str">
        <f t="shared" si="72"/>
        <v>HSS-SpCool_ELE1</v>
      </c>
      <c r="AJ78">
        <f t="shared" si="69"/>
        <v>0.0134159728442635</v>
      </c>
      <c r="AK78" s="57" t="s">
        <v>183</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39</v>
      </c>
      <c r="X79" s="80" t="s">
        <v>40</v>
      </c>
      <c r="AE79" t="str">
        <f t="shared" si="72"/>
        <v>HSS-SpCool_GAS1</v>
      </c>
      <c r="AJ79">
        <f t="shared" si="69"/>
        <v>0.0134159728442635</v>
      </c>
      <c r="AK79" s="57" t="s">
        <v>183</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39</v>
      </c>
      <c r="X80" s="80" t="s">
        <v>40</v>
      </c>
      <c r="AE80" t="str">
        <f t="shared" si="72"/>
        <v>ART-SpCool_ELE1</v>
      </c>
      <c r="AJ80">
        <f t="shared" si="69"/>
        <v>0.0134159728442635</v>
      </c>
      <c r="AK80" s="57" t="s">
        <v>183</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39</v>
      </c>
      <c r="X81" s="80" t="s">
        <v>40</v>
      </c>
      <c r="AE81" t="str">
        <f t="shared" si="72"/>
        <v>ART-SpCool_GAS1</v>
      </c>
      <c r="AJ81">
        <f t="shared" si="69"/>
        <v>0.0134159728442635</v>
      </c>
      <c r="AK81" s="57" t="s">
        <v>183</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39</v>
      </c>
      <c r="X82" s="80" t="s">
        <v>40</v>
      </c>
      <c r="AE82" t="str">
        <f t="shared" si="72"/>
        <v>AFM-SpCool_ELE1</v>
      </c>
      <c r="AJ82">
        <f t="shared" si="69"/>
        <v>0.0134159728442635</v>
      </c>
      <c r="AK82" s="57" t="s">
        <v>183</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39</v>
      </c>
      <c r="X83" s="80" t="s">
        <v>40</v>
      </c>
      <c r="AE83" t="str">
        <f t="shared" si="72"/>
        <v>AFM-SpCool_GAS1</v>
      </c>
      <c r="AJ83">
        <f t="shared" si="69"/>
        <v>0.0134159728442635</v>
      </c>
      <c r="AK83" s="57" t="s">
        <v>183</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39</v>
      </c>
      <c r="X84" s="80" t="s">
        <v>40</v>
      </c>
      <c r="AE84" t="str">
        <f t="shared" si="72"/>
        <v>OTH-SpCool_ELE1</v>
      </c>
      <c r="AJ84">
        <f t="shared" si="69"/>
        <v>0.0134159728442635</v>
      </c>
      <c r="AK84" s="57" t="s">
        <v>183</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39</v>
      </c>
      <c r="X85" s="80" t="s">
        <v>40</v>
      </c>
      <c r="AE85" t="str">
        <f t="shared" si="72"/>
        <v>OTH-SpCool_GAS1</v>
      </c>
      <c r="AJ85">
        <f t="shared" si="69"/>
        <v>0.0134159728442635</v>
      </c>
      <c r="AK85" s="57" t="s">
        <v>183</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39</v>
      </c>
      <c r="X86" s="80" t="s">
        <v>40</v>
      </c>
      <c r="AE86" s="42" t="s">
        <v>373</v>
      </c>
      <c r="AF86" s="87" t="s">
        <v>256</v>
      </c>
      <c r="AG86" s="87"/>
      <c r="AJ86" t="e">
        <f>AVERAGE(AJ6:AJ11)</f>
        <v>#VALUE!</v>
      </c>
      <c r="AK86" s="57" t="s">
        <v>182</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39</v>
      </c>
      <c r="X87" s="80" t="s">
        <v>40</v>
      </c>
      <c r="AE87" s="42"/>
      <c r="AF87" s="42"/>
      <c r="AG87" s="89" t="s">
        <v>184</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39</v>
      </c>
      <c r="X88" s="80" t="s">
        <v>40</v>
      </c>
      <c r="AE88" s="41" t="s">
        <v>376</v>
      </c>
      <c r="AF88" s="88" t="s">
        <v>256</v>
      </c>
      <c r="AG88" s="88"/>
      <c r="AJ88" t="e">
        <f>AJ86</f>
        <v>#VALUE!</v>
      </c>
      <c r="AK88" s="57" t="s">
        <v>182</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39</v>
      </c>
      <c r="X89" s="80" t="s">
        <v>40</v>
      </c>
      <c r="AE89" s="41"/>
      <c r="AF89" s="41"/>
      <c r="AG89" s="90" t="s">
        <v>184</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39</v>
      </c>
      <c r="X90" s="80" t="s">
        <v>40</v>
      </c>
      <c r="AE90" s="41" t="s">
        <v>379</v>
      </c>
      <c r="AF90" s="88" t="s">
        <v>256</v>
      </c>
      <c r="AG90" s="88"/>
      <c r="AJ90" t="e">
        <f>AJ88</f>
        <v>#VALUE!</v>
      </c>
      <c r="AK90" s="57" t="s">
        <v>182</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39</v>
      </c>
      <c r="X91" s="80" t="s">
        <v>40</v>
      </c>
      <c r="AE91" s="41"/>
      <c r="AF91" s="41"/>
      <c r="AG91" s="90" t="s">
        <v>184</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39</v>
      </c>
      <c r="X92" s="80" t="s">
        <v>40</v>
      </c>
      <c r="AE92" s="41" t="s">
        <v>383</v>
      </c>
      <c r="AF92" s="88" t="s">
        <v>256</v>
      </c>
      <c r="AG92" s="88"/>
      <c r="AJ92" t="e">
        <f>AJ90</f>
        <v>#VALUE!</v>
      </c>
      <c r="AK92" s="57" t="s">
        <v>182</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39</v>
      </c>
      <c r="X93" s="80" t="s">
        <v>40</v>
      </c>
      <c r="AE93" s="41"/>
      <c r="AF93" s="41"/>
      <c r="AG93" s="90" t="s">
        <v>184</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39</v>
      </c>
      <c r="X94" s="80" t="s">
        <v>40</v>
      </c>
      <c r="AE94" s="41" t="s">
        <v>386</v>
      </c>
      <c r="AF94" s="88" t="s">
        <v>256</v>
      </c>
      <c r="AG94" s="88"/>
      <c r="AJ94" t="e">
        <f>AJ92</f>
        <v>#VALUE!</v>
      </c>
      <c r="AK94" s="57" t="s">
        <v>182</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39</v>
      </c>
      <c r="X95" s="80" t="s">
        <v>40</v>
      </c>
      <c r="AE95" s="41"/>
      <c r="AF95" s="41"/>
      <c r="AG95" s="90" t="s">
        <v>184</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39</v>
      </c>
      <c r="X96" s="80" t="s">
        <v>40</v>
      </c>
      <c r="AE96" s="41" t="s">
        <v>389</v>
      </c>
      <c r="AF96" s="88" t="s">
        <v>256</v>
      </c>
      <c r="AG96" s="88"/>
      <c r="AJ96" t="e">
        <f>AJ94</f>
        <v>#VALUE!</v>
      </c>
      <c r="AK96" s="57" t="s">
        <v>182</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39</v>
      </c>
      <c r="X97" s="80" t="s">
        <v>40</v>
      </c>
      <c r="AE97" s="41"/>
      <c r="AF97" s="41"/>
      <c r="AG97" s="90" t="s">
        <v>184</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39</v>
      </c>
      <c r="X98" s="80" t="s">
        <v>40</v>
      </c>
      <c r="AE98" s="41" t="s">
        <v>393</v>
      </c>
      <c r="AF98" s="88" t="s">
        <v>256</v>
      </c>
      <c r="AG98" s="88"/>
      <c r="AJ98" t="e">
        <f>AJ96</f>
        <v>#VALUE!</v>
      </c>
      <c r="AK98" s="57" t="s">
        <v>182</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39</v>
      </c>
      <c r="X99" s="80" t="s">
        <v>40</v>
      </c>
      <c r="AE99" s="41"/>
      <c r="AF99" s="41"/>
      <c r="AG99" s="90" t="s">
        <v>184</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39</v>
      </c>
      <c r="X100" s="80" t="s">
        <v>40</v>
      </c>
      <c r="AE100" s="41" t="s">
        <v>396</v>
      </c>
      <c r="AF100" s="88" t="s">
        <v>256</v>
      </c>
      <c r="AG100" s="88"/>
      <c r="AJ100" t="e">
        <f>AJ98</f>
        <v>#VALUE!</v>
      </c>
      <c r="AK100" s="57" t="s">
        <v>182</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39</v>
      </c>
      <c r="X101" s="80" t="s">
        <v>40</v>
      </c>
      <c r="AE101" s="41"/>
      <c r="AF101" s="41"/>
      <c r="AG101" s="90" t="s">
        <v>184</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39</v>
      </c>
      <c r="X102" s="80" t="s">
        <v>40</v>
      </c>
      <c r="AE102" s="41" t="s">
        <v>399</v>
      </c>
      <c r="AF102" s="88" t="s">
        <v>256</v>
      </c>
      <c r="AG102" s="88"/>
      <c r="AJ102" t="e">
        <f>AJ100</f>
        <v>#VALUE!</v>
      </c>
      <c r="AK102" s="57" t="s">
        <v>182</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39</v>
      </c>
      <c r="X103" s="80" t="s">
        <v>40</v>
      </c>
      <c r="AE103" s="41"/>
      <c r="AF103" s="41"/>
      <c r="AG103" s="90" t="s">
        <v>184</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39</v>
      </c>
      <c r="X104" s="80" t="s">
        <v>40</v>
      </c>
      <c r="AE104" s="41" t="s">
        <v>403</v>
      </c>
      <c r="AF104" s="88" t="s">
        <v>256</v>
      </c>
      <c r="AG104" s="88"/>
      <c r="AJ104" t="e">
        <f>AJ102</f>
        <v>#VALUE!</v>
      </c>
      <c r="AK104" s="57" t="s">
        <v>182</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39</v>
      </c>
      <c r="X105" s="80" t="s">
        <v>40</v>
      </c>
      <c r="AE105" s="41"/>
      <c r="AF105" s="41"/>
      <c r="AG105" s="90" t="s">
        <v>184</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39</v>
      </c>
      <c r="X106" s="80" t="s">
        <v>40</v>
      </c>
      <c r="AE106" t="s">
        <v>406</v>
      </c>
      <c r="AF106" t="s">
        <v>256</v>
      </c>
      <c r="AH106" t="s">
        <v>407</v>
      </c>
      <c r="AJ106">
        <f>AVERAGE(AJ82,AJ83)</f>
        <v>0.0134159728442635</v>
      </c>
      <c r="AK106" s="57" t="s">
        <v>183</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39</v>
      </c>
      <c r="X107" s="80" t="s">
        <v>40</v>
      </c>
      <c r="AG107" t="s">
        <v>184</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39</v>
      </c>
      <c r="X108" s="80" t="s">
        <v>40</v>
      </c>
      <c r="AE108" t="s">
        <v>410</v>
      </c>
      <c r="AF108" t="s">
        <v>256</v>
      </c>
      <c r="AH108" t="s">
        <v>411</v>
      </c>
      <c r="AJ108">
        <f t="shared" ref="AJ108:AJ112" si="110">AJ106</f>
        <v>0.0134159728442635</v>
      </c>
      <c r="AK108" s="57" t="s">
        <v>183</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39</v>
      </c>
      <c r="X109" s="80" t="s">
        <v>40</v>
      </c>
      <c r="AG109" t="s">
        <v>184</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39</v>
      </c>
      <c r="X110" s="80" t="s">
        <v>40</v>
      </c>
      <c r="AE110" t="s">
        <v>415</v>
      </c>
      <c r="AF110" t="s">
        <v>256</v>
      </c>
      <c r="AH110" t="s">
        <v>416</v>
      </c>
      <c r="AJ110">
        <f t="shared" si="110"/>
        <v>0.0134159728442635</v>
      </c>
      <c r="AK110" s="57" t="s">
        <v>183</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39</v>
      </c>
      <c r="X111" s="80" t="s">
        <v>40</v>
      </c>
      <c r="AG111" t="s">
        <v>184</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39</v>
      </c>
      <c r="X112" s="80" t="s">
        <v>40</v>
      </c>
      <c r="AE112" t="s">
        <v>419</v>
      </c>
      <c r="AF112" t="s">
        <v>256</v>
      </c>
      <c r="AH112" t="s">
        <v>420</v>
      </c>
      <c r="AJ112">
        <f t="shared" si="110"/>
        <v>0.0134159728442635</v>
      </c>
      <c r="AK112" s="57" t="s">
        <v>183</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39</v>
      </c>
      <c r="X113" s="80" t="s">
        <v>40</v>
      </c>
      <c r="AG113" t="s">
        <v>184</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39</v>
      </c>
      <c r="X114" s="80" t="s">
        <v>40</v>
      </c>
      <c r="AE114" t="s">
        <v>423</v>
      </c>
      <c r="AF114" t="s">
        <v>256</v>
      </c>
      <c r="AH114" t="s">
        <v>424</v>
      </c>
      <c r="AJ114">
        <f t="shared" ref="AJ114:AJ118" si="118">AJ112</f>
        <v>0.0134159728442635</v>
      </c>
      <c r="AK114" s="57" t="s">
        <v>183</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39</v>
      </c>
      <c r="X115" s="80" t="s">
        <v>40</v>
      </c>
      <c r="AG115" t="s">
        <v>184</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39</v>
      </c>
      <c r="X116" s="80" t="s">
        <v>40</v>
      </c>
      <c r="AE116" t="s">
        <v>428</v>
      </c>
      <c r="AF116" t="s">
        <v>256</v>
      </c>
      <c r="AH116" t="s">
        <v>429</v>
      </c>
      <c r="AJ116">
        <f t="shared" si="118"/>
        <v>0.0134159728442635</v>
      </c>
      <c r="AK116" s="57" t="s">
        <v>183</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39</v>
      </c>
      <c r="X117" s="80" t="s">
        <v>40</v>
      </c>
      <c r="AG117" t="s">
        <v>184</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39</v>
      </c>
      <c r="X118" s="80" t="s">
        <v>40</v>
      </c>
      <c r="AE118" t="s">
        <v>432</v>
      </c>
      <c r="AF118" t="s">
        <v>256</v>
      </c>
      <c r="AH118" t="s">
        <v>433</v>
      </c>
      <c r="AJ118">
        <f t="shared" si="118"/>
        <v>0.0134159728442635</v>
      </c>
      <c r="AK118" s="57" t="s">
        <v>183</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39</v>
      </c>
      <c r="X119" s="80" t="s">
        <v>40</v>
      </c>
      <c r="AG119" t="s">
        <v>184</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39</v>
      </c>
      <c r="X120" s="80" t="s">
        <v>40</v>
      </c>
      <c r="AE120" t="s">
        <v>436</v>
      </c>
      <c r="AF120" t="s">
        <v>256</v>
      </c>
      <c r="AH120" t="s">
        <v>437</v>
      </c>
      <c r="AJ120">
        <f t="shared" ref="AJ120:AJ124" si="126">AJ118</f>
        <v>0.0134159728442635</v>
      </c>
      <c r="AK120" s="57" t="s">
        <v>183</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39</v>
      </c>
      <c r="X121" s="80" t="s">
        <v>40</v>
      </c>
      <c r="AG121" t="s">
        <v>184</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39</v>
      </c>
      <c r="X122" s="80" t="s">
        <v>40</v>
      </c>
      <c r="AE122" t="s">
        <v>441</v>
      </c>
      <c r="AF122" t="s">
        <v>256</v>
      </c>
      <c r="AH122" t="s">
        <v>442</v>
      </c>
      <c r="AJ122">
        <f t="shared" si="126"/>
        <v>0.0134159728442635</v>
      </c>
      <c r="AK122" s="57" t="s">
        <v>183</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39</v>
      </c>
      <c r="X123" s="80" t="s">
        <v>40</v>
      </c>
      <c r="AG123" t="s">
        <v>184</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39</v>
      </c>
      <c r="X124" s="80" t="s">
        <v>40</v>
      </c>
      <c r="AE124" t="s">
        <v>445</v>
      </c>
      <c r="AF124" t="s">
        <v>256</v>
      </c>
      <c r="AH124" t="s">
        <v>446</v>
      </c>
      <c r="AJ124">
        <f t="shared" si="126"/>
        <v>0.0134159728442635</v>
      </c>
      <c r="AK124" s="57" t="s">
        <v>183</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39</v>
      </c>
      <c r="X125" s="80" t="s">
        <v>40</v>
      </c>
      <c r="AG125" t="s">
        <v>184</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39</v>
      </c>
      <c r="X126" s="80" t="s">
        <v>40</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39</v>
      </c>
      <c r="X127" s="80" t="s">
        <v>40</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39</v>
      </c>
      <c r="X128" s="80" t="s">
        <v>40</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39</v>
      </c>
      <c r="X129" s="80" t="s">
        <v>40</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39</v>
      </c>
      <c r="X130" s="80" t="s">
        <v>40</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39</v>
      </c>
      <c r="X131" s="80" t="s">
        <v>40</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39</v>
      </c>
      <c r="X132" s="80" t="s">
        <v>40</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39</v>
      </c>
      <c r="X133" s="80" t="s">
        <v>40</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39</v>
      </c>
      <c r="X134" s="80" t="s">
        <v>40</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39</v>
      </c>
      <c r="X135" s="80" t="s">
        <v>40</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39</v>
      </c>
      <c r="X136" s="80" t="s">
        <v>40</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39</v>
      </c>
      <c r="X137" s="80" t="s">
        <v>40</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39</v>
      </c>
      <c r="X138" s="80" t="s">
        <v>40</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39</v>
      </c>
      <c r="X139" s="80" t="s">
        <v>40</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39</v>
      </c>
      <c r="X140" s="80" t="s">
        <v>40</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39</v>
      </c>
      <c r="X141" s="80" t="s">
        <v>40</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39</v>
      </c>
      <c r="X142" s="80" t="s">
        <v>40</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39</v>
      </c>
      <c r="X143" s="80" t="s">
        <v>40</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39</v>
      </c>
      <c r="X144" s="80" t="s">
        <v>40</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39</v>
      </c>
      <c r="X145" s="80" t="s">
        <v>40</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39</v>
      </c>
      <c r="X146" s="80" t="s">
        <v>40</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39</v>
      </c>
      <c r="X147" s="80" t="s">
        <v>40</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39</v>
      </c>
      <c r="X148" s="80" t="s">
        <v>40</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39</v>
      </c>
      <c r="X149" s="80" t="s">
        <v>40</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39</v>
      </c>
      <c r="X150" s="80" t="s">
        <v>40</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39</v>
      </c>
      <c r="X151" s="80" t="s">
        <v>40</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39</v>
      </c>
      <c r="X152" s="80" t="s">
        <v>40</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39</v>
      </c>
      <c r="X153" s="80" t="s">
        <v>40</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39</v>
      </c>
      <c r="X154" s="80" t="s">
        <v>40</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39</v>
      </c>
      <c r="X155" s="80" t="s">
        <v>40</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39</v>
      </c>
      <c r="X156" s="80" t="s">
        <v>40</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39</v>
      </c>
      <c r="X157" s="80" t="s">
        <v>40</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39</v>
      </c>
      <c r="X158" s="80" t="s">
        <v>40</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39</v>
      </c>
      <c r="X159" s="80" t="s">
        <v>40</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39</v>
      </c>
      <c r="X160" s="80" t="s">
        <v>40</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39</v>
      </c>
      <c r="X161" s="80" t="s">
        <v>40</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39</v>
      </c>
      <c r="X162" s="80" t="s">
        <v>40</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39</v>
      </c>
      <c r="X163" s="80" t="s">
        <v>40</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39</v>
      </c>
      <c r="X164" s="80" t="s">
        <v>40</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39</v>
      </c>
      <c r="X165" s="80" t="s">
        <v>40</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39</v>
      </c>
      <c r="X166" s="80" t="s">
        <v>40</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39</v>
      </c>
      <c r="X167" s="80" t="s">
        <v>40</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39</v>
      </c>
      <c r="X168" s="80" t="s">
        <v>40</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39</v>
      </c>
      <c r="X169" s="80" t="s">
        <v>40</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39</v>
      </c>
      <c r="X170" s="80" t="s">
        <v>40</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39</v>
      </c>
      <c r="X171" s="80" t="s">
        <v>40</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39</v>
      </c>
      <c r="X172" s="80" t="s">
        <v>40</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39</v>
      </c>
      <c r="X173" s="80" t="s">
        <v>40</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39</v>
      </c>
      <c r="X174" s="80" t="s">
        <v>40</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39</v>
      </c>
      <c r="X175" s="80" t="s">
        <v>40</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39</v>
      </c>
      <c r="X176" s="80" t="s">
        <v>40</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39</v>
      </c>
      <c r="X177" s="80" t="s">
        <v>40</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39</v>
      </c>
      <c r="X178" s="80" t="s">
        <v>40</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39</v>
      </c>
      <c r="X179" s="80" t="s">
        <v>40</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39</v>
      </c>
      <c r="X180" s="80" t="s">
        <v>40</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39</v>
      </c>
      <c r="X181" s="80" t="s">
        <v>40</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39</v>
      </c>
      <c r="X182" s="80" t="s">
        <v>40</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39</v>
      </c>
      <c r="X183" s="80" t="s">
        <v>40</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39</v>
      </c>
      <c r="X184" s="80" t="s">
        <v>40</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39</v>
      </c>
      <c r="X185" s="80" t="s">
        <v>40</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39</v>
      </c>
      <c r="X186" s="80" t="s">
        <v>40</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39</v>
      </c>
      <c r="X187" s="80" t="s">
        <v>40</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39</v>
      </c>
      <c r="X188" s="80" t="s">
        <v>40</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39</v>
      </c>
      <c r="X189" s="80" t="s">
        <v>40</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39</v>
      </c>
      <c r="X190" s="80" t="s">
        <v>40</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39</v>
      </c>
      <c r="X191" s="80" t="s">
        <v>40</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39</v>
      </c>
      <c r="X192" s="80" t="s">
        <v>40</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39</v>
      </c>
      <c r="X193" s="80" t="s">
        <v>40</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39</v>
      </c>
      <c r="X194" s="80" t="s">
        <v>40</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39</v>
      </c>
      <c r="X195" s="80" t="s">
        <v>40</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39</v>
      </c>
      <c r="X196" s="80" t="s">
        <v>40</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39</v>
      </c>
      <c r="X197" s="80" t="s">
        <v>40</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39</v>
      </c>
      <c r="X198" s="80" t="s">
        <v>40</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39</v>
      </c>
      <c r="X199" s="80" t="s">
        <v>40</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39</v>
      </c>
      <c r="X200" s="80" t="s">
        <v>40</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39</v>
      </c>
      <c r="X201" s="80" t="s">
        <v>40</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39</v>
      </c>
      <c r="X202" s="80" t="s">
        <v>40</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39</v>
      </c>
      <c r="X203" s="80" t="s">
        <v>40</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39</v>
      </c>
      <c r="X204" s="80" t="s">
        <v>40</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39</v>
      </c>
      <c r="X205" s="80" t="s">
        <v>40</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39</v>
      </c>
      <c r="X206" s="80" t="s">
        <v>40</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39</v>
      </c>
      <c r="X207" s="80" t="s">
        <v>40</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39</v>
      </c>
      <c r="X208" s="80" t="s">
        <v>40</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39</v>
      </c>
      <c r="X209" s="80" t="s">
        <v>40</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39</v>
      </c>
      <c r="X210" s="80" t="s">
        <v>40</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39</v>
      </c>
      <c r="X211" s="80" t="s">
        <v>40</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39</v>
      </c>
      <c r="X212" s="80" t="s">
        <v>40</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39</v>
      </c>
      <c r="X213" s="80" t="s">
        <v>40</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39</v>
      </c>
      <c r="X214" s="80" t="s">
        <v>40</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39</v>
      </c>
      <c r="X215" s="80" t="s">
        <v>40</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39</v>
      </c>
      <c r="X216" s="80" t="s">
        <v>40</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39</v>
      </c>
      <c r="X217" s="80" t="s">
        <v>40</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39</v>
      </c>
      <c r="X218" s="80" t="s">
        <v>40</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39</v>
      </c>
      <c r="X219" s="80" t="s">
        <v>40</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39</v>
      </c>
      <c r="X220" s="80" t="s">
        <v>40</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39</v>
      </c>
      <c r="X221" s="80" t="s">
        <v>40</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39</v>
      </c>
      <c r="X222" s="80" t="s">
        <v>40</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39</v>
      </c>
      <c r="X223" s="80" t="s">
        <v>40</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39</v>
      </c>
      <c r="X224" s="80" t="s">
        <v>40</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39</v>
      </c>
      <c r="X225" s="80" t="s">
        <v>40</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39</v>
      </c>
      <c r="X226" s="88" t="s">
        <v>40</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39</v>
      </c>
      <c r="X227" s="88" t="s">
        <v>40</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39</v>
      </c>
      <c r="X228" s="88" t="s">
        <v>40</v>
      </c>
    </row>
    <row r="229" spans="2:24">
      <c r="B229" s="95"/>
      <c r="C229" s="95" t="s">
        <v>184</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39</v>
      </c>
      <c r="X229" s="88" t="s">
        <v>40</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39</v>
      </c>
      <c r="X230" s="88" t="s">
        <v>40</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39</v>
      </c>
      <c r="X231" s="88" t="s">
        <v>40</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39</v>
      </c>
      <c r="X232" s="88" t="s">
        <v>40</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39</v>
      </c>
      <c r="X233" s="88" t="s">
        <v>40</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39</v>
      </c>
      <c r="X234" s="88" t="s">
        <v>40</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39</v>
      </c>
      <c r="X235" s="88" t="s">
        <v>40</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39</v>
      </c>
      <c r="X236" s="88" t="s">
        <v>40</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39</v>
      </c>
      <c r="X237" s="88" t="s">
        <v>40</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39</v>
      </c>
      <c r="X238" s="88" t="s">
        <v>40</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39</v>
      </c>
      <c r="X239" s="88" t="s">
        <v>40</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39</v>
      </c>
      <c r="X240" s="88" t="s">
        <v>40</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39</v>
      </c>
      <c r="X241" s="88" t="s">
        <v>40</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39</v>
      </c>
      <c r="X242" s="88" t="s">
        <v>40</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39</v>
      </c>
      <c r="X243" s="88" t="s">
        <v>40</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39</v>
      </c>
      <c r="X244" s="88" t="s">
        <v>40</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39</v>
      </c>
      <c r="X245" s="88" t="s">
        <v>40</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39</v>
      </c>
      <c r="X246" s="88" t="s">
        <v>40</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39</v>
      </c>
      <c r="X247" s="88" t="s">
        <v>40</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39</v>
      </c>
      <c r="X248" s="88" t="s">
        <v>40</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39</v>
      </c>
      <c r="X249" s="88" t="s">
        <v>40</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39</v>
      </c>
      <c r="X250" s="88" t="s">
        <v>40</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39</v>
      </c>
      <c r="X251" s="88" t="s">
        <v>40</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39</v>
      </c>
      <c r="X252" s="88" t="s">
        <v>40</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39</v>
      </c>
      <c r="X253" s="88" t="s">
        <v>40</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39</v>
      </c>
      <c r="X254" s="88" t="s">
        <v>40</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39</v>
      </c>
      <c r="X255" s="88" t="s">
        <v>40</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topLeftCell="D1" workbookViewId="0">
      <selection activeCell="N8" sqref="N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571</v>
      </c>
      <c r="J6" s="45" t="s">
        <v>19</v>
      </c>
      <c r="K6" s="15" t="s">
        <v>20</v>
      </c>
      <c r="L6" s="15" t="s">
        <v>21</v>
      </c>
      <c r="M6" s="15" t="s">
        <v>22</v>
      </c>
      <c r="N6" s="15" t="s">
        <v>23</v>
      </c>
      <c r="O6" s="15" t="s">
        <v>24</v>
      </c>
      <c r="P6" s="15" t="s">
        <v>25</v>
      </c>
      <c r="Q6" s="49" t="s">
        <v>26</v>
      </c>
      <c r="R6" s="27" t="s">
        <v>27</v>
      </c>
      <c r="S6" s="50" t="s">
        <v>572</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573</v>
      </c>
      <c r="X7" s="53"/>
      <c r="Y7" s="53" t="s">
        <v>39</v>
      </c>
      <c r="Z7" s="53" t="s">
        <v>40</v>
      </c>
      <c r="AA7" s="53"/>
      <c r="AB7" s="53"/>
      <c r="AC7" s="53"/>
      <c r="AG7" t="str">
        <f>C7</f>
        <v>R_ES-SH-SD_GAS_hydrogen_HE1</v>
      </c>
      <c r="AK7">
        <f>AVERAGE(RSD!J155:J157)</f>
        <v>0.27644125731911</v>
      </c>
      <c r="AL7" s="57" t="s">
        <v>182</v>
      </c>
    </row>
    <row r="8" ht="175" spans="4:38">
      <c r="D8" s="46" t="s">
        <v>574</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39</v>
      </c>
      <c r="Z11" s="53" t="s">
        <v>40</v>
      </c>
      <c r="AA11" s="53"/>
      <c r="AB11" s="53"/>
      <c r="AC11" s="53"/>
      <c r="AG11" t="s">
        <v>577</v>
      </c>
      <c r="AK11" t="e">
        <f>COM!AJ7</f>
        <v>#VALUE!</v>
      </c>
      <c r="AL11" s="57" t="s">
        <v>182</v>
      </c>
    </row>
    <row r="12" ht="137.5" spans="4:38">
      <c r="D12" t="str">
        <f t="shared" ref="D12:D20" si="5">D8</f>
        <v>RSDSYNH2CT</v>
      </c>
      <c r="S12">
        <f t="shared" si="3"/>
        <v>0.2</v>
      </c>
      <c r="T12">
        <v>0</v>
      </c>
      <c r="W12" t="s">
        <v>18</v>
      </c>
      <c r="AA12" s="53"/>
      <c r="AG12" t="s">
        <v>578</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39</v>
      </c>
      <c r="Z15" s="53" t="s">
        <v>40</v>
      </c>
      <c r="AA15" s="53"/>
      <c r="AB15" s="53"/>
      <c r="AC15" s="53"/>
    </row>
    <row r="16" spans="3:27">
      <c r="C16" s="47"/>
      <c r="D16" t="str">
        <f>D14</f>
        <v>RSDSYNH2CT</v>
      </c>
      <c r="S16" s="54">
        <v>0.2</v>
      </c>
      <c r="T16">
        <v>0</v>
      </c>
      <c r="W16" t="s">
        <v>18</v>
      </c>
      <c r="AA16" s="53"/>
    </row>
    <row r="17" spans="3:29">
      <c r="C17" s="47" t="str">
        <f t="shared" ref="C16: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39</v>
      </c>
      <c r="Z71" s="53" t="s">
        <v>40</v>
      </c>
      <c r="AA71" s="53"/>
      <c r="AB71" s="53"/>
      <c r="AC71" s="53"/>
    </row>
    <row r="72" spans="4:27">
      <c r="D72" t="str">
        <f t="shared" si="42"/>
        <v>RSDSYNH2CT</v>
      </c>
      <c r="S72">
        <f>S70</f>
        <v>0.2</v>
      </c>
      <c r="T72">
        <f>T70</f>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39</v>
      </c>
      <c r="Z73" s="53" t="s">
        <v>40</v>
      </c>
      <c r="AA73" s="53"/>
      <c r="AB73" s="53"/>
      <c r="AC73" s="53"/>
    </row>
    <row r="74" spans="4:27">
      <c r="D74" t="str">
        <f t="shared" si="42"/>
        <v>RSDSYNH2CT</v>
      </c>
      <c r="S74">
        <f>S72</f>
        <v>0.2</v>
      </c>
      <c r="T74">
        <f>T72</f>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39</v>
      </c>
      <c r="Z75" s="53" t="s">
        <v>40</v>
      </c>
      <c r="AA75" s="53"/>
      <c r="AB75" s="53"/>
      <c r="AC75" s="53"/>
    </row>
    <row r="76" spans="4:27">
      <c r="D76" t="str">
        <f t="shared" si="42"/>
        <v>RSDSYNH2CT</v>
      </c>
      <c r="S76">
        <f>S74</f>
        <v>0.2</v>
      </c>
      <c r="T76">
        <f>T74</f>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39</v>
      </c>
      <c r="Z77" s="53" t="s">
        <v>40</v>
      </c>
      <c r="AA77" s="53"/>
      <c r="AB77" s="53"/>
      <c r="AC77" s="53"/>
    </row>
    <row r="78" spans="4:27">
      <c r="D78" t="str">
        <f t="shared" si="42"/>
        <v>RSDSYNH2CT</v>
      </c>
      <c r="S78">
        <f t="shared" si="47"/>
        <v>0.2</v>
      </c>
      <c r="T78">
        <f t="shared" si="48"/>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39</v>
      </c>
      <c r="Z79" s="53" t="s">
        <v>40</v>
      </c>
      <c r="AA79" s="53"/>
      <c r="AB79" s="53"/>
      <c r="AC79" s="53"/>
    </row>
    <row r="80" spans="4:27">
      <c r="D80" t="str">
        <f t="shared" si="42"/>
        <v>RSDSYNH2CT</v>
      </c>
      <c r="S80">
        <f t="shared" si="47"/>
        <v>0.2</v>
      </c>
      <c r="T80">
        <f t="shared" si="48"/>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39</v>
      </c>
      <c r="Z81" s="53" t="s">
        <v>40</v>
      </c>
      <c r="AA81" s="53"/>
      <c r="AB81" s="53"/>
      <c r="AC81" s="53"/>
    </row>
    <row r="82" spans="4:27">
      <c r="D82" t="str">
        <f t="shared" si="42"/>
        <v>RSDSYNH2CT</v>
      </c>
      <c r="S82">
        <f t="shared" si="47"/>
        <v>0.2</v>
      </c>
      <c r="T82">
        <f t="shared" si="48"/>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39</v>
      </c>
      <c r="Z83" s="53" t="s">
        <v>40</v>
      </c>
      <c r="AA83" s="53"/>
      <c r="AB83" s="53"/>
      <c r="AC83" s="53"/>
    </row>
    <row r="84" spans="4:27">
      <c r="D84" t="str">
        <f t="shared" si="42"/>
        <v>RSDSYNH2CT</v>
      </c>
      <c r="S84">
        <f t="shared" si="47"/>
        <v>0.2</v>
      </c>
      <c r="T84">
        <f t="shared" si="48"/>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39</v>
      </c>
      <c r="Z85" s="53" t="s">
        <v>40</v>
      </c>
      <c r="AA85" s="53"/>
      <c r="AB85" s="53"/>
      <c r="AC85" s="53"/>
    </row>
    <row r="86" spans="4:27">
      <c r="D86" t="str">
        <f t="shared" si="42"/>
        <v>RSDSYNH2CT</v>
      </c>
      <c r="S86">
        <f t="shared" si="47"/>
        <v>0.2</v>
      </c>
      <c r="T86">
        <f t="shared" si="48"/>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39</v>
      </c>
      <c r="Z87" s="53" t="s">
        <v>40</v>
      </c>
      <c r="AA87" s="53"/>
      <c r="AB87" s="53"/>
      <c r="AC87" s="53"/>
    </row>
    <row r="88" spans="4:27">
      <c r="D88" t="str">
        <f t="shared" si="42"/>
        <v>RSDSYNH2CT</v>
      </c>
      <c r="S88">
        <f t="shared" si="47"/>
        <v>0.2</v>
      </c>
      <c r="T88">
        <f t="shared" si="48"/>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39</v>
      </c>
      <c r="Z89" s="53" t="s">
        <v>40</v>
      </c>
      <c r="AA89" s="53"/>
      <c r="AB89" s="53"/>
      <c r="AC89" s="53"/>
    </row>
    <row r="90" spans="4:27">
      <c r="D90" t="str">
        <f t="shared" si="42"/>
        <v>RSDSYNH2CT</v>
      </c>
      <c r="S90">
        <f t="shared" si="47"/>
        <v>0.2</v>
      </c>
      <c r="T90">
        <f t="shared" si="48"/>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39</v>
      </c>
      <c r="Z91" s="53" t="s">
        <v>40</v>
      </c>
      <c r="AA91" s="53"/>
      <c r="AB91" s="53"/>
      <c r="AC91" s="53"/>
    </row>
    <row r="92" spans="4:27">
      <c r="D92" t="str">
        <f t="shared" si="42"/>
        <v>RSDSYNH2CT</v>
      </c>
      <c r="S92">
        <f t="shared" si="47"/>
        <v>0.2</v>
      </c>
      <c r="T92">
        <f t="shared" si="48"/>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39</v>
      </c>
      <c r="Z93" s="53" t="s">
        <v>40</v>
      </c>
      <c r="AA93" s="53"/>
      <c r="AB93" s="53"/>
      <c r="AC93" s="53"/>
    </row>
    <row r="94" spans="4:27">
      <c r="D94" t="str">
        <f t="shared" si="42"/>
        <v>RSDSYNH2CT</v>
      </c>
      <c r="S94">
        <f t="shared" si="47"/>
        <v>0.2</v>
      </c>
      <c r="T94">
        <f t="shared" si="48"/>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39</v>
      </c>
      <c r="Z95" s="53" t="s">
        <v>40</v>
      </c>
      <c r="AA95" s="53"/>
      <c r="AB95" s="53"/>
      <c r="AC95" s="53"/>
    </row>
    <row r="96" spans="4:27">
      <c r="D96" t="str">
        <f t="shared" si="42"/>
        <v>RSDSYNH2CT</v>
      </c>
      <c r="S96">
        <f t="shared" si="47"/>
        <v>0.2</v>
      </c>
      <c r="T96">
        <f t="shared" si="48"/>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39</v>
      </c>
      <c r="Z97" s="53" t="s">
        <v>40</v>
      </c>
      <c r="AA97" s="53"/>
      <c r="AB97" s="53"/>
      <c r="AC97" s="53"/>
    </row>
    <row r="98" spans="4:27">
      <c r="D98" t="str">
        <f t="shared" si="42"/>
        <v>RSDSYNH2CT</v>
      </c>
      <c r="S98">
        <f t="shared" si="47"/>
        <v>0.2</v>
      </c>
      <c r="T98">
        <f t="shared" si="48"/>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39</v>
      </c>
      <c r="Z99" s="53" t="s">
        <v>40</v>
      </c>
      <c r="AA99" s="53"/>
      <c r="AB99" s="53"/>
      <c r="AC99" s="53"/>
    </row>
    <row r="100" spans="4:27">
      <c r="D100" t="str">
        <f t="shared" si="42"/>
        <v>RSDSYNH2CT</v>
      </c>
      <c r="S100">
        <f t="shared" si="47"/>
        <v>0.2</v>
      </c>
      <c r="T100">
        <f t="shared" si="48"/>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39</v>
      </c>
      <c r="Z101" s="53" t="s">
        <v>40</v>
      </c>
      <c r="AA101" s="53"/>
      <c r="AB101" s="53"/>
      <c r="AC101" s="53"/>
    </row>
    <row r="102" spans="4:27">
      <c r="D102" t="str">
        <f t="shared" si="42"/>
        <v>RSDSYNH2CT</v>
      </c>
      <c r="S102">
        <f t="shared" si="47"/>
        <v>0.2</v>
      </c>
      <c r="T102">
        <f t="shared" si="48"/>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12</v>
      </c>
      <c r="D4" s="5" t="s">
        <v>13</v>
      </c>
      <c r="E4" s="5" t="s">
        <v>15</v>
      </c>
      <c r="F4" s="6" t="s">
        <v>16</v>
      </c>
      <c r="G4" s="7" t="s">
        <v>17</v>
      </c>
      <c r="H4" s="7" t="s">
        <v>19</v>
      </c>
      <c r="I4" s="7" t="s">
        <v>191</v>
      </c>
      <c r="J4" s="7"/>
      <c r="K4" s="7" t="s">
        <v>20</v>
      </c>
      <c r="L4" s="7" t="s">
        <v>21</v>
      </c>
      <c r="M4" s="7" t="s">
        <v>24</v>
      </c>
      <c r="N4" s="7" t="s">
        <v>25</v>
      </c>
      <c r="O4" s="25" t="s">
        <v>26</v>
      </c>
      <c r="P4" s="25" t="s">
        <v>27</v>
      </c>
      <c r="S4" s="31" t="s">
        <v>29</v>
      </c>
      <c r="T4" s="32" t="s">
        <v>196</v>
      </c>
      <c r="U4" s="31" t="s">
        <v>12</v>
      </c>
      <c r="V4" s="31" t="s">
        <v>30</v>
      </c>
      <c r="W4" s="31" t="s">
        <v>31</v>
      </c>
      <c r="X4" s="31" t="s">
        <v>32</v>
      </c>
      <c r="Y4" s="31" t="s">
        <v>33</v>
      </c>
      <c r="Z4" s="31" t="s">
        <v>34</v>
      </c>
      <c r="AA4" s="31" t="s">
        <v>197</v>
      </c>
    </row>
    <row r="5" s="2" customFormat="1" ht="40.75" spans="3:27">
      <c r="C5" s="8" t="s">
        <v>629</v>
      </c>
      <c r="D5" s="8" t="s">
        <v>199</v>
      </c>
      <c r="E5" s="8" t="s">
        <v>630</v>
      </c>
      <c r="F5" s="2">
        <v>2021</v>
      </c>
      <c r="G5" s="9">
        <v>0.1692</v>
      </c>
      <c r="H5" s="2">
        <v>1</v>
      </c>
      <c r="I5" s="2">
        <v>1</v>
      </c>
      <c r="K5" s="26">
        <v>4000</v>
      </c>
      <c r="L5" s="26">
        <f>K5/100</f>
        <v>40</v>
      </c>
      <c r="M5" s="26">
        <v>4000</v>
      </c>
      <c r="N5" s="26">
        <f>M5/100</f>
        <v>40</v>
      </c>
      <c r="O5" s="26">
        <v>30</v>
      </c>
      <c r="P5" s="2">
        <v>1</v>
      </c>
      <c r="S5" s="33" t="s">
        <v>201</v>
      </c>
      <c r="T5" s="33" t="s">
        <v>202</v>
      </c>
      <c r="U5" s="33" t="s">
        <v>203</v>
      </c>
      <c r="V5" s="33" t="s">
        <v>204</v>
      </c>
      <c r="W5" s="33" t="s">
        <v>205</v>
      </c>
      <c r="X5" s="33" t="s">
        <v>206</v>
      </c>
      <c r="Y5" s="33" t="s">
        <v>207</v>
      </c>
      <c r="Z5" s="33" t="s">
        <v>208</v>
      </c>
      <c r="AA5" s="33" t="s">
        <v>209</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634</v>
      </c>
      <c r="D7" s="8" t="s">
        <v>199</v>
      </c>
      <c r="E7" s="8" t="s">
        <v>635</v>
      </c>
      <c r="F7" s="2">
        <v>2021</v>
      </c>
      <c r="G7" s="9">
        <v>0.6251</v>
      </c>
      <c r="H7" s="2">
        <v>1</v>
      </c>
      <c r="I7" s="2">
        <v>1</v>
      </c>
      <c r="K7" s="26">
        <v>4000</v>
      </c>
      <c r="L7" s="26">
        <f t="shared" si="0"/>
        <v>40</v>
      </c>
      <c r="M7" s="26">
        <v>4000</v>
      </c>
      <c r="N7" s="26">
        <f t="shared" si="1"/>
        <v>40</v>
      </c>
      <c r="O7" s="26">
        <v>30</v>
      </c>
      <c r="P7" s="2">
        <v>1</v>
      </c>
      <c r="S7" s="36" t="s">
        <v>38</v>
      </c>
      <c r="T7" s="30"/>
      <c r="U7" s="8" t="s">
        <v>629</v>
      </c>
      <c r="V7" s="36"/>
      <c r="W7" s="30" t="s">
        <v>636</v>
      </c>
      <c r="X7" s="30" t="s">
        <v>637</v>
      </c>
      <c r="Y7" s="30"/>
      <c r="Z7" s="30" t="s">
        <v>215</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215</v>
      </c>
      <c r="AA8" s="30"/>
    </row>
    <row r="9" s="2" customFormat="1" spans="3:27">
      <c r="C9" s="8" t="s">
        <v>640</v>
      </c>
      <c r="D9" s="8" t="s">
        <v>211</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215</v>
      </c>
      <c r="AA9" s="30"/>
    </row>
    <row r="10" s="2" customFormat="1" spans="3:27">
      <c r="C10" s="8"/>
      <c r="D10" s="8" t="s">
        <v>644</v>
      </c>
      <c r="E10" s="8"/>
      <c r="K10" s="26"/>
      <c r="L10" s="26"/>
      <c r="M10" s="26"/>
      <c r="N10" s="26"/>
      <c r="O10" s="26"/>
      <c r="S10" s="30"/>
      <c r="T10" s="30"/>
      <c r="U10" s="8" t="s">
        <v>638</v>
      </c>
      <c r="V10" s="36"/>
      <c r="W10" s="30" t="s">
        <v>642</v>
      </c>
      <c r="X10" s="30" t="s">
        <v>643</v>
      </c>
      <c r="Y10" s="30"/>
      <c r="Z10" s="30" t="s">
        <v>215</v>
      </c>
      <c r="AA10" s="30"/>
    </row>
    <row r="11" s="2" customFormat="1" spans="3:27">
      <c r="C11" s="8" t="s">
        <v>645</v>
      </c>
      <c r="D11" s="8" t="s">
        <v>211</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215</v>
      </c>
      <c r="AA11" s="30"/>
    </row>
    <row r="12" s="2" customFormat="1" spans="3:27">
      <c r="C12" s="8" t="s">
        <v>647</v>
      </c>
      <c r="D12" s="8" t="s">
        <v>211</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215</v>
      </c>
      <c r="AA12" s="37"/>
    </row>
    <row r="13" spans="3:27">
      <c r="C13" s="10"/>
      <c r="D13" s="10"/>
      <c r="H13" s="11"/>
      <c r="K13" s="17"/>
      <c r="L13" s="17"/>
      <c r="M13" s="17"/>
      <c r="N13" s="17"/>
      <c r="O13" s="17"/>
      <c r="T13" s="10"/>
      <c r="U13" s="10" t="s">
        <v>647</v>
      </c>
      <c r="V13" s="39"/>
      <c r="W13" s="40" t="s">
        <v>636</v>
      </c>
      <c r="X13" s="40" t="s">
        <v>637</v>
      </c>
      <c r="Y13" s="40"/>
      <c r="Z13" s="40" t="s">
        <v>215</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649</v>
      </c>
      <c r="D18" s="10" t="s">
        <v>232</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232</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G12" sqref="G12"/>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2025-02-02T20:43:14Z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