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activeTab="4"/>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0"/>
          </rPr>
          <t>xli9:</t>
        </r>
        <r>
          <rPr>
            <sz val="9"/>
            <rFont val="Times New Roman"/>
            <charset val="0"/>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0"/>
          </rPr>
          <t>xli9:</t>
        </r>
        <r>
          <rPr>
            <sz val="9"/>
            <rFont val="Times New Roman"/>
            <charset val="0"/>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0"/>
          </rPr>
          <t>xli9:</t>
        </r>
        <r>
          <rPr>
            <sz val="9"/>
            <rFont val="Times New Roman"/>
            <charset val="0"/>
          </rPr>
          <t xml:space="preserve">
Through pipeline, like natural gas</t>
        </r>
      </text>
    </comment>
    <comment ref="T6" authorId="0">
      <text>
        <r>
          <rPr>
            <b/>
            <sz val="9"/>
            <rFont val="Times New Roman"/>
            <charset val="0"/>
          </rPr>
          <t>xli9:</t>
        </r>
        <r>
          <rPr>
            <sz val="9"/>
            <rFont val="Times New Roman"/>
            <charset val="0"/>
          </rPr>
          <t xml:space="preserve">
Assuming same with hydrogen production</t>
        </r>
      </text>
    </comment>
    <comment ref="C9" authorId="0">
      <text>
        <r>
          <rPr>
            <b/>
            <sz val="9"/>
            <rFont val="Times New Roman"/>
            <charset val="0"/>
          </rPr>
          <t>xli9:</t>
        </r>
        <r>
          <rPr>
            <sz val="9"/>
            <rFont val="Times New Roman"/>
            <charset val="0"/>
          </rPr>
          <t xml:space="preserve">
By using trucks</t>
        </r>
      </text>
    </comment>
    <comment ref="Q9" authorId="0">
      <text>
        <r>
          <rPr>
            <b/>
            <sz val="9"/>
            <rFont val="Times New Roman"/>
            <charset val="0"/>
          </rPr>
          <t>xli9:</t>
        </r>
        <r>
          <rPr>
            <sz val="9"/>
            <rFont val="Times New Roman"/>
            <charset val="0"/>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0"/>
          </rPr>
          <t>xli9:</t>
        </r>
        <r>
          <rPr>
            <sz val="9"/>
            <rFont val="Times New Roman"/>
            <charset val="0"/>
          </rPr>
          <t xml:space="preserve">
By using trucks</t>
        </r>
      </text>
    </comment>
    <comment ref="Q12"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0"/>
          </rPr>
          <t>xli9:</t>
        </r>
        <r>
          <rPr>
            <sz val="9"/>
            <rFont val="Times New Roman"/>
            <charset val="0"/>
          </rPr>
          <t xml:space="preserve">
By using trucks which is cheaper than pipelines</t>
        </r>
      </text>
    </comment>
    <comment ref="Q15"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<sst xmlns="http://schemas.openxmlformats.org/spreadsheetml/2006/main" count="1668" uniqueCount="534">
  <si>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</si>
  <si>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</si>
  <si>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</si>
  <si>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</si>
  <si>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</si>
  <si>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</si>
  <si>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</si>
  <si>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</si>
  <si>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</si>
  <si>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</si>
  <si>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</si>
  <si>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</si>
  <si>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</si>
  <si>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</si>
  <si>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</si>
  <si>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</si>
  <si>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</si>
  <si>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</si>
  <si>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</si>
  <si>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</si>
  <si>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</si>
  <si>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</si>
  <si>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</si>
  <si>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</si>
  <si>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</si>
  <si>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</si>
  <si>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</si>
  <si>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</si>
  <si>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</si>
  <si>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</si>
  <si>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</si>
  <si>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</si>
  <si>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</si>
  <si>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</si>
  <si>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</si>
  <si>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</si>
  <si>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</si>
  <si>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</si>
  <si>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</si>
  <si>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</si>
  <si>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</si>
  <si>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</si>
  <si>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</si>
  <si>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</si>
  <si>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HYDROGENCO2N</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</si>
  <si>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</si>
  <si>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</si>
  <si>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</si>
  <si>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</si>
  <si>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</si>
  <si>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</si>
  <si>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</si>
  <si>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</si>
  <si>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</si>
  <si>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</si>
  <si>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</si>
  <si>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</si>
  <si>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</si>
  <si>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</si>
  <si>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</si>
  <si>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</si>
  <si>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</si>
  <si>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</si>
  <si>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</si>
  <si>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</si>
  <si>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</si>
  <si>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</si>
  <si>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</si>
  <si>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</si>
  <si>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</si>
  <si>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</si>
  <si>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</si>
  <si>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</si>
  <si>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</si>
  <si>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</si>
  <si>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</si>
  <si>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</si>
  <si>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</si>
  <si>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</si>
  <si>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</si>
  <si>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</si>
  <si>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</si>
  <si>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</si>
  <si>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</si>
  <si>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</si>
  <si>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</si>
  <si>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</si>
  <si>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DayNite</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</si>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</sst>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6">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9"/>
      <name val="Times New Roman"/>
      <charset val="0"/>
    </font>
    <font>
      <b/>
      <sz val="9"/>
      <name val="Tahoma"/>
      <charset val="134"/>
    </font>
    <font>
      <sz val="9"/>
      <name val="Tahoma"/>
      <charset val="134"/>
    </font>
    <font>
      <b/>
      <sz val="9"/>
      <name val="Times New Roman"/>
      <charset val="134"/>
    </font>
    <font>
      <sz val="9"/>
      <name val="Times New Roman"/>
      <charset val="134"/>
    </font>
    <font>
      <b/>
      <sz val="9"/>
      <name val="Times New Roman"/>
      <charset val="0"/>
    </font>
    <font>
      <b/>
      <sz val="8"/>
      <name val="Tahoma"/>
      <charset val="134"/>
    </font>
    <font>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920651875362"/>
        <bgColor indexed="64"/>
      </patternFill>
    </fill>
    <fill>
      <patternFill patternType="solid">
        <fgColor theme="0" tint="-0.249977111117893"/>
        <bgColor indexed="64"/>
      </patternFill>
    </fill>
    <fill>
      <patternFill patternType="solid">
        <fgColor theme="0" tint="-0.25"/>
        <bgColor indexed="64"/>
      </patternFill>
    </fill>
    <fill>
      <patternFill patternType="solid">
        <fgColor rgb="FF00B050"/>
        <bgColor indexed="64"/>
      </patternFill>
    </fill>
    <fill>
      <patternFill patternType="solid">
        <fgColor theme="0"/>
        <bgColor indexed="64"/>
      </patternFill>
    </fill>
    <fill>
      <patternFill patternType="solid">
        <fgColor theme="5" tint="0.799920651875362"/>
        <bgColor indexed="64"/>
      </patternFill>
    </fill>
    <fill>
      <patternFill patternType="solid">
        <fgColor theme="6" tint="0.799920651875362"/>
        <bgColor indexed="64"/>
      </patternFill>
    </fill>
    <fill>
      <patternFill patternType="solid">
        <fgColor theme="8" tint="0.799920651875362"/>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9"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20" borderId="32" applyNumberFormat="0" applyAlignment="0" applyProtection="0">
      <alignment vertical="center"/>
    </xf>
    <xf numFmtId="0" fontId="41" fillId="21" borderId="33" applyNumberFormat="0" applyAlignment="0" applyProtection="0">
      <alignment vertical="center"/>
    </xf>
    <xf numFmtId="0" fontId="42" fillId="21" borderId="32" applyNumberFormat="0" applyAlignment="0" applyProtection="0">
      <alignment vertical="center"/>
    </xf>
    <xf numFmtId="0" fontId="43" fillId="22"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7" fillId="2"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49" fillId="45" borderId="0" applyNumberFormat="0" applyBorder="0" applyAlignment="0" applyProtection="0">
      <alignment vertical="center"/>
    </xf>
    <xf numFmtId="0" fontId="49" fillId="46"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2"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55" borderId="0" applyBorder="0" applyAlignment="0"/>
    <xf numFmtId="0" fontId="52" fillId="55"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4" borderId="11">
      <alignment horizontal="right" vertical="center"/>
    </xf>
    <xf numFmtId="0" fontId="55" fillId="54" borderId="11">
      <alignment horizontal="right" vertical="center"/>
    </xf>
    <xf numFmtId="0" fontId="55" fillId="54" borderId="37">
      <alignment horizontal="right" vertical="center"/>
    </xf>
    <xf numFmtId="0" fontId="55" fillId="54" borderId="38">
      <alignment horizontal="right" vertical="center"/>
    </xf>
    <xf numFmtId="0" fontId="55" fillId="54" borderId="39">
      <alignment horizontal="right" vertical="center"/>
    </xf>
    <xf numFmtId="0" fontId="53" fillId="63"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7" fillId="68" borderId="40" applyNumberFormat="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9" fillId="24"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60" fillId="68" borderId="41" applyNumberFormat="0" applyAlignment="0" applyProtection="0"/>
    <xf numFmtId="4" fontId="54" fillId="0" borderId="42" applyFill="0" applyBorder="0" applyProtection="0">
      <alignment horizontal="right" vertical="center"/>
    </xf>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4"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4" borderId="41" applyNumberFormat="0" applyAlignment="0" applyProtection="0"/>
    <xf numFmtId="0" fontId="66" fillId="0" borderId="13"/>
    <xf numFmtId="0" fontId="14" fillId="61"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2" fillId="23"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3"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6" borderId="32"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70" borderId="0" applyNumberFormat="0" applyFont="0" applyBorder="0" applyAlignment="0" applyProtection="0"/>
    <xf numFmtId="0" fontId="9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194" fontId="52"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50" borderId="0" applyNumberFormat="0" applyBorder="0" applyAlignment="0" applyProtection="0"/>
    <xf numFmtId="0" fontId="0" fillId="0" borderId="0"/>
    <xf numFmtId="0" fontId="0" fillId="0" borderId="0"/>
    <xf numFmtId="0" fontId="52" fillId="70" borderId="11"/>
    <xf numFmtId="0" fontId="0" fillId="0" borderId="0"/>
    <xf numFmtId="0" fontId="0" fillId="0" borderId="0"/>
    <xf numFmtId="0" fontId="0" fillId="0" borderId="0"/>
    <xf numFmtId="0" fontId="0" fillId="0" borderId="0"/>
    <xf numFmtId="0" fontId="0" fillId="0" borderId="0"/>
    <xf numFmtId="0" fontId="52" fillId="70"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102"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4"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103"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102"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10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197" fontId="109" fillId="74" borderId="57">
      <alignment vertical="center"/>
    </xf>
    <xf numFmtId="0" fontId="0" fillId="0" borderId="0"/>
    <xf numFmtId="0" fontId="0" fillId="0" borderId="0"/>
    <xf numFmtId="0" fontId="0" fillId="0" borderId="0"/>
    <xf numFmtId="0" fontId="0" fillId="0" borderId="0"/>
    <xf numFmtId="0" fontId="0" fillId="0" borderId="0"/>
    <xf numFmtId="197" fontId="109" fillId="74" borderId="57">
      <alignment vertical="center"/>
    </xf>
    <xf numFmtId="0" fontId="0" fillId="0" borderId="0"/>
    <xf numFmtId="0" fontId="0" fillId="0" borderId="0"/>
    <xf numFmtId="179" fontId="110" fillId="74" borderId="57">
      <alignment vertical="center"/>
    </xf>
    <xf numFmtId="0" fontId="0" fillId="0" borderId="0"/>
    <xf numFmtId="0" fontId="0" fillId="0" borderId="0"/>
    <xf numFmtId="0" fontId="0" fillId="0" borderId="0"/>
    <xf numFmtId="0" fontId="0" fillId="0" borderId="0"/>
    <xf numFmtId="0" fontId="0" fillId="0" borderId="0"/>
    <xf numFmtId="179" fontId="110" fillId="74" borderId="57">
      <alignment vertical="center"/>
    </xf>
    <xf numFmtId="0" fontId="0" fillId="0" borderId="0"/>
    <xf numFmtId="0" fontId="0" fillId="0" borderId="0"/>
    <xf numFmtId="197" fontId="111" fillId="75" borderId="57">
      <alignment vertical="center"/>
    </xf>
    <xf numFmtId="0" fontId="0" fillId="0" borderId="0"/>
    <xf numFmtId="0" fontId="0" fillId="0" borderId="0"/>
    <xf numFmtId="0" fontId="0" fillId="0" borderId="0"/>
    <xf numFmtId="0" fontId="0" fillId="0" borderId="0"/>
    <xf numFmtId="0" fontId="0" fillId="0" borderId="0"/>
    <xf numFmtId="197" fontId="111"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70"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0" fontId="0" fillId="11"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2"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3" borderId="0" xfId="0" applyNumberFormat="1" applyFont="1"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vertical="center"/>
    </xf>
    <xf numFmtId="0" fontId="0" fillId="13" borderId="11" xfId="0" applyFill="1" applyBorder="1" applyAlignment="1">
      <alignment horizontal="center" vertical="center"/>
    </xf>
    <xf numFmtId="0" fontId="16" fillId="0" borderId="0" xfId="0" applyFont="1" applyFill="1" applyBorder="1" applyAlignment="1">
      <alignment vertical="center"/>
    </xf>
    <xf numFmtId="2" fontId="0" fillId="13"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4" borderId="0" xfId="0" applyNumberFormat="1" applyFill="1" applyBorder="1" applyAlignment="1">
      <alignment vertical="center"/>
    </xf>
    <xf numFmtId="0" fontId="0" fillId="14" borderId="0" xfId="0" applyFill="1" applyBorder="1" applyAlignment="1">
      <alignment vertical="center"/>
    </xf>
    <xf numFmtId="0" fontId="0" fillId="14" borderId="0" xfId="0" applyFont="1" applyFill="1"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vertical="center"/>
    </xf>
    <xf numFmtId="201" fontId="0" fillId="14" borderId="0" xfId="0" applyNumberFormat="1" applyFont="1" applyFill="1" applyBorder="1" applyAlignment="1">
      <alignment vertical="center"/>
    </xf>
    <xf numFmtId="0" fontId="24" fillId="14"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3" borderId="0"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200" fontId="0" fillId="13" borderId="11" xfId="0" applyNumberFormat="1" applyFill="1" applyBorder="1" applyAlignment="1">
      <alignment horizontal="center" vertical="center"/>
    </xf>
    <xf numFmtId="2" fontId="0" fillId="13" borderId="14" xfId="0" applyNumberFormat="1" applyFill="1" applyBorder="1" applyAlignment="1">
      <alignment horizontal="center" vertical="center"/>
    </xf>
    <xf numFmtId="2" fontId="0" fillId="13"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4" borderId="14" xfId="0" applyFill="1" applyBorder="1" applyAlignment="1">
      <alignment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14" fillId="14" borderId="11" xfId="0" applyNumberFormat="1" applyFont="1" applyFill="1" applyBorder="1" applyAlignment="1">
      <alignment horizontal="center" vertical="center"/>
    </xf>
    <xf numFmtId="0" fontId="0" fillId="14" borderId="14" xfId="0" applyFill="1" applyBorder="1" applyAlignment="1">
      <alignment horizontal="center" vertical="center"/>
    </xf>
    <xf numFmtId="0" fontId="0" fillId="14"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3"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5" borderId="0" xfId="0" applyFill="1" applyBorder="1" applyAlignment="1">
      <alignment horizontal="center" vertical="center"/>
    </xf>
    <xf numFmtId="201" fontId="0" fillId="15" borderId="0" xfId="0" applyNumberFormat="1" applyFill="1" applyBorder="1" applyAlignment="1">
      <alignment vertical="center"/>
    </xf>
    <xf numFmtId="0" fontId="0" fillId="15" borderId="0" xfId="0" applyFill="1" applyBorder="1" applyAlignment="1">
      <alignment vertical="center"/>
    </xf>
    <xf numFmtId="201" fontId="0" fillId="15"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2"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2"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5" borderId="11" xfId="0" applyFill="1" applyBorder="1" applyAlignment="1">
      <alignment horizontal="center" vertical="center"/>
    </xf>
    <xf numFmtId="9" fontId="0" fillId="15" borderId="0" xfId="0" applyNumberFormat="1" applyFill="1" applyBorder="1" applyAlignment="1">
      <alignment horizontal="center" vertical="center"/>
    </xf>
    <xf numFmtId="200" fontId="0" fillId="15" borderId="11" xfId="0" applyNumberFormat="1" applyFill="1" applyBorder="1" applyAlignment="1">
      <alignment horizontal="center" vertical="center"/>
    </xf>
    <xf numFmtId="1" fontId="0" fillId="15" borderId="0" xfId="0" applyNumberFormat="1" applyFill="1" applyBorder="1" applyAlignment="1">
      <alignment horizontal="center" vertical="center"/>
    </xf>
    <xf numFmtId="1" fontId="26" fillId="15" borderId="0" xfId="0" applyNumberFormat="1" applyFont="1" applyFill="1" applyBorder="1" applyAlignment="1">
      <alignment horizontal="center" vertical="center"/>
    </xf>
    <xf numFmtId="1" fontId="12" fillId="15"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3" borderId="15" xfId="0" applyNumberFormat="1" applyFill="1" applyBorder="1" applyAlignment="1">
      <alignment horizontal="center" vertical="center"/>
    </xf>
    <xf numFmtId="1" fontId="14" fillId="13"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5" borderId="11" xfId="0" applyNumberFormat="1" applyFont="1" applyFill="1" applyBorder="1" applyAlignment="1">
      <alignment horizontal="center" vertical="center"/>
    </xf>
    <xf numFmtId="2" fontId="26" fillId="15"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3"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2"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6" borderId="7" xfId="0" applyNumberFormat="1" applyFont="1" applyFill="1" applyBorder="1" applyAlignment="1" applyProtection="1">
      <alignment vertical="center"/>
    </xf>
    <xf numFmtId="201" fontId="14" fillId="16" borderId="9" xfId="0" applyNumberFormat="1" applyFont="1" applyFill="1" applyBorder="1" applyAlignment="1" applyProtection="1">
      <alignment vertical="center"/>
    </xf>
    <xf numFmtId="0" fontId="14" fillId="16" borderId="9" xfId="0" applyNumberFormat="1" applyFont="1" applyFill="1" applyBorder="1" applyAlignment="1" applyProtection="1">
      <alignment horizontal="center" vertical="center" wrapText="1"/>
    </xf>
    <xf numFmtId="0" fontId="15" fillId="17" borderId="9" xfId="0" applyNumberFormat="1" applyFont="1" applyFill="1" applyBorder="1" applyAlignment="1" applyProtection="1">
      <alignment horizontal="left" vertical="center" wrapText="1"/>
    </xf>
    <xf numFmtId="0" fontId="15" fillId="17"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7" borderId="9" xfId="0" applyNumberFormat="1" applyFont="1" applyFill="1" applyBorder="1" applyAlignment="1" applyProtection="1">
      <alignment horizontal="left" vertical="center" wrapText="1"/>
    </xf>
    <xf numFmtId="201" fontId="14" fillId="16" borderId="7" xfId="0" applyNumberFormat="1" applyFont="1" applyFill="1" applyBorder="1" applyAlignment="1" applyProtection="1">
      <alignment vertical="center"/>
    </xf>
    <xf numFmtId="201" fontId="14" fillId="16" borderId="7" xfId="0" applyNumberFormat="1" applyFont="1" applyFill="1" applyBorder="1" applyAlignment="1" applyProtection="1">
      <alignment horizontal="left" vertical="center"/>
    </xf>
    <xf numFmtId="201" fontId="0" fillId="18"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E29" sqref="AE29"/>
    </sheetView>
  </sheetViews>
  <sheetFormatPr defaultColWidth="9.18181818181818" defaultRowHeight="12.5"/>
  <cols>
    <col min="1" max="1" width="68.9090909090909" style="364" customWidth="1"/>
    <col min="2" max="2" width="38.5454545454545" style="364" customWidth="1"/>
    <col min="3" max="3" width="53.7272727272727" style="364" customWidth="1"/>
    <col min="4" max="4" width="50.5454545454545" style="364" customWidth="1"/>
    <col min="5" max="5" width="10.8181818181818" style="364" customWidth="1"/>
    <col min="6" max="6" width="12.8181818181818" style="364" customWidth="1"/>
    <col min="7" max="27" width="9.18181818181818" style="364"/>
    <col min="28" max="28" width="17.0909090909091" style="364" customWidth="1"/>
    <col min="29" max="47" width="9.18181818181818" style="364"/>
    <col min="48" max="58" width="9.18181818181818" style="204"/>
  </cols>
  <sheetData>
    <row r="1" ht="14.5" spans="1:4">
      <c r="A1" s="364" t="s">
        <v>0</v>
      </c>
      <c r="B1" s="181" t="s">
        <v>1</v>
      </c>
      <c r="D1" s="365" t="s">
        <v>2</v>
      </c>
    </row>
    <row r="2" ht="14.5" spans="1:2">
      <c r="A2" s="364" t="s">
        <v>3</v>
      </c>
      <c r="B2" s="181" t="s">
        <v>4</v>
      </c>
    </row>
    <row r="3" ht="14.5" spans="1:2">
      <c r="A3" s="364" t="s">
        <v>5</v>
      </c>
      <c r="B3" s="181" t="s">
        <v>6</v>
      </c>
    </row>
    <row r="4" ht="14.5" spans="1:2">
      <c r="A4" s="364" t="s">
        <v>7</v>
      </c>
      <c r="B4" s="181" t="s">
        <v>8</v>
      </c>
    </row>
    <row r="5" ht="14.5" spans="1:2">
      <c r="A5" s="364" t="s">
        <v>9</v>
      </c>
      <c r="B5" s="181" t="s">
        <v>10</v>
      </c>
    </row>
    <row r="6" ht="23" spans="2:47">
      <c r="B6" s="366" t="s">
        <v>11</v>
      </c>
      <c r="C6" s="367"/>
      <c r="D6" s="367"/>
      <c r="E6" s="367"/>
      <c r="F6" s="367"/>
      <c r="G6" s="367"/>
      <c r="H6" s="367"/>
      <c r="I6" s="367"/>
      <c r="J6" s="367"/>
      <c r="K6" s="367"/>
      <c r="L6" s="367"/>
      <c r="M6" s="367"/>
      <c r="N6" s="367"/>
      <c r="P6" s="367"/>
      <c r="Q6" s="367"/>
      <c r="R6" s="367"/>
      <c r="T6" s="367"/>
      <c r="U6" s="367"/>
      <c r="V6" s="367"/>
      <c r="X6" s="367"/>
      <c r="Y6" s="367"/>
      <c r="AU6" s="367"/>
    </row>
    <row r="7" ht="15.5" spans="2:47">
      <c r="B7" s="368"/>
      <c r="C7" s="367"/>
      <c r="D7" s="367"/>
      <c r="E7" s="367"/>
      <c r="F7" s="367"/>
      <c r="G7" s="367"/>
      <c r="H7" s="367"/>
      <c r="I7" s="367"/>
      <c r="J7" s="367"/>
      <c r="K7" s="367"/>
      <c r="L7" s="367"/>
      <c r="M7" s="367"/>
      <c r="N7" s="367"/>
      <c r="P7" s="367"/>
      <c r="Q7" s="367"/>
      <c r="R7" s="367"/>
      <c r="T7" s="367"/>
      <c r="U7" s="367"/>
      <c r="V7" s="367"/>
      <c r="X7" s="367"/>
      <c r="Y7" s="367"/>
      <c r="AU7" s="367"/>
    </row>
    <row r="8" ht="23" spans="2:41">
      <c r="B8" s="367"/>
      <c r="C8" s="367"/>
      <c r="D8" s="367"/>
      <c r="E8" s="369" t="s">
        <v>12</v>
      </c>
      <c r="F8" s="367"/>
      <c r="G8" s="369"/>
      <c r="H8" s="369"/>
      <c r="I8" s="369"/>
      <c r="J8" s="369"/>
      <c r="K8" s="369"/>
      <c r="L8" s="369"/>
      <c r="M8" s="367"/>
      <c r="N8" s="367"/>
      <c r="O8" s="367"/>
      <c r="P8" s="367"/>
      <c r="R8" s="367"/>
      <c r="S8" s="367"/>
      <c r="V8" s="367"/>
      <c r="W8" s="367"/>
      <c r="Y8" s="366" t="s">
        <v>13</v>
      </c>
      <c r="Z8" s="367"/>
      <c r="AA8" s="367"/>
      <c r="AB8" s="367"/>
      <c r="AC8" s="367"/>
      <c r="AD8" s="376"/>
      <c r="AE8" s="376"/>
      <c r="AF8" s="376"/>
      <c r="AG8" s="367"/>
      <c r="AH8" s="367"/>
      <c r="AI8" s="367"/>
      <c r="AJ8" s="367"/>
      <c r="AK8" s="367"/>
      <c r="AM8" s="367"/>
      <c r="AN8" s="367"/>
      <c r="AO8" s="367"/>
    </row>
    <row r="9" ht="26" spans="2:41">
      <c r="B9" s="370" t="s">
        <v>14</v>
      </c>
      <c r="C9" s="371" t="s">
        <v>15</v>
      </c>
      <c r="D9" s="370" t="s">
        <v>16</v>
      </c>
      <c r="E9" s="370" t="s">
        <v>17</v>
      </c>
      <c r="F9" s="372" t="s">
        <v>18</v>
      </c>
      <c r="G9" s="372" t="s">
        <v>19</v>
      </c>
      <c r="H9" s="372" t="s">
        <v>20</v>
      </c>
      <c r="I9" s="372" t="s">
        <v>21</v>
      </c>
      <c r="J9" s="372" t="s">
        <v>22</v>
      </c>
      <c r="K9" s="372" t="s">
        <v>23</v>
      </c>
      <c r="L9" s="372" t="s">
        <v>24</v>
      </c>
      <c r="M9" s="372" t="s">
        <v>25</v>
      </c>
      <c r="N9" s="372" t="s">
        <v>26</v>
      </c>
      <c r="O9" s="372" t="s">
        <v>27</v>
      </c>
      <c r="P9" s="372" t="s">
        <v>28</v>
      </c>
      <c r="Q9" s="372" t="s">
        <v>29</v>
      </c>
      <c r="R9" s="372" t="s">
        <v>30</v>
      </c>
      <c r="Y9" s="368"/>
      <c r="Z9" s="367"/>
      <c r="AA9" s="367"/>
      <c r="AB9" s="367"/>
      <c r="AC9" s="367"/>
      <c r="AD9" s="367"/>
      <c r="AE9" s="367"/>
      <c r="AF9" s="367"/>
      <c r="AG9" s="367"/>
      <c r="AH9" s="367"/>
      <c r="AI9" s="367"/>
      <c r="AJ9" s="367"/>
      <c r="AK9" s="367"/>
      <c r="AM9" s="367"/>
      <c r="AN9" s="367"/>
      <c r="AO9" s="367"/>
    </row>
    <row r="10" ht="25" spans="2:42">
      <c r="B10" s="373" t="s">
        <v>31</v>
      </c>
      <c r="C10" s="373" t="s">
        <v>32</v>
      </c>
      <c r="D10" s="373" t="s">
        <v>33</v>
      </c>
      <c r="E10" s="373" t="s">
        <v>34</v>
      </c>
      <c r="F10" s="374"/>
      <c r="G10" s="374"/>
      <c r="H10" s="374"/>
      <c r="I10" s="374"/>
      <c r="J10" s="374" t="s">
        <v>35</v>
      </c>
      <c r="K10" s="374" t="s">
        <v>35</v>
      </c>
      <c r="L10" s="374" t="s">
        <v>35</v>
      </c>
      <c r="M10" s="374" t="s">
        <v>35</v>
      </c>
      <c r="N10" s="374" t="s">
        <v>35</v>
      </c>
      <c r="O10" s="374" t="s">
        <v>35</v>
      </c>
      <c r="P10" s="374" t="s">
        <v>36</v>
      </c>
      <c r="Q10" s="374"/>
      <c r="R10" s="374"/>
      <c r="Y10" s="367"/>
      <c r="Z10" s="367"/>
      <c r="AA10" s="367"/>
      <c r="AB10" s="369" t="s">
        <v>12</v>
      </c>
      <c r="AC10" s="367"/>
      <c r="AD10" s="369"/>
      <c r="AE10" s="369"/>
      <c r="AF10" s="369"/>
      <c r="AG10" s="369"/>
      <c r="AH10" s="369"/>
      <c r="AI10" s="369"/>
      <c r="AJ10" s="367"/>
      <c r="AK10" s="367"/>
      <c r="AL10" s="367"/>
      <c r="AM10" s="367"/>
      <c r="AO10" s="367"/>
      <c r="AP10" s="367"/>
    </row>
    <row r="11" ht="26" spans="2:43">
      <c r="B11" s="245" t="str">
        <f>C18</f>
        <v>EUH2FCPEM</v>
      </c>
      <c r="C11" s="245" t="str">
        <f>D18</f>
        <v>PEM fuel cell system</v>
      </c>
      <c r="D11" s="245" t="str">
        <f>C23</f>
        <v>SYNH2CT_RAW</v>
      </c>
      <c r="E11" s="245" t="s">
        <v>37</v>
      </c>
      <c r="F11" s="375">
        <v>0.65</v>
      </c>
      <c r="G11" s="375">
        <f>F11</f>
        <v>0.65</v>
      </c>
      <c r="H11" s="375">
        <f>G11</f>
        <v>0.65</v>
      </c>
      <c r="I11" s="375">
        <v>1</v>
      </c>
      <c r="J11" s="364">
        <f>(252+708+548)/3*1.33</f>
        <v>668.546666666667</v>
      </c>
      <c r="K11" s="364">
        <f>J11*0.95</f>
        <v>635.119333333333</v>
      </c>
      <c r="L11" s="364">
        <f>J11*0.9</f>
        <v>601.692</v>
      </c>
      <c r="M11" s="398">
        <f>11/19*J11</f>
        <v>387.053333333333</v>
      </c>
      <c r="N11" s="398">
        <f t="shared" ref="N11:O11" si="0">11/19*K11</f>
        <v>367.700666666667</v>
      </c>
      <c r="O11" s="398">
        <f t="shared" si="0"/>
        <v>348.348</v>
      </c>
      <c r="P11" s="398">
        <v>15</v>
      </c>
      <c r="Q11" s="398">
        <v>2021</v>
      </c>
      <c r="R11" s="405">
        <v>31.536</v>
      </c>
      <c r="Y11" s="370" t="s">
        <v>14</v>
      </c>
      <c r="Z11" s="371" t="s">
        <v>15</v>
      </c>
      <c r="AA11" s="370" t="s">
        <v>16</v>
      </c>
      <c r="AB11" s="370" t="s">
        <v>17</v>
      </c>
      <c r="AC11" s="372" t="s">
        <v>18</v>
      </c>
      <c r="AD11" s="372" t="s">
        <v>19</v>
      </c>
      <c r="AE11" s="372" t="s">
        <v>20</v>
      </c>
      <c r="AF11" s="372" t="s">
        <v>21</v>
      </c>
      <c r="AG11" s="372" t="s">
        <v>22</v>
      </c>
      <c r="AH11" s="372" t="s">
        <v>23</v>
      </c>
      <c r="AI11" s="372" t="s">
        <v>24</v>
      </c>
      <c r="AJ11" s="372" t="s">
        <v>38</v>
      </c>
      <c r="AK11" s="372" t="s">
        <v>39</v>
      </c>
      <c r="AL11" s="372" t="s">
        <v>40</v>
      </c>
      <c r="AM11" s="372" t="s">
        <v>28</v>
      </c>
      <c r="AN11" s="372" t="s">
        <v>29</v>
      </c>
      <c r="AO11" s="372" t="s">
        <v>30</v>
      </c>
      <c r="AP11" s="266" t="s">
        <v>41</v>
      </c>
      <c r="AQ11" s="266"/>
    </row>
    <row r="12" ht="50" spans="2:47">
      <c r="B12" s="367"/>
      <c r="C12" s="367"/>
      <c r="E12" s="367"/>
      <c r="F12" s="376"/>
      <c r="G12" s="376"/>
      <c r="H12" s="376"/>
      <c r="I12" s="399"/>
      <c r="J12" s="399"/>
      <c r="K12" s="367"/>
      <c r="L12" s="400"/>
      <c r="M12" s="400"/>
      <c r="N12" s="400"/>
      <c r="O12" s="401"/>
      <c r="P12" s="401"/>
      <c r="Q12" s="367"/>
      <c r="R12" s="367"/>
      <c r="T12" s="367"/>
      <c r="U12" s="367"/>
      <c r="V12" s="367"/>
      <c r="X12" s="367"/>
      <c r="Y12" s="373" t="s">
        <v>31</v>
      </c>
      <c r="Z12" s="373" t="s">
        <v>32</v>
      </c>
      <c r="AA12" s="373" t="s">
        <v>33</v>
      </c>
      <c r="AB12" s="373" t="s">
        <v>34</v>
      </c>
      <c r="AC12" s="374"/>
      <c r="AD12" s="374"/>
      <c r="AE12" s="374"/>
      <c r="AF12" s="374"/>
      <c r="AG12" s="374" t="s">
        <v>35</v>
      </c>
      <c r="AH12" s="374" t="s">
        <v>35</v>
      </c>
      <c r="AI12" s="374" t="s">
        <v>35</v>
      </c>
      <c r="AJ12" s="374" t="s">
        <v>42</v>
      </c>
      <c r="AK12" s="374" t="s">
        <v>42</v>
      </c>
      <c r="AL12" s="374" t="s">
        <v>42</v>
      </c>
      <c r="AM12" s="374" t="s">
        <v>36</v>
      </c>
      <c r="AN12" s="374"/>
      <c r="AO12" s="374"/>
      <c r="AU12" s="367"/>
    </row>
    <row r="13" ht="13" spans="2:47">
      <c r="B13" s="367"/>
      <c r="C13" s="367"/>
      <c r="D13" s="245"/>
      <c r="F13" s="376"/>
      <c r="G13" s="376"/>
      <c r="H13" s="376"/>
      <c r="I13" s="376"/>
      <c r="J13" s="376"/>
      <c r="K13" s="367"/>
      <c r="L13" s="400"/>
      <c r="M13" s="400"/>
      <c r="N13" s="400"/>
      <c r="O13" s="401"/>
      <c r="P13" s="401"/>
      <c r="Q13" s="367"/>
      <c r="R13" s="367"/>
      <c r="T13" s="367"/>
      <c r="U13" s="367"/>
      <c r="V13" s="367"/>
      <c r="X13" s="367"/>
      <c r="Y13" s="180" t="s">
        <v>43</v>
      </c>
      <c r="Z13" s="245" t="s">
        <v>13</v>
      </c>
      <c r="AA13" s="245" t="s">
        <v>37</v>
      </c>
      <c r="AB13" s="245"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7"/>
    </row>
    <row r="14" spans="25:43">
      <c r="Y14" s="367"/>
      <c r="Z14" s="367"/>
      <c r="AA14" s="245"/>
      <c r="AB14" s="156" t="s">
        <v>44</v>
      </c>
      <c r="AC14" s="270"/>
      <c r="AD14" s="270"/>
      <c r="AE14" s="270"/>
      <c r="AF14" s="270"/>
      <c r="AG14" s="270"/>
      <c r="AH14" s="400"/>
      <c r="AI14" s="400"/>
      <c r="AJ14" s="400"/>
      <c r="AK14" s="401"/>
      <c r="AL14" s="401"/>
      <c r="AM14" s="367"/>
      <c r="AN14" s="367"/>
      <c r="AP14" s="367">
        <v>0</v>
      </c>
      <c r="AQ14" s="367"/>
    </row>
    <row r="15" ht="13" spans="2:41">
      <c r="B15" s="377" t="s">
        <v>45</v>
      </c>
      <c r="C15" s="377"/>
      <c r="D15" s="245"/>
      <c r="E15" s="245"/>
      <c r="F15" s="245"/>
      <c r="G15" s="245"/>
      <c r="H15" s="245"/>
      <c r="I15" s="245"/>
      <c r="N15" s="402"/>
      <c r="Y15" s="367"/>
      <c r="Z15" s="367"/>
      <c r="AA15" s="245"/>
      <c r="AC15" s="376"/>
      <c r="AD15" s="376"/>
      <c r="AE15" s="376"/>
      <c r="AF15" s="376"/>
      <c r="AG15" s="376"/>
      <c r="AH15" s="367"/>
      <c r="AI15" s="400"/>
      <c r="AJ15" s="400"/>
      <c r="AK15" s="400"/>
      <c r="AL15" s="401"/>
      <c r="AM15" s="401"/>
      <c r="AN15" s="367"/>
      <c r="AO15" s="367"/>
    </row>
    <row r="16" ht="13" spans="2:9">
      <c r="B16" s="371" t="s">
        <v>46</v>
      </c>
      <c r="C16" s="371" t="s">
        <v>14</v>
      </c>
      <c r="D16" s="371" t="s">
        <v>47</v>
      </c>
      <c r="E16" s="371" t="s">
        <v>48</v>
      </c>
      <c r="F16" s="371" t="s">
        <v>49</v>
      </c>
      <c r="G16" s="371" t="s">
        <v>50</v>
      </c>
      <c r="H16" s="371" t="s">
        <v>51</v>
      </c>
      <c r="I16" s="371"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5" t="s">
        <v>60</v>
      </c>
      <c r="C18" s="245" t="s">
        <v>61</v>
      </c>
      <c r="D18" s="245" t="s">
        <v>62</v>
      </c>
      <c r="E18" s="245" t="s">
        <v>63</v>
      </c>
      <c r="F18" s="245" t="s">
        <v>64</v>
      </c>
      <c r="G18" s="245" t="s">
        <v>65</v>
      </c>
      <c r="H18" s="245"/>
      <c r="I18" s="245" t="s">
        <v>66</v>
      </c>
      <c r="AB18" s="245"/>
      <c r="AC18" s="245"/>
      <c r="AD18" s="245"/>
      <c r="AE18" s="245"/>
      <c r="AF18" s="245"/>
      <c r="AG18" s="245"/>
      <c r="AH18" s="245"/>
      <c r="AI18" s="245"/>
    </row>
    <row r="19" spans="2:9">
      <c r="B19" s="367"/>
      <c r="C19" s="367"/>
      <c r="D19" s="367"/>
      <c r="E19" s="367"/>
      <c r="F19" s="367"/>
      <c r="G19" s="367"/>
      <c r="H19" s="367"/>
      <c r="I19" s="367"/>
    </row>
    <row r="20" ht="13" spans="2:9">
      <c r="B20" s="377" t="s">
        <v>67</v>
      </c>
      <c r="C20" s="245"/>
      <c r="D20" s="245"/>
      <c r="E20" s="245"/>
      <c r="F20" s="245"/>
      <c r="G20" s="245"/>
      <c r="H20" s="245"/>
      <c r="I20" s="245"/>
    </row>
    <row r="21" ht="13" spans="2:9">
      <c r="B21" s="379" t="s">
        <v>68</v>
      </c>
      <c r="C21" s="379" t="s">
        <v>69</v>
      </c>
      <c r="D21" s="379" t="s">
        <v>70</v>
      </c>
      <c r="E21" s="380" t="s">
        <v>71</v>
      </c>
      <c r="F21" s="380" t="s">
        <v>72</v>
      </c>
      <c r="G21" s="380" t="s">
        <v>73</v>
      </c>
      <c r="H21" s="380" t="s">
        <v>74</v>
      </c>
      <c r="I21" s="380" t="s">
        <v>75</v>
      </c>
    </row>
    <row r="22" ht="37.5" spans="2:9">
      <c r="B22" s="378" t="s">
        <v>76</v>
      </c>
      <c r="C22" s="378" t="s">
        <v>77</v>
      </c>
      <c r="D22" s="378" t="s">
        <v>78</v>
      </c>
      <c r="E22" s="378" t="s">
        <v>71</v>
      </c>
      <c r="F22" s="378" t="s">
        <v>79</v>
      </c>
      <c r="G22" s="378" t="s">
        <v>80</v>
      </c>
      <c r="H22" s="378" t="s">
        <v>81</v>
      </c>
      <c r="I22" s="378" t="s">
        <v>82</v>
      </c>
    </row>
    <row r="23" spans="2:9">
      <c r="B23" s="245" t="s">
        <v>83</v>
      </c>
      <c r="C23" s="245" t="s">
        <v>84</v>
      </c>
      <c r="D23" s="245" t="s">
        <v>85</v>
      </c>
      <c r="E23" s="245" t="s">
        <v>63</v>
      </c>
      <c r="F23" s="245" t="s">
        <v>86</v>
      </c>
      <c r="G23" s="381" t="s">
        <v>87</v>
      </c>
      <c r="H23" s="245"/>
      <c r="I23" s="245"/>
    </row>
    <row r="24" spans="2:9">
      <c r="B24" s="156" t="s">
        <v>83</v>
      </c>
      <c r="C24" s="156" t="s">
        <v>88</v>
      </c>
      <c r="D24" s="156" t="s">
        <v>89</v>
      </c>
      <c r="E24" s="362" t="s">
        <v>63</v>
      </c>
      <c r="F24" s="156" t="s">
        <v>86</v>
      </c>
      <c r="G24" s="156" t="s">
        <v>87</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5"/>
      <c r="C60" s="245"/>
      <c r="D60" s="245"/>
      <c r="E60" s="245"/>
      <c r="F60" s="245"/>
      <c r="G60" s="245"/>
      <c r="H60" s="245"/>
      <c r="I60" s="245"/>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workbookViewId="0">
      <pane xSplit="1" topLeftCell="C1" activePane="topRight" state="frozen"/>
      <selection/>
      <selection pane="topRight" activeCell="B2" sqref="B2"/>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9" t="s">
        <v>90</v>
      </c>
      <c r="B1" s="239" t="s">
        <v>91</v>
      </c>
    </row>
    <row r="2" ht="42" customHeight="1" spans="1:7">
      <c r="A2" s="239" t="s">
        <v>92</v>
      </c>
      <c r="B2" s="182" t="s">
        <v>8</v>
      </c>
      <c r="E2" s="222" t="s">
        <v>93</v>
      </c>
      <c r="F2" s="240"/>
      <c r="G2" s="241"/>
    </row>
    <row r="3" ht="42" customHeight="1" spans="1:2">
      <c r="A3" s="239" t="s">
        <v>94</v>
      </c>
      <c r="B3" s="242" t="s">
        <v>95</v>
      </c>
    </row>
    <row r="4" ht="42" customHeight="1" spans="1:3">
      <c r="A4" s="239" t="s">
        <v>96</v>
      </c>
      <c r="B4" s="182" t="s">
        <v>8</v>
      </c>
      <c r="C4" s="181" t="s">
        <v>97</v>
      </c>
    </row>
    <row r="5" ht="23" spans="1:23">
      <c r="A5" s="108" t="s">
        <v>98</v>
      </c>
      <c r="W5" s="239" t="s">
        <v>99</v>
      </c>
    </row>
    <row r="6" ht="15.5" spans="1:1">
      <c r="A6" s="185"/>
    </row>
    <row r="7" ht="13" spans="5:16">
      <c r="E7" s="243"/>
      <c r="G7" s="111"/>
      <c r="H7" s="111"/>
      <c r="I7" s="111"/>
      <c r="J7" s="111"/>
      <c r="K7" s="111"/>
      <c r="L7" s="111"/>
      <c r="M7" s="111"/>
      <c r="N7" s="109"/>
      <c r="P7"/>
    </row>
    <row r="8" ht="22.5" spans="1:16">
      <c r="A8" s="241"/>
      <c r="E8" s="243"/>
      <c r="G8" s="111"/>
      <c r="H8" s="111"/>
      <c r="I8" s="111"/>
      <c r="J8" s="111"/>
      <c r="K8" s="111"/>
      <c r="L8" s="111"/>
      <c r="M8" s="111"/>
      <c r="N8" s="109"/>
      <c r="P8"/>
    </row>
    <row r="9" ht="13" spans="5:16">
      <c r="E9" s="243"/>
      <c r="G9" s="153" t="s">
        <v>12</v>
      </c>
      <c r="H9" s="111"/>
      <c r="I9" s="111"/>
      <c r="J9" s="111"/>
      <c r="K9" s="111"/>
      <c r="L9" s="111"/>
      <c r="M9" s="243"/>
      <c r="N9" s="109"/>
      <c r="P9"/>
    </row>
    <row r="10" ht="26" spans="2:21">
      <c r="B10" s="112" t="s">
        <v>14</v>
      </c>
      <c r="C10" s="113" t="s">
        <v>15</v>
      </c>
      <c r="D10" s="112" t="s">
        <v>16</v>
      </c>
      <c r="E10" s="112" t="s">
        <v>17</v>
      </c>
      <c r="F10" s="114" t="s">
        <v>100</v>
      </c>
      <c r="G10" s="114" t="s">
        <v>101</v>
      </c>
      <c r="H10" s="114" t="s">
        <v>102</v>
      </c>
      <c r="I10" s="266" t="s">
        <v>41</v>
      </c>
      <c r="J10" s="266" t="s">
        <v>103</v>
      </c>
      <c r="K10" s="266" t="s">
        <v>104</v>
      </c>
      <c r="L10" s="114" t="s">
        <v>21</v>
      </c>
      <c r="M10" s="266" t="s">
        <v>105</v>
      </c>
      <c r="N10" s="266" t="s">
        <v>23</v>
      </c>
      <c r="O10" s="266" t="s">
        <v>24</v>
      </c>
      <c r="P10" s="267" t="s">
        <v>28</v>
      </c>
      <c r="Q10" s="114" t="s">
        <v>29</v>
      </c>
      <c r="R10" s="114" t="s">
        <v>30</v>
      </c>
      <c r="U10"/>
    </row>
    <row r="11" ht="25" spans="2:25">
      <c r="B11" s="115" t="s">
        <v>31</v>
      </c>
      <c r="C11" s="115" t="s">
        <v>32</v>
      </c>
      <c r="D11" s="115" t="s">
        <v>33</v>
      </c>
      <c r="E11" s="115" t="s">
        <v>34</v>
      </c>
      <c r="F11" s="116"/>
      <c r="G11" s="116"/>
      <c r="H11" s="116"/>
      <c r="I11" s="268"/>
      <c r="J11" s="116"/>
      <c r="K11" s="116"/>
      <c r="L11" s="116"/>
      <c r="M11" s="268" t="s">
        <v>106</v>
      </c>
      <c r="N11" s="268" t="s">
        <v>106</v>
      </c>
      <c r="O11" s="268" t="s">
        <v>106</v>
      </c>
      <c r="P11" s="116" t="s">
        <v>36</v>
      </c>
      <c r="Q11" s="116"/>
      <c r="R11" s="116"/>
      <c r="U11"/>
      <c r="Y11" s="239" t="s">
        <v>107</v>
      </c>
    </row>
    <row r="12" ht="13" spans="2:21">
      <c r="B12" s="210" t="str">
        <f>B98</f>
        <v>SCOAH2GC01</v>
      </c>
      <c r="C12" s="210" t="str">
        <f>C98</f>
        <v>H2 Production-Coal Gasification</v>
      </c>
      <c r="D12" s="213" t="s">
        <v>108</v>
      </c>
      <c r="E12" s="212"/>
      <c r="F12" s="196">
        <f>1/54.5*100</f>
        <v>1.8348623853211</v>
      </c>
      <c r="G12" s="196">
        <f t="shared" ref="G12:H12" si="0">1/54.5*100</f>
        <v>1.8348623853211</v>
      </c>
      <c r="H12" s="196">
        <f t="shared" si="0"/>
        <v>1.8348623853211</v>
      </c>
      <c r="I12" s="269"/>
      <c r="J12" s="270"/>
      <c r="K12" s="270"/>
      <c r="L12" s="205">
        <v>0.95</v>
      </c>
      <c r="M12" s="199">
        <f>1.35*512</f>
        <v>691.2</v>
      </c>
      <c r="N12" s="199">
        <f>M12*0.95</f>
        <v>656.64</v>
      </c>
      <c r="O12" s="199">
        <f>M12*0.9</f>
        <v>622.08</v>
      </c>
      <c r="P12" s="271">
        <v>40</v>
      </c>
      <c r="Q12" s="294">
        <v>2021</v>
      </c>
      <c r="R12" s="295">
        <v>31.536</v>
      </c>
      <c r="U12"/>
    </row>
    <row r="13" ht="13" spans="2:21">
      <c r="B13" s="213"/>
      <c r="C13" s="213"/>
      <c r="E13" s="213" t="s">
        <v>37</v>
      </c>
      <c r="F13" s="225"/>
      <c r="G13" s="244"/>
      <c r="H13" s="244"/>
      <c r="I13" s="272">
        <f>3.18/33.3</f>
        <v>0.0954954954954955</v>
      </c>
      <c r="J13" s="272">
        <f>I13</f>
        <v>0.0954954954954955</v>
      </c>
      <c r="K13" s="272">
        <f>J13</f>
        <v>0.0954954954954955</v>
      </c>
      <c r="L13" s="213"/>
      <c r="M13" s="273"/>
      <c r="N13" s="274"/>
      <c r="O13" s="274"/>
      <c r="P13" s="275"/>
      <c r="Q13" s="296"/>
      <c r="R13" s="297"/>
      <c r="U13"/>
    </row>
    <row r="14" ht="13" spans="2:21">
      <c r="B14" s="213"/>
      <c r="C14" s="213"/>
      <c r="D14" s="213"/>
      <c r="E14" s="245" t="s">
        <v>84</v>
      </c>
      <c r="F14" s="196"/>
      <c r="G14" s="196"/>
      <c r="H14" s="196"/>
      <c r="I14" s="269">
        <f>'INPUT-Data(EUTIMES-HP)'!R3</f>
        <v>1</v>
      </c>
      <c r="J14" s="272">
        <f>I14</f>
        <v>1</v>
      </c>
      <c r="K14" s="272">
        <f>J14</f>
        <v>1</v>
      </c>
      <c r="L14" s="213"/>
      <c r="M14" s="273"/>
      <c r="N14" s="274"/>
      <c r="O14" s="274"/>
      <c r="P14" s="275"/>
      <c r="Q14" s="296"/>
      <c r="R14" s="297"/>
      <c r="U14"/>
    </row>
    <row r="15" s="191" customFormat="1" ht="13" spans="2:21">
      <c r="B15" s="213"/>
      <c r="C15" s="213"/>
      <c r="D15" s="213"/>
      <c r="E15" s="156" t="s">
        <v>44</v>
      </c>
      <c r="F15" s="196"/>
      <c r="G15" s="196"/>
      <c r="H15" s="196"/>
      <c r="I15" s="269">
        <f>'ReferEMI-NOUSE'!U2</f>
        <v>181.015795795796</v>
      </c>
      <c r="J15" s="270">
        <f>'ReferEMI-NOUSE'!U3</f>
        <v>189.357537537538</v>
      </c>
      <c r="K15" s="270">
        <f>'ReferEMI-NOUSE'!U4</f>
        <v>191.86006006006</v>
      </c>
      <c r="L15" s="213"/>
      <c r="M15" s="273"/>
      <c r="N15" s="274"/>
      <c r="O15" s="274"/>
      <c r="P15" s="275"/>
      <c r="Q15" s="296"/>
      <c r="R15" s="297"/>
      <c r="U15" s="201"/>
    </row>
    <row r="16" s="191" customFormat="1" ht="13" spans="2:21">
      <c r="B16" s="156" t="s">
        <v>109</v>
      </c>
      <c r="C16" s="210"/>
      <c r="D16" s="213"/>
      <c r="E16" s="213"/>
      <c r="F16" s="196"/>
      <c r="G16" s="196"/>
      <c r="H16" s="196"/>
      <c r="I16" s="269"/>
      <c r="J16" s="270"/>
      <c r="K16" s="270"/>
      <c r="L16" s="205"/>
      <c r="M16" s="199"/>
      <c r="N16" s="199"/>
      <c r="O16" s="199"/>
      <c r="P16" s="271"/>
      <c r="Q16" s="294"/>
      <c r="R16" s="295"/>
      <c r="U16" s="201"/>
    </row>
    <row r="17" s="191" customFormat="1" ht="13" spans="2:21">
      <c r="B17" s="156" t="s">
        <v>109</v>
      </c>
      <c r="C17" s="210"/>
      <c r="D17" s="213"/>
      <c r="E17" s="156"/>
      <c r="F17" s="141"/>
      <c r="G17" s="246"/>
      <c r="H17" s="246"/>
      <c r="I17" s="269"/>
      <c r="J17" s="270"/>
      <c r="K17" s="270"/>
      <c r="L17" s="205"/>
      <c r="M17" s="199"/>
      <c r="N17" s="199"/>
      <c r="O17" s="199"/>
      <c r="P17" s="271"/>
      <c r="Q17" s="296"/>
      <c r="R17" s="295"/>
      <c r="U17" s="201"/>
    </row>
    <row r="18" s="191" customFormat="1" ht="13" spans="2:21">
      <c r="B18" s="156" t="s">
        <v>109</v>
      </c>
      <c r="C18" s="210"/>
      <c r="D18" s="213"/>
      <c r="E18" s="212"/>
      <c r="F18" s="246"/>
      <c r="G18" s="246"/>
      <c r="H18" s="246"/>
      <c r="I18" s="276"/>
      <c r="J18" s="277"/>
      <c r="K18" s="277"/>
      <c r="L18" s="205"/>
      <c r="M18" s="199"/>
      <c r="N18" s="199"/>
      <c r="O18" s="199"/>
      <c r="P18" s="271"/>
      <c r="Q18" s="296"/>
      <c r="R18" s="295"/>
      <c r="U18" s="201"/>
    </row>
    <row r="19" ht="13" spans="2:21">
      <c r="B19" s="210" t="str">
        <f>B100</f>
        <v>SCOAH2GCC01</v>
      </c>
      <c r="C19" s="210" t="str">
        <f>C100</f>
        <v>H2 Production-Coal Gasification + Carbon Capture</v>
      </c>
      <c r="D19" s="213" t="s">
        <v>108</v>
      </c>
      <c r="E19" s="212"/>
      <c r="F19" s="196">
        <f>1/51*100</f>
        <v>1.96078431372549</v>
      </c>
      <c r="G19" s="196">
        <f t="shared" ref="G19:H19" si="1">1/51*100</f>
        <v>1.96078431372549</v>
      </c>
      <c r="H19" s="196">
        <f t="shared" si="1"/>
        <v>1.96078431372549</v>
      </c>
      <c r="I19" s="269"/>
      <c r="J19" s="270"/>
      <c r="K19" s="270"/>
      <c r="L19" s="205">
        <v>0.95</v>
      </c>
      <c r="M19" s="199">
        <f>(807+966)/2*1.35</f>
        <v>1196.775</v>
      </c>
      <c r="N19" s="199">
        <f>M19*0.95</f>
        <v>1136.93625</v>
      </c>
      <c r="O19" s="199">
        <f>M19*0.9</f>
        <v>1077.0975</v>
      </c>
      <c r="P19" s="271">
        <v>40</v>
      </c>
      <c r="Q19" s="294">
        <v>2021</v>
      </c>
      <c r="R19" s="295">
        <v>31.536</v>
      </c>
      <c r="U19"/>
    </row>
    <row r="20" ht="13" spans="2:21">
      <c r="B20" s="210"/>
      <c r="C20" s="210"/>
      <c r="D20" s="213" t="s">
        <v>37</v>
      </c>
      <c r="E20" s="212"/>
      <c r="F20" s="244"/>
      <c r="G20" s="244"/>
      <c r="H20" s="244"/>
      <c r="I20" s="269"/>
      <c r="J20" s="270"/>
      <c r="K20" s="270"/>
      <c r="L20" s="205"/>
      <c r="M20" s="199"/>
      <c r="N20" s="199"/>
      <c r="O20" s="199"/>
      <c r="P20" s="271"/>
      <c r="Q20" s="296"/>
      <c r="R20" s="297"/>
      <c r="U20"/>
    </row>
    <row r="21" ht="13" spans="2:21">
      <c r="B21" s="210"/>
      <c r="C21" s="210"/>
      <c r="D21" s="213"/>
      <c r="E21" s="245" t="s">
        <v>84</v>
      </c>
      <c r="F21" s="196"/>
      <c r="G21" s="196"/>
      <c r="H21" s="196"/>
      <c r="I21" s="269">
        <f>'INPUT-Data(EUTIMES-HP)'!R5</f>
        <v>1</v>
      </c>
      <c r="J21" s="270">
        <f>I21</f>
        <v>1</v>
      </c>
      <c r="K21" s="270">
        <f>J21</f>
        <v>1</v>
      </c>
      <c r="L21" s="205"/>
      <c r="M21" s="199"/>
      <c r="N21" s="199"/>
      <c r="O21" s="199"/>
      <c r="P21" s="271"/>
      <c r="Q21" s="296"/>
      <c r="R21" s="297"/>
      <c r="U21"/>
    </row>
    <row r="22" ht="13" spans="2:21">
      <c r="B22" s="213"/>
      <c r="C22" s="213"/>
      <c r="D22" s="213"/>
      <c r="E22" s="156" t="s">
        <v>44</v>
      </c>
      <c r="F22" s="196"/>
      <c r="G22" s="196"/>
      <c r="H22" s="196"/>
      <c r="I22" s="269">
        <f>'ReferEMI-NOUSE'!V2</f>
        <v>45.0454054054054</v>
      </c>
      <c r="J22" s="270">
        <f>'ReferEMI-NOUSE'!V3</f>
        <v>36.7036636636637</v>
      </c>
      <c r="K22" s="270">
        <f>'ReferEMI-NOUSE'!V4</f>
        <v>34.2011411411411</v>
      </c>
      <c r="L22" s="278"/>
      <c r="M22" s="199"/>
      <c r="N22" s="199"/>
      <c r="O22" s="199"/>
      <c r="P22" s="279"/>
      <c r="Q22" s="294"/>
      <c r="R22" s="298"/>
      <c r="U22"/>
    </row>
    <row r="23" ht="13" spans="2:21">
      <c r="B23" s="247" t="s">
        <v>109</v>
      </c>
      <c r="C23" s="248"/>
      <c r="D23" s="249"/>
      <c r="E23" s="250"/>
      <c r="F23" s="251"/>
      <c r="G23" s="251"/>
      <c r="H23" s="251"/>
      <c r="I23" s="280"/>
      <c r="J23" s="281"/>
      <c r="K23" s="281"/>
      <c r="L23" s="278"/>
      <c r="M23" s="282"/>
      <c r="N23" s="282"/>
      <c r="O23" s="282"/>
      <c r="P23" s="279"/>
      <c r="Q23" s="296"/>
      <c r="R23" s="298"/>
      <c r="U23"/>
    </row>
    <row r="24" ht="13" spans="2:37">
      <c r="B24" s="247" t="s">
        <v>109</v>
      </c>
      <c r="C24" s="248"/>
      <c r="D24" s="249"/>
      <c r="E24" s="250"/>
      <c r="F24" s="252"/>
      <c r="G24" s="252"/>
      <c r="H24" s="252"/>
      <c r="I24" s="283"/>
      <c r="J24" s="284"/>
      <c r="K24" s="284"/>
      <c r="L24" s="278"/>
      <c r="M24" s="282"/>
      <c r="N24" s="282"/>
      <c r="O24" s="282"/>
      <c r="P24" s="279"/>
      <c r="Q24" s="296"/>
      <c r="R24" s="298"/>
      <c r="U24"/>
      <c r="AK24" s="109">
        <f>0.4*1.5*1000*365*40</f>
        <v>8760000</v>
      </c>
    </row>
    <row r="25" ht="13" spans="2:21">
      <c r="B25" s="210" t="str">
        <f>B103</f>
        <v>SBIOH2GC01</v>
      </c>
      <c r="C25" s="210" t="str">
        <f>C103</f>
        <v>H2 Production-Biomass Gasification</v>
      </c>
      <c r="D25" s="213" t="s">
        <v>110</v>
      </c>
      <c r="E25" s="212"/>
      <c r="F25" s="196">
        <f>1/54.3*100</f>
        <v>1.84162062615101</v>
      </c>
      <c r="G25" s="196">
        <f>1/57.3*100</f>
        <v>1.74520069808028</v>
      </c>
      <c r="H25" s="196">
        <f>1/64.3*100</f>
        <v>1.5552099533437</v>
      </c>
      <c r="I25" s="269"/>
      <c r="J25" s="270"/>
      <c r="K25" s="270"/>
      <c r="L25" s="205">
        <v>0.95</v>
      </c>
      <c r="M25" s="199">
        <f>(533+1081)/2*1.35</f>
        <v>1089.45</v>
      </c>
      <c r="N25" s="199">
        <f>M25*0.95</f>
        <v>1034.9775</v>
      </c>
      <c r="O25" s="199">
        <f>M25*0.9</f>
        <v>980.505</v>
      </c>
      <c r="P25" s="271">
        <v>40</v>
      </c>
      <c r="Q25" s="294">
        <v>2021</v>
      </c>
      <c r="R25" s="295">
        <v>31.536</v>
      </c>
      <c r="U25"/>
    </row>
    <row r="26" ht="13" spans="2:21">
      <c r="B26" s="210"/>
      <c r="C26" s="210"/>
      <c r="D26" s="253" t="s">
        <v>37</v>
      </c>
      <c r="E26" s="212"/>
      <c r="F26" s="196"/>
      <c r="G26" s="196" t="str">
        <f>IF('INPUT-Data(EUTIMES-HP)'!P7=0,"",'INPUT-Data(EUTIMES-HP)'!P7)</f>
        <v/>
      </c>
      <c r="H26" s="196" t="str">
        <f>IF('INPUT-Data(EUTIMES-HP)'!Q7=0,"",'INPUT-Data(EUTIMES-HP)'!Q7)</f>
        <v/>
      </c>
      <c r="I26" s="269"/>
      <c r="J26" s="270"/>
      <c r="K26" s="270"/>
      <c r="L26" s="205"/>
      <c r="M26" s="199"/>
      <c r="N26" s="199"/>
      <c r="O26" s="199"/>
      <c r="P26" s="271"/>
      <c r="Q26" s="296"/>
      <c r="R26" s="297"/>
      <c r="U26"/>
    </row>
    <row r="27" ht="13" spans="2:21">
      <c r="B27" s="210"/>
      <c r="C27" s="210"/>
      <c r="D27" s="213"/>
      <c r="E27" s="245" t="s">
        <v>84</v>
      </c>
      <c r="F27" s="225"/>
      <c r="G27" s="196"/>
      <c r="H27" s="196"/>
      <c r="I27" s="269">
        <f>'INPUT-Data(EUTIMES-HP)'!R7</f>
        <v>1</v>
      </c>
      <c r="J27" s="270">
        <f>I27</f>
        <v>1</v>
      </c>
      <c r="K27" s="270">
        <f>J27</f>
        <v>1</v>
      </c>
      <c r="L27" s="205"/>
      <c r="M27" s="199"/>
      <c r="N27" s="199"/>
      <c r="O27" s="199"/>
      <c r="P27" s="271"/>
      <c r="Q27" s="296"/>
      <c r="R27" s="297"/>
      <c r="U27"/>
    </row>
    <row r="28" ht="13" spans="2:21">
      <c r="B28" s="213"/>
      <c r="C28" s="213"/>
      <c r="D28" s="213"/>
      <c r="E28" s="156" t="s">
        <v>44</v>
      </c>
      <c r="F28" s="196"/>
      <c r="G28" s="196"/>
      <c r="H28" s="196"/>
      <c r="I28" s="269">
        <f>'ReferEMI-NOUSE'!Y2</f>
        <v>10.8442642642643</v>
      </c>
      <c r="J28" s="270">
        <f>'ReferEMI-NOUSE'!Y3</f>
        <v>5.83921921921922</v>
      </c>
      <c r="K28" s="270">
        <f>'ReferEMI-NOUSE'!Y4</f>
        <v>4.17087087087087</v>
      </c>
      <c r="L28" s="278"/>
      <c r="M28" s="199"/>
      <c r="N28" s="199"/>
      <c r="O28" s="199"/>
      <c r="P28" s="279"/>
      <c r="Q28" s="294"/>
      <c r="R28" s="298"/>
      <c r="U28"/>
    </row>
    <row r="29" ht="13" spans="2:21">
      <c r="B29" s="247" t="s">
        <v>109</v>
      </c>
      <c r="C29" s="248"/>
      <c r="D29" s="249"/>
      <c r="E29" s="250"/>
      <c r="F29" s="254"/>
      <c r="G29" s="252"/>
      <c r="H29" s="252"/>
      <c r="I29" s="280"/>
      <c r="J29" s="281"/>
      <c r="K29" s="281"/>
      <c r="L29" s="278"/>
      <c r="M29" s="282"/>
      <c r="N29" s="282"/>
      <c r="O29" s="282"/>
      <c r="P29" s="279"/>
      <c r="Q29" s="296"/>
      <c r="R29" s="298"/>
      <c r="U29"/>
    </row>
    <row r="30" ht="13" spans="2:21">
      <c r="B30" s="247" t="s">
        <v>109</v>
      </c>
      <c r="C30" s="248"/>
      <c r="D30" s="249"/>
      <c r="E30" s="247"/>
      <c r="F30" s="251"/>
      <c r="G30" s="251"/>
      <c r="H30" s="251"/>
      <c r="I30" s="280"/>
      <c r="J30" s="281"/>
      <c r="K30" s="281"/>
      <c r="L30" s="278"/>
      <c r="M30" s="282"/>
      <c r="N30" s="282"/>
      <c r="O30" s="282"/>
      <c r="P30" s="279"/>
      <c r="Q30" s="296"/>
      <c r="R30" s="298"/>
      <c r="U30"/>
    </row>
    <row r="31" ht="13" spans="2:21">
      <c r="B31" s="210" t="str">
        <f>B104</f>
        <v>SBIOH2GCC01</v>
      </c>
      <c r="C31" s="210" t="str">
        <f>C104</f>
        <v>H2 Production-Biomass Gasification + Carbon Capture</v>
      </c>
      <c r="D31" s="213" t="s">
        <v>110</v>
      </c>
      <c r="E31" s="212"/>
      <c r="F31" s="196">
        <f>1/54.3*100</f>
        <v>1.84162062615101</v>
      </c>
      <c r="G31" s="196">
        <f>1/57.3*100</f>
        <v>1.74520069808028</v>
      </c>
      <c r="H31" s="196">
        <f>1/64.3*100</f>
        <v>1.5552099533437</v>
      </c>
      <c r="I31" s="269"/>
      <c r="J31" s="270"/>
      <c r="K31" s="270"/>
      <c r="L31" s="205">
        <v>0.95</v>
      </c>
      <c r="M31" s="199">
        <f>(1135+1297)/2*1.35</f>
        <v>1641.6</v>
      </c>
      <c r="N31" s="199">
        <f>M31*0.95</f>
        <v>1559.52</v>
      </c>
      <c r="O31" s="199">
        <f>M31*0.9</f>
        <v>1477.44</v>
      </c>
      <c r="P31" s="271">
        <v>40</v>
      </c>
      <c r="Q31" s="294">
        <v>2021</v>
      </c>
      <c r="R31" s="295">
        <v>31.536</v>
      </c>
      <c r="U31"/>
    </row>
    <row r="32" ht="13" spans="2:21">
      <c r="B32" s="210"/>
      <c r="C32" s="210"/>
      <c r="D32" s="213" t="s">
        <v>37</v>
      </c>
      <c r="E32" s="212"/>
      <c r="F32" s="196"/>
      <c r="G32" s="196" t="str">
        <f>IF('INPUT-Data(EUTIMES-HP)'!P9=0,"",'INPUT-Data(EUTIMES-HP)'!P9)</f>
        <v/>
      </c>
      <c r="H32" s="196" t="str">
        <f>IF('INPUT-Data(EUTIMES-HP)'!Q9=0,"",'INPUT-Data(EUTIMES-HP)'!Q9)</f>
        <v/>
      </c>
      <c r="I32" s="269"/>
      <c r="J32" s="270"/>
      <c r="K32" s="270"/>
      <c r="L32" s="205"/>
      <c r="M32" s="199"/>
      <c r="N32" s="199"/>
      <c r="O32" s="199"/>
      <c r="P32" s="271"/>
      <c r="Q32" s="296"/>
      <c r="R32" s="297"/>
      <c r="U32"/>
    </row>
    <row r="33" ht="13" spans="2:21">
      <c r="B33" s="210"/>
      <c r="C33" s="210"/>
      <c r="D33" s="213"/>
      <c r="E33" s="245" t="s">
        <v>84</v>
      </c>
      <c r="F33" s="225"/>
      <c r="G33" s="225"/>
      <c r="H33" s="225"/>
      <c r="I33" s="269">
        <f>'INPUT-Data(EUTIMES-HP)'!R9</f>
        <v>1</v>
      </c>
      <c r="J33" s="270">
        <f>I33</f>
        <v>1</v>
      </c>
      <c r="K33" s="270">
        <f>J33</f>
        <v>1</v>
      </c>
      <c r="L33" s="205"/>
      <c r="M33" s="199"/>
      <c r="N33" s="199"/>
      <c r="O33" s="199"/>
      <c r="P33" s="271"/>
      <c r="Q33" s="296"/>
      <c r="R33" s="297"/>
      <c r="U33"/>
    </row>
    <row r="34" s="191" customFormat="1" ht="13" spans="2:21">
      <c r="B34" s="213" t="s">
        <v>109</v>
      </c>
      <c r="C34" s="213"/>
      <c r="D34" s="213"/>
      <c r="E34" s="156"/>
      <c r="F34" s="196"/>
      <c r="G34" s="196"/>
      <c r="H34" s="196"/>
      <c r="I34" s="269"/>
      <c r="J34" s="270"/>
      <c r="K34" s="270"/>
      <c r="L34" s="205"/>
      <c r="M34" s="199"/>
      <c r="N34" s="199"/>
      <c r="O34" s="199"/>
      <c r="P34" s="271"/>
      <c r="Q34" s="294"/>
      <c r="R34" s="295"/>
      <c r="U34" s="201"/>
    </row>
    <row r="35" s="191" customFormat="1" ht="13" spans="2:21">
      <c r="B35" s="156" t="s">
        <v>109</v>
      </c>
      <c r="C35" s="210"/>
      <c r="D35" s="213"/>
      <c r="E35" s="212"/>
      <c r="F35" s="196"/>
      <c r="G35" s="196"/>
      <c r="H35" s="196"/>
      <c r="I35" s="269"/>
      <c r="J35" s="270"/>
      <c r="K35" s="270"/>
      <c r="L35" s="205"/>
      <c r="M35" s="199"/>
      <c r="N35" s="199"/>
      <c r="O35" s="199"/>
      <c r="P35" s="271"/>
      <c r="Q35" s="296"/>
      <c r="R35" s="295"/>
      <c r="U35" s="201"/>
    </row>
    <row r="36" s="191" customFormat="1" ht="13" spans="2:21">
      <c r="B36" s="255" t="s">
        <v>109</v>
      </c>
      <c r="C36" s="256"/>
      <c r="D36" s="257"/>
      <c r="E36" s="255"/>
      <c r="F36" s="141"/>
      <c r="G36" s="141"/>
      <c r="H36" s="141"/>
      <c r="I36" s="269"/>
      <c r="J36" s="285"/>
      <c r="K36" s="285"/>
      <c r="L36" s="286"/>
      <c r="M36" s="199"/>
      <c r="N36" s="199"/>
      <c r="O36" s="199"/>
      <c r="P36" s="271"/>
      <c r="Q36" s="296"/>
      <c r="R36" s="295"/>
      <c r="U36" s="201"/>
    </row>
    <row r="37" s="191" customFormat="1" ht="13" spans="2:21">
      <c r="B37" s="255" t="s">
        <v>109</v>
      </c>
      <c r="C37" s="210"/>
      <c r="D37" s="213"/>
      <c r="E37" s="212"/>
      <c r="F37" s="196"/>
      <c r="G37" s="196"/>
      <c r="H37" s="196"/>
      <c r="I37" s="269"/>
      <c r="J37" s="270"/>
      <c r="K37" s="270"/>
      <c r="L37" s="205"/>
      <c r="M37" s="199"/>
      <c r="N37" s="199"/>
      <c r="O37" s="199"/>
      <c r="P37" s="271"/>
      <c r="Q37" s="294"/>
      <c r="R37" s="295"/>
      <c r="U37" s="201"/>
    </row>
    <row r="38" s="191" customFormat="1" ht="13" spans="2:21">
      <c r="B38" s="255" t="s">
        <v>109</v>
      </c>
      <c r="C38" s="210"/>
      <c r="D38" s="213"/>
      <c r="E38" s="212"/>
      <c r="F38" s="196"/>
      <c r="G38" s="196"/>
      <c r="H38" s="196"/>
      <c r="I38" s="269"/>
      <c r="J38" s="270"/>
      <c r="K38" s="270"/>
      <c r="L38" s="205"/>
      <c r="M38" s="199"/>
      <c r="N38" s="199"/>
      <c r="O38" s="199"/>
      <c r="P38" s="271"/>
      <c r="Q38" s="296"/>
      <c r="R38" s="295"/>
      <c r="U38" s="201"/>
    </row>
    <row r="39" s="191" customFormat="1" ht="13" spans="2:21">
      <c r="B39" s="255" t="s">
        <v>109</v>
      </c>
      <c r="C39" s="210"/>
      <c r="D39" s="213"/>
      <c r="E39" s="156"/>
      <c r="F39" s="141"/>
      <c r="G39" s="141"/>
      <c r="H39" s="141"/>
      <c r="I39" s="269"/>
      <c r="J39" s="270"/>
      <c r="K39" s="270"/>
      <c r="L39" s="205"/>
      <c r="M39" s="199"/>
      <c r="N39" s="199"/>
      <c r="O39" s="199"/>
      <c r="P39" s="271"/>
      <c r="Q39" s="296"/>
      <c r="R39" s="295"/>
      <c r="U39" s="201"/>
    </row>
    <row r="40" ht="13" spans="2:21">
      <c r="B40" s="258" t="str">
        <f>B107</f>
        <v>SGASH2RC01</v>
      </c>
      <c r="C40" s="258" t="str">
        <f>C107</f>
        <v>H2 Production-Methane Steam Reforming</v>
      </c>
      <c r="D40" s="259" t="s">
        <v>111</v>
      </c>
      <c r="E40" s="260"/>
      <c r="F40" s="196">
        <f>1/76.6*100</f>
        <v>1.30548302872063</v>
      </c>
      <c r="G40" s="196">
        <f t="shared" ref="G40:H40" si="2">1/76.6*100</f>
        <v>1.30548302872063</v>
      </c>
      <c r="H40" s="196">
        <f t="shared" si="2"/>
        <v>1.30548302872063</v>
      </c>
      <c r="I40" s="287"/>
      <c r="J40" s="259"/>
      <c r="K40" s="259"/>
      <c r="L40" s="288">
        <v>0.95</v>
      </c>
      <c r="M40" s="289">
        <f>(371+778)/2*1.35</f>
        <v>775.575</v>
      </c>
      <c r="N40" s="199">
        <f>M40*0.95</f>
        <v>736.79625</v>
      </c>
      <c r="O40" s="199">
        <f>M40*0.9</f>
        <v>698.0175</v>
      </c>
      <c r="P40" s="290">
        <v>40</v>
      </c>
      <c r="Q40" s="294">
        <v>2021</v>
      </c>
      <c r="R40" s="299">
        <v>31.536</v>
      </c>
      <c r="U40"/>
    </row>
    <row r="41" ht="13" spans="2:21">
      <c r="B41" s="258"/>
      <c r="C41" s="258"/>
      <c r="D41" s="259" t="s">
        <v>37</v>
      </c>
      <c r="E41" s="260"/>
      <c r="F41" s="261"/>
      <c r="G41" s="261"/>
      <c r="H41" s="261"/>
      <c r="I41" s="287"/>
      <c r="J41" s="259"/>
      <c r="K41" s="259"/>
      <c r="L41" s="288"/>
      <c r="M41" s="289"/>
      <c r="N41" s="289"/>
      <c r="O41" s="289"/>
      <c r="P41" s="290"/>
      <c r="Q41" s="296"/>
      <c r="R41" s="299"/>
      <c r="U41"/>
    </row>
    <row r="42" ht="13" spans="2:21">
      <c r="B42" s="258"/>
      <c r="C42" s="258"/>
      <c r="D42" s="259"/>
      <c r="E42" s="245" t="s">
        <v>84</v>
      </c>
      <c r="F42" s="262"/>
      <c r="G42" s="262"/>
      <c r="H42" s="262"/>
      <c r="I42" s="291">
        <f>'INPUT-Data(EUTIMES-HP)'!R12</f>
        <v>1</v>
      </c>
      <c r="J42" s="270">
        <f>I42</f>
        <v>1</v>
      </c>
      <c r="K42" s="270">
        <f>J42</f>
        <v>1</v>
      </c>
      <c r="L42" s="288"/>
      <c r="M42" s="289"/>
      <c r="N42" s="289"/>
      <c r="O42" s="289"/>
      <c r="P42" s="290"/>
      <c r="Q42" s="296"/>
      <c r="R42" s="299"/>
      <c r="U42"/>
    </row>
    <row r="43" ht="13" spans="2:21">
      <c r="B43" s="213"/>
      <c r="C43" s="213"/>
      <c r="D43" s="213"/>
      <c r="E43" s="156" t="s">
        <v>44</v>
      </c>
      <c r="F43" s="196"/>
      <c r="G43" s="196"/>
      <c r="H43" s="196"/>
      <c r="I43" s="269">
        <f>'ReferEMI-NOUSE'!W2</f>
        <v>88.4224624624625</v>
      </c>
      <c r="J43" s="270">
        <f>'ReferEMI-NOUSE'!W3</f>
        <v>90.924984984985</v>
      </c>
      <c r="K43" s="270">
        <f>'ReferEMI-NOUSE'!W4</f>
        <v>91.7591591591592</v>
      </c>
      <c r="L43" s="278"/>
      <c r="M43" s="282"/>
      <c r="N43" s="282"/>
      <c r="O43" s="282"/>
      <c r="P43" s="279"/>
      <c r="Q43" s="294"/>
      <c r="R43" s="298"/>
      <c r="U43"/>
    </row>
    <row r="44" ht="13" spans="2:21">
      <c r="B44" s="156" t="s">
        <v>109</v>
      </c>
      <c r="C44" s="210"/>
      <c r="D44" s="213"/>
      <c r="E44" s="212"/>
      <c r="F44" s="196"/>
      <c r="G44" s="196"/>
      <c r="H44" s="196"/>
      <c r="I44" s="269"/>
      <c r="J44" s="270"/>
      <c r="K44" s="270"/>
      <c r="L44" s="205"/>
      <c r="M44" s="199"/>
      <c r="N44" s="199"/>
      <c r="O44" s="199"/>
      <c r="P44" s="271"/>
      <c r="Q44" s="296"/>
      <c r="R44" s="295"/>
      <c r="U44"/>
    </row>
    <row r="45" ht="13" spans="2:21">
      <c r="B45" s="156" t="s">
        <v>109</v>
      </c>
      <c r="C45" s="210"/>
      <c r="D45" s="213"/>
      <c r="E45" s="156"/>
      <c r="F45" s="225"/>
      <c r="G45" s="225"/>
      <c r="H45" s="225"/>
      <c r="I45" s="269"/>
      <c r="J45" s="270"/>
      <c r="K45" s="270"/>
      <c r="L45" s="205"/>
      <c r="M45" s="199"/>
      <c r="N45" s="199"/>
      <c r="O45" s="199"/>
      <c r="P45" s="271"/>
      <c r="Q45" s="296"/>
      <c r="R45" s="295"/>
      <c r="U45"/>
    </row>
    <row r="46" ht="13" spans="2:21">
      <c r="B46" s="258" t="str">
        <f>B109</f>
        <v>SGASH2RCC01</v>
      </c>
      <c r="C46" s="258" t="str">
        <f>C109</f>
        <v>H2 Production-Methane Steam Reforming + Carbon Capture</v>
      </c>
      <c r="D46" s="259" t="s">
        <v>111</v>
      </c>
      <c r="E46" s="260"/>
      <c r="F46" s="196">
        <f>1/77.3*100</f>
        <v>1.29366106080207</v>
      </c>
      <c r="G46" s="196">
        <f t="shared" ref="G46:H46" si="3">1/77.3*100</f>
        <v>1.29366106080207</v>
      </c>
      <c r="H46" s="196">
        <f t="shared" si="3"/>
        <v>1.29366106080207</v>
      </c>
      <c r="I46" s="287"/>
      <c r="J46" s="259"/>
      <c r="K46" s="259"/>
      <c r="L46" s="288">
        <v>0.95</v>
      </c>
      <c r="M46" s="289">
        <f>(696+814)/2*1.35</f>
        <v>1019.25</v>
      </c>
      <c r="N46" s="199">
        <f>M46*0.95</f>
        <v>968.2875</v>
      </c>
      <c r="O46" s="199">
        <f>M46*0.9</f>
        <v>917.325</v>
      </c>
      <c r="P46" s="290">
        <v>40</v>
      </c>
      <c r="Q46" s="294">
        <v>2021</v>
      </c>
      <c r="R46" s="299">
        <v>31.536</v>
      </c>
      <c r="U46"/>
    </row>
    <row r="47" ht="13" spans="2:21">
      <c r="B47" s="258"/>
      <c r="C47" s="258"/>
      <c r="D47" s="259" t="s">
        <v>37</v>
      </c>
      <c r="E47" s="260"/>
      <c r="F47" s="261">
        <f>I49*1000*0.18/(2.77778*10^8)</f>
        <v>2.86488549187539e-5</v>
      </c>
      <c r="G47" s="261">
        <f>F47</f>
        <v>2.86488549187539e-5</v>
      </c>
      <c r="H47" s="261">
        <f>G47</f>
        <v>2.86488549187539e-5</v>
      </c>
      <c r="I47" s="287"/>
      <c r="J47" s="259"/>
      <c r="K47" s="259"/>
      <c r="L47" s="288"/>
      <c r="M47" s="289"/>
      <c r="N47" s="289"/>
      <c r="O47" s="289"/>
      <c r="P47" s="290"/>
      <c r="Q47" s="296"/>
      <c r="R47" s="299"/>
      <c r="U47"/>
    </row>
    <row r="48" ht="13" spans="2:21">
      <c r="B48" s="258"/>
      <c r="C48" s="258"/>
      <c r="D48" s="259"/>
      <c r="E48" s="245" t="s">
        <v>84</v>
      </c>
      <c r="F48" s="262"/>
      <c r="G48" s="262"/>
      <c r="H48" s="262"/>
      <c r="I48" s="291">
        <f>'INPUT-Data(EUTIMES-HP)'!R14</f>
        <v>1</v>
      </c>
      <c r="J48" s="292">
        <f>I48</f>
        <v>1</v>
      </c>
      <c r="K48" s="292">
        <f>J48</f>
        <v>1</v>
      </c>
      <c r="L48" s="288"/>
      <c r="M48" s="289"/>
      <c r="N48" s="289"/>
      <c r="O48" s="289"/>
      <c r="P48" s="290"/>
      <c r="Q48" s="296"/>
      <c r="R48" s="299"/>
      <c r="U48"/>
    </row>
    <row r="49" ht="13" spans="2:21">
      <c r="B49" s="213"/>
      <c r="C49" s="213"/>
      <c r="D49" s="213"/>
      <c r="E49" s="156" t="s">
        <v>44</v>
      </c>
      <c r="F49" s="196"/>
      <c r="G49" s="196"/>
      <c r="H49" s="196"/>
      <c r="I49" s="269">
        <f>'ReferEMI-NOUSE'!X2</f>
        <v>44.2112312312312</v>
      </c>
      <c r="J49" s="270">
        <f>'ReferEMI-NOUSE'!X3</f>
        <v>43.3770570570571</v>
      </c>
      <c r="K49" s="270">
        <f>'ReferEMI-NOUSE'!X4</f>
        <v>43.3770570570571</v>
      </c>
      <c r="L49" s="278"/>
      <c r="M49" s="282"/>
      <c r="N49" s="282"/>
      <c r="O49" s="282"/>
      <c r="P49" s="279"/>
      <c r="Q49" s="294"/>
      <c r="R49" s="298"/>
      <c r="U49"/>
    </row>
    <row r="50" ht="13" spans="2:21">
      <c r="B50" s="156" t="s">
        <v>109</v>
      </c>
      <c r="C50" s="210"/>
      <c r="D50" s="213"/>
      <c r="E50" s="212"/>
      <c r="F50" s="196"/>
      <c r="G50" s="196"/>
      <c r="H50" s="196"/>
      <c r="I50" s="269"/>
      <c r="J50" s="270"/>
      <c r="K50" s="270"/>
      <c r="L50" s="205"/>
      <c r="M50" s="199"/>
      <c r="N50" s="293"/>
      <c r="O50" s="293"/>
      <c r="P50" s="271"/>
      <c r="Q50" s="296"/>
      <c r="R50" s="295"/>
      <c r="U50"/>
    </row>
    <row r="51" ht="13" spans="2:21">
      <c r="B51" s="156" t="s">
        <v>109</v>
      </c>
      <c r="C51" s="210"/>
      <c r="D51" s="213"/>
      <c r="E51" s="156"/>
      <c r="F51" s="225"/>
      <c r="G51" s="225"/>
      <c r="H51" s="225"/>
      <c r="I51" s="269"/>
      <c r="J51" s="270"/>
      <c r="K51" s="270"/>
      <c r="L51" s="205"/>
      <c r="M51" s="199"/>
      <c r="N51" s="199"/>
      <c r="O51" s="199"/>
      <c r="P51" s="271"/>
      <c r="Q51" s="296"/>
      <c r="R51" s="295"/>
      <c r="U51"/>
    </row>
    <row r="52" ht="13" spans="2:21">
      <c r="B52" s="263" t="s">
        <v>109</v>
      </c>
      <c r="C52" s="210"/>
      <c r="D52" s="259"/>
      <c r="E52" s="260"/>
      <c r="F52" s="261"/>
      <c r="G52" s="261"/>
      <c r="H52" s="261"/>
      <c r="I52" s="287"/>
      <c r="J52" s="259"/>
      <c r="K52" s="259"/>
      <c r="L52" s="288"/>
      <c r="M52" s="289"/>
      <c r="N52" s="199"/>
      <c r="O52" s="199"/>
      <c r="P52" s="290"/>
      <c r="Q52" s="294"/>
      <c r="R52" s="299"/>
      <c r="U52"/>
    </row>
    <row r="53" ht="13" spans="2:21">
      <c r="B53" s="263" t="s">
        <v>109</v>
      </c>
      <c r="C53" s="210"/>
      <c r="D53" s="259"/>
      <c r="E53" s="260"/>
      <c r="F53" s="261"/>
      <c r="G53" s="261"/>
      <c r="H53" s="261"/>
      <c r="I53" s="287"/>
      <c r="J53" s="259"/>
      <c r="K53" s="259"/>
      <c r="L53" s="288"/>
      <c r="M53" s="289"/>
      <c r="N53" s="289"/>
      <c r="O53" s="289"/>
      <c r="P53" s="290"/>
      <c r="Q53" s="296"/>
      <c r="R53" s="299"/>
      <c r="U53"/>
    </row>
    <row r="54" ht="13" spans="2:21">
      <c r="B54" s="263" t="s">
        <v>109</v>
      </c>
      <c r="C54" s="210"/>
      <c r="D54" s="259"/>
      <c r="E54" s="263"/>
      <c r="F54" s="262"/>
      <c r="G54" s="262"/>
      <c r="H54" s="262"/>
      <c r="I54" s="291"/>
      <c r="J54" s="292"/>
      <c r="K54" s="292"/>
      <c r="L54" s="288"/>
      <c r="M54" s="289"/>
      <c r="N54" s="289"/>
      <c r="O54" s="289"/>
      <c r="P54" s="290"/>
      <c r="Q54" s="296"/>
      <c r="R54" s="299"/>
      <c r="U54"/>
    </row>
    <row r="55" ht="13" spans="2:21">
      <c r="B55" s="263" t="s">
        <v>109</v>
      </c>
      <c r="C55" s="210"/>
      <c r="D55" s="213"/>
      <c r="E55" s="212"/>
      <c r="F55" s="196"/>
      <c r="G55" s="196"/>
      <c r="H55" s="196"/>
      <c r="I55" s="269"/>
      <c r="J55" s="270"/>
      <c r="K55" s="270"/>
      <c r="L55" s="205"/>
      <c r="M55" s="289"/>
      <c r="N55" s="199"/>
      <c r="O55" s="199"/>
      <c r="P55" s="271"/>
      <c r="Q55" s="294"/>
      <c r="R55" s="295"/>
      <c r="U55"/>
    </row>
    <row r="56" ht="13" spans="2:21">
      <c r="B56" s="263" t="s">
        <v>109</v>
      </c>
      <c r="C56" s="210"/>
      <c r="D56" s="264"/>
      <c r="E56" s="212"/>
      <c r="F56" s="196"/>
      <c r="G56" s="196"/>
      <c r="H56" s="196"/>
      <c r="I56" s="269"/>
      <c r="J56" s="270"/>
      <c r="K56" s="270"/>
      <c r="L56" s="205"/>
      <c r="M56" s="199"/>
      <c r="N56" s="199"/>
      <c r="O56" s="199"/>
      <c r="P56" s="271"/>
      <c r="Q56" s="296"/>
      <c r="R56" s="295"/>
      <c r="U56"/>
    </row>
    <row r="57" ht="13" spans="2:21">
      <c r="B57" s="263" t="s">
        <v>109</v>
      </c>
      <c r="C57" s="210"/>
      <c r="D57" s="213"/>
      <c r="E57" s="156"/>
      <c r="F57" s="225"/>
      <c r="G57" s="225"/>
      <c r="H57" s="225"/>
      <c r="I57" s="269"/>
      <c r="J57" s="270"/>
      <c r="K57" s="270"/>
      <c r="L57" s="205"/>
      <c r="M57" s="199"/>
      <c r="N57" s="199"/>
      <c r="O57" s="199"/>
      <c r="P57" s="271"/>
      <c r="Q57" s="296"/>
      <c r="R57" s="295"/>
      <c r="U57"/>
    </row>
    <row r="58" ht="13" spans="2:21">
      <c r="B58" s="263" t="s">
        <v>109</v>
      </c>
      <c r="C58" s="210"/>
      <c r="D58" s="259"/>
      <c r="E58" s="260"/>
      <c r="F58" s="261"/>
      <c r="G58" s="261"/>
      <c r="H58" s="261"/>
      <c r="I58" s="287"/>
      <c r="J58" s="259"/>
      <c r="K58" s="259"/>
      <c r="L58" s="288"/>
      <c r="M58" s="289"/>
      <c r="N58" s="199"/>
      <c r="O58" s="199"/>
      <c r="P58" s="290"/>
      <c r="Q58" s="294"/>
      <c r="R58" s="299"/>
      <c r="U58"/>
    </row>
    <row r="59" ht="13" spans="2:21">
      <c r="B59" s="263" t="s">
        <v>109</v>
      </c>
      <c r="C59" s="210"/>
      <c r="D59" s="264"/>
      <c r="E59" s="260"/>
      <c r="F59" s="261"/>
      <c r="G59" s="261"/>
      <c r="H59" s="261"/>
      <c r="I59" s="287"/>
      <c r="J59" s="259"/>
      <c r="K59" s="259"/>
      <c r="L59" s="288"/>
      <c r="M59" s="289"/>
      <c r="N59" s="289"/>
      <c r="O59" s="289"/>
      <c r="P59" s="290"/>
      <c r="Q59" s="296"/>
      <c r="R59" s="299"/>
      <c r="U59"/>
    </row>
    <row r="60" ht="13" spans="2:21">
      <c r="B60" s="263" t="s">
        <v>109</v>
      </c>
      <c r="C60" s="210"/>
      <c r="D60" s="259"/>
      <c r="E60" s="263"/>
      <c r="F60" s="262"/>
      <c r="G60" s="262"/>
      <c r="H60" s="262"/>
      <c r="I60" s="291"/>
      <c r="J60" s="292"/>
      <c r="K60" s="292"/>
      <c r="L60" s="288"/>
      <c r="M60" s="289"/>
      <c r="N60" s="289"/>
      <c r="O60" s="289"/>
      <c r="P60" s="290"/>
      <c r="Q60" s="296"/>
      <c r="R60" s="299"/>
      <c r="U60"/>
    </row>
    <row r="61" ht="13" spans="2:21">
      <c r="B61" s="156" t="s">
        <v>109</v>
      </c>
      <c r="C61" s="210"/>
      <c r="D61" s="213"/>
      <c r="E61" s="212"/>
      <c r="F61" s="246"/>
      <c r="G61" s="196"/>
      <c r="H61" s="196"/>
      <c r="I61" s="269"/>
      <c r="J61" s="270"/>
      <c r="K61" s="270"/>
      <c r="L61" s="205"/>
      <c r="M61" s="199"/>
      <c r="N61" s="199"/>
      <c r="O61" s="199"/>
      <c r="P61" s="271"/>
      <c r="Q61" s="294"/>
      <c r="R61" s="295"/>
      <c r="U61"/>
    </row>
    <row r="62" ht="13" spans="2:21">
      <c r="B62" s="156" t="s">
        <v>109</v>
      </c>
      <c r="C62" s="210"/>
      <c r="D62" s="265"/>
      <c r="E62" s="212"/>
      <c r="F62" s="196"/>
      <c r="G62" s="196"/>
      <c r="H62" s="196"/>
      <c r="I62" s="269"/>
      <c r="J62" s="270"/>
      <c r="K62" s="270"/>
      <c r="L62" s="205"/>
      <c r="M62" s="199"/>
      <c r="N62" s="199"/>
      <c r="O62" s="199"/>
      <c r="P62" s="271"/>
      <c r="Q62" s="296"/>
      <c r="R62" s="295"/>
      <c r="U62"/>
    </row>
    <row r="63" ht="13" spans="2:21">
      <c r="B63" s="156" t="s">
        <v>109</v>
      </c>
      <c r="C63" s="210"/>
      <c r="D63" s="213"/>
      <c r="E63" s="156"/>
      <c r="F63" s="225"/>
      <c r="G63" s="225"/>
      <c r="H63" s="225"/>
      <c r="I63" s="269"/>
      <c r="J63" s="270"/>
      <c r="K63" s="270"/>
      <c r="L63" s="205"/>
      <c r="M63" s="199"/>
      <c r="N63" s="199"/>
      <c r="O63" s="199"/>
      <c r="P63" s="271"/>
      <c r="Q63" s="296"/>
      <c r="R63" s="295"/>
      <c r="U63"/>
    </row>
    <row r="64" ht="13" spans="2:21">
      <c r="B64" s="156" t="s">
        <v>109</v>
      </c>
      <c r="C64" s="210"/>
      <c r="D64" s="259"/>
      <c r="E64" s="260"/>
      <c r="F64" s="261"/>
      <c r="G64" s="261"/>
      <c r="H64" s="261"/>
      <c r="I64" s="287"/>
      <c r="J64" s="259"/>
      <c r="K64" s="259"/>
      <c r="L64" s="288"/>
      <c r="M64" s="289"/>
      <c r="N64" s="289"/>
      <c r="O64" s="289"/>
      <c r="P64" s="290"/>
      <c r="Q64" s="294"/>
      <c r="R64" s="299"/>
      <c r="U64"/>
    </row>
    <row r="65" ht="13" spans="2:21">
      <c r="B65" s="156" t="s">
        <v>109</v>
      </c>
      <c r="C65" s="210"/>
      <c r="D65" s="259"/>
      <c r="E65" s="260"/>
      <c r="F65" s="261"/>
      <c r="G65" s="261"/>
      <c r="H65" s="261"/>
      <c r="I65" s="287"/>
      <c r="J65" s="259"/>
      <c r="K65" s="259"/>
      <c r="L65" s="288"/>
      <c r="M65" s="289"/>
      <c r="N65" s="289"/>
      <c r="O65" s="289"/>
      <c r="P65" s="290"/>
      <c r="Q65" s="296"/>
      <c r="R65" s="299"/>
      <c r="U65"/>
    </row>
    <row r="66" ht="13" spans="2:21">
      <c r="B66" s="156" t="s">
        <v>109</v>
      </c>
      <c r="C66" s="210"/>
      <c r="D66" s="259"/>
      <c r="E66" s="263"/>
      <c r="F66" s="262"/>
      <c r="G66" s="262"/>
      <c r="H66" s="262"/>
      <c r="I66" s="291"/>
      <c r="J66" s="292"/>
      <c r="K66" s="292"/>
      <c r="L66" s="288"/>
      <c r="M66" s="289"/>
      <c r="N66" s="289"/>
      <c r="O66" s="289"/>
      <c r="P66" s="290"/>
      <c r="Q66" s="296"/>
      <c r="R66" s="299"/>
      <c r="U66"/>
    </row>
    <row r="67" ht="13" spans="2:21">
      <c r="B67" s="156" t="s">
        <v>109</v>
      </c>
      <c r="C67" s="210"/>
      <c r="D67" s="213"/>
      <c r="E67" s="191"/>
      <c r="F67" s="196"/>
      <c r="G67" s="196"/>
      <c r="H67" s="196"/>
      <c r="I67" s="329"/>
      <c r="J67" s="213"/>
      <c r="K67" s="213"/>
      <c r="L67" s="205"/>
      <c r="M67" s="199"/>
      <c r="N67" s="199"/>
      <c r="O67" s="199"/>
      <c r="P67" s="271"/>
      <c r="Q67" s="294"/>
      <c r="R67" s="295"/>
      <c r="U67"/>
    </row>
    <row r="68" ht="13" spans="2:21">
      <c r="B68" s="156" t="s">
        <v>109</v>
      </c>
      <c r="C68" s="210"/>
      <c r="D68" s="213"/>
      <c r="E68" s="213"/>
      <c r="F68" s="196"/>
      <c r="G68" s="196"/>
      <c r="H68" s="196"/>
      <c r="I68" s="329"/>
      <c r="J68" s="213"/>
      <c r="K68" s="213"/>
      <c r="L68" s="205"/>
      <c r="M68" s="199"/>
      <c r="N68" s="199"/>
      <c r="O68" s="199"/>
      <c r="P68" s="330"/>
      <c r="Q68" s="296"/>
      <c r="R68" s="295"/>
      <c r="U68"/>
    </row>
    <row r="69" ht="13" spans="2:21">
      <c r="B69" s="156" t="s">
        <v>109</v>
      </c>
      <c r="C69" s="256"/>
      <c r="D69" s="257"/>
      <c r="E69" s="255"/>
      <c r="F69" s="141"/>
      <c r="G69" s="141"/>
      <c r="H69" s="141"/>
      <c r="I69" s="269"/>
      <c r="J69" s="285"/>
      <c r="K69" s="285"/>
      <c r="L69" s="286"/>
      <c r="M69" s="199"/>
      <c r="N69" s="199"/>
      <c r="O69" s="199"/>
      <c r="P69" s="331"/>
      <c r="Q69" s="296"/>
      <c r="R69" s="295"/>
      <c r="U69"/>
    </row>
    <row r="70" ht="14.5" spans="2:21">
      <c r="B70" s="300" t="s">
        <v>109</v>
      </c>
      <c r="C70" s="300"/>
      <c r="D70" s="301"/>
      <c r="E70" s="302"/>
      <c r="F70" s="303"/>
      <c r="G70" s="303"/>
      <c r="H70" s="303"/>
      <c r="I70" s="332"/>
      <c r="J70" s="303"/>
      <c r="K70" s="303"/>
      <c r="L70" s="333"/>
      <c r="M70" s="334"/>
      <c r="N70" s="334"/>
      <c r="O70" s="334"/>
      <c r="P70" s="335"/>
      <c r="Q70" s="351"/>
      <c r="R70" s="352"/>
      <c r="U70"/>
    </row>
    <row r="71" ht="14.5" spans="2:21">
      <c r="B71" s="301" t="s">
        <v>109</v>
      </c>
      <c r="C71" s="301"/>
      <c r="D71" s="301"/>
      <c r="E71" s="300"/>
      <c r="F71" s="303"/>
      <c r="G71" s="303"/>
      <c r="H71" s="303"/>
      <c r="I71" s="332"/>
      <c r="J71" s="303"/>
      <c r="K71" s="303"/>
      <c r="L71" s="333"/>
      <c r="M71" s="334"/>
      <c r="N71" s="334"/>
      <c r="O71" s="334"/>
      <c r="P71" s="335"/>
      <c r="Q71" s="351"/>
      <c r="R71" s="352"/>
      <c r="U71"/>
    </row>
    <row r="72" ht="13" spans="2:21">
      <c r="B72" s="304" t="str">
        <f>B117</f>
        <v>SELCH2EC01</v>
      </c>
      <c r="C72" s="304" t="str">
        <f>C117</f>
        <v>H2 Production-Alkaline Electrolyser</v>
      </c>
      <c r="D72" s="305" t="s">
        <v>37</v>
      </c>
      <c r="E72" s="306"/>
      <c r="F72" s="270">
        <f>1/67*100</f>
        <v>1.49253731343284</v>
      </c>
      <c r="G72" s="270">
        <f>1/68*100</f>
        <v>1.47058823529412</v>
      </c>
      <c r="H72" s="270">
        <f>1/75*100</f>
        <v>1.33333333333333</v>
      </c>
      <c r="I72" s="332"/>
      <c r="J72" s="303"/>
      <c r="K72" s="303"/>
      <c r="L72" s="333">
        <v>0.95</v>
      </c>
      <c r="M72" s="334">
        <f>1.35*562</f>
        <v>758.7</v>
      </c>
      <c r="N72" s="199">
        <f>M72*0.95</f>
        <v>720.765</v>
      </c>
      <c r="O72" s="199">
        <f>M72*0.9</f>
        <v>682.83</v>
      </c>
      <c r="P72" s="336">
        <v>9</v>
      </c>
      <c r="Q72" s="351">
        <v>2021</v>
      </c>
      <c r="R72" s="352">
        <v>31.536</v>
      </c>
      <c r="U72"/>
    </row>
    <row r="73" ht="13" spans="2:21">
      <c r="B73" s="304"/>
      <c r="C73" s="304"/>
      <c r="D73" s="305"/>
      <c r="E73" s="245" t="s">
        <v>84</v>
      </c>
      <c r="F73" s="303"/>
      <c r="G73" s="303"/>
      <c r="H73" s="303"/>
      <c r="I73" s="332">
        <f>'INPUT-Data(EUTIMES-HP)'!R22</f>
        <v>1</v>
      </c>
      <c r="J73" s="303">
        <f>I73</f>
        <v>1</v>
      </c>
      <c r="K73" s="303">
        <f>J73</f>
        <v>1</v>
      </c>
      <c r="L73" s="333"/>
      <c r="M73" s="334"/>
      <c r="N73" s="289"/>
      <c r="O73" s="289"/>
      <c r="P73" s="337"/>
      <c r="Q73" s="351"/>
      <c r="R73" s="352"/>
      <c r="U73"/>
    </row>
    <row r="74" ht="13" spans="2:21">
      <c r="B74" s="213"/>
      <c r="C74" s="213"/>
      <c r="D74" s="213"/>
      <c r="E74" s="156" t="s">
        <v>44</v>
      </c>
      <c r="F74" s="270"/>
      <c r="G74" s="270"/>
      <c r="H74" s="270"/>
      <c r="I74" s="338">
        <v>0</v>
      </c>
      <c r="J74" s="270">
        <v>0</v>
      </c>
      <c r="K74" s="270">
        <f>'ReferEMI-NOUSE'!AA4</f>
        <v>0</v>
      </c>
      <c r="L74" s="278"/>
      <c r="M74" s="339"/>
      <c r="N74" s="339"/>
      <c r="O74" s="339"/>
      <c r="P74" s="340"/>
      <c r="Q74" s="353"/>
      <c r="R74" s="354"/>
      <c r="U74"/>
    </row>
    <row r="75" ht="13" spans="2:21">
      <c r="B75" s="307"/>
      <c r="C75" s="307"/>
      <c r="D75" s="253"/>
      <c r="E75" s="307"/>
      <c r="F75" s="308"/>
      <c r="G75" s="308"/>
      <c r="H75" s="308"/>
      <c r="I75" s="253"/>
      <c r="J75" s="253"/>
      <c r="K75" s="253"/>
      <c r="L75" s="341"/>
      <c r="M75" s="342"/>
      <c r="N75" s="342"/>
      <c r="O75" s="342"/>
      <c r="P75" s="343"/>
      <c r="Q75" s="343"/>
      <c r="R75" s="355"/>
      <c r="S75" s="253"/>
      <c r="T75" s="253"/>
      <c r="U75" s="356"/>
    </row>
    <row r="76" ht="13" spans="2:21">
      <c r="B76" s="307"/>
      <c r="C76" s="307"/>
      <c r="D76" s="253"/>
      <c r="E76" s="307"/>
      <c r="F76" s="308"/>
      <c r="G76" s="308"/>
      <c r="H76" s="308"/>
      <c r="I76" s="308"/>
      <c r="J76" s="308"/>
      <c r="K76" s="308"/>
      <c r="L76" s="341"/>
      <c r="M76" s="342"/>
      <c r="N76" s="342"/>
      <c r="O76" s="342"/>
      <c r="P76" s="343"/>
      <c r="Q76" s="343"/>
      <c r="R76" s="355"/>
      <c r="S76" s="253"/>
      <c r="T76" s="253"/>
      <c r="U76" s="356"/>
    </row>
    <row r="77" ht="13" spans="2:21">
      <c r="B77" s="253"/>
      <c r="C77" s="253"/>
      <c r="D77" s="253"/>
      <c r="E77" s="307"/>
      <c r="F77" s="308"/>
      <c r="G77" s="308"/>
      <c r="H77" s="308"/>
      <c r="I77" s="308"/>
      <c r="J77" s="308"/>
      <c r="K77" s="308"/>
      <c r="L77" s="341"/>
      <c r="M77" s="342"/>
      <c r="N77" s="342"/>
      <c r="O77" s="342"/>
      <c r="P77" s="343"/>
      <c r="Q77" s="343"/>
      <c r="R77" s="355"/>
      <c r="S77" s="253"/>
      <c r="T77" s="253"/>
      <c r="U77" s="356"/>
    </row>
    <row r="78" ht="13" spans="2:21">
      <c r="B78" s="307"/>
      <c r="C78" s="307"/>
      <c r="D78" s="309"/>
      <c r="E78" s="307"/>
      <c r="F78" s="308"/>
      <c r="G78" s="308"/>
      <c r="H78" s="308"/>
      <c r="I78" s="308"/>
      <c r="J78" s="308"/>
      <c r="K78" s="308"/>
      <c r="L78" s="341"/>
      <c r="M78" s="342"/>
      <c r="N78" s="342"/>
      <c r="O78" s="342"/>
      <c r="P78" s="343"/>
      <c r="Q78" s="343"/>
      <c r="R78" s="355"/>
      <c r="S78" s="253"/>
      <c r="T78" s="253"/>
      <c r="U78" s="356"/>
    </row>
    <row r="79" ht="13" spans="2:21">
      <c r="B79" s="307"/>
      <c r="C79" s="307"/>
      <c r="D79" s="253"/>
      <c r="E79" s="307"/>
      <c r="F79" s="308"/>
      <c r="G79" s="308"/>
      <c r="H79" s="308"/>
      <c r="I79" s="308"/>
      <c r="J79" s="308"/>
      <c r="K79" s="308"/>
      <c r="L79" s="341"/>
      <c r="M79" s="342"/>
      <c r="N79" s="342"/>
      <c r="O79" s="342"/>
      <c r="P79" s="344"/>
      <c r="Q79" s="343"/>
      <c r="R79" s="355"/>
      <c r="S79" s="253"/>
      <c r="T79" s="253"/>
      <c r="U79" s="356"/>
    </row>
    <row r="80" ht="13" spans="2:21">
      <c r="B80" s="253"/>
      <c r="C80" s="253"/>
      <c r="D80" s="253"/>
      <c r="E80" s="307"/>
      <c r="F80" s="308"/>
      <c r="G80" s="308"/>
      <c r="H80" s="308"/>
      <c r="I80" s="308"/>
      <c r="J80" s="308"/>
      <c r="K80" s="308"/>
      <c r="L80" s="341"/>
      <c r="M80" s="342"/>
      <c r="N80" s="342"/>
      <c r="O80" s="342"/>
      <c r="P80" s="343"/>
      <c r="Q80" s="343"/>
      <c r="R80" s="355"/>
      <c r="S80" s="253"/>
      <c r="T80" s="253"/>
      <c r="U80" s="356"/>
    </row>
    <row r="81" spans="2:21">
      <c r="B81" s="307"/>
      <c r="C81" s="307"/>
      <c r="D81" s="253"/>
      <c r="E81" s="307"/>
      <c r="F81" s="308"/>
      <c r="G81" s="308"/>
      <c r="H81" s="308"/>
      <c r="I81" s="308"/>
      <c r="J81" s="308"/>
      <c r="K81" s="308"/>
      <c r="L81" s="308"/>
      <c r="M81" s="341"/>
      <c r="N81" s="342"/>
      <c r="O81" s="342"/>
      <c r="P81" s="342"/>
      <c r="Q81" s="344"/>
      <c r="R81" s="344"/>
      <c r="S81" s="357"/>
      <c r="T81" s="253"/>
      <c r="U81" s="356"/>
    </row>
    <row r="82" spans="2:21">
      <c r="B82" s="307"/>
      <c r="C82" s="307"/>
      <c r="D82" s="253"/>
      <c r="E82" s="307"/>
      <c r="F82" s="308"/>
      <c r="G82" s="308"/>
      <c r="H82" s="308"/>
      <c r="I82" s="308"/>
      <c r="J82" s="308"/>
      <c r="K82" s="308"/>
      <c r="L82" s="308"/>
      <c r="M82" s="341"/>
      <c r="N82" s="342"/>
      <c r="O82" s="342"/>
      <c r="P82" s="342"/>
      <c r="Q82" s="342"/>
      <c r="R82" s="344"/>
      <c r="S82" s="357"/>
      <c r="T82" s="356"/>
      <c r="U82" s="253"/>
    </row>
    <row r="83" spans="1:2">
      <c r="A83" s="191"/>
      <c r="B83" s="192"/>
    </row>
    <row r="84" spans="1:13">
      <c r="A84" s="191"/>
      <c r="B84" s="192"/>
      <c r="C84" s="192"/>
      <c r="D84" s="192"/>
      <c r="E84" s="310"/>
      <c r="F84" s="310"/>
      <c r="G84" s="310"/>
      <c r="H84" s="310"/>
      <c r="I84" s="310"/>
      <c r="J84" s="310"/>
      <c r="K84" s="310"/>
      <c r="L84" s="345"/>
      <c r="M84" s="314"/>
    </row>
    <row r="85" s="234" customFormat="1" ht="13" spans="2:18">
      <c r="B85" s="311"/>
      <c r="C85" s="311"/>
      <c r="D85" s="312"/>
      <c r="E85" s="312"/>
      <c r="F85" s="312"/>
      <c r="G85" s="312"/>
      <c r="H85" s="312"/>
      <c r="I85" s="312"/>
      <c r="J85" s="312"/>
      <c r="K85" s="312"/>
      <c r="L85" s="311"/>
      <c r="M85" s="311"/>
      <c r="N85" s="312"/>
      <c r="O85" s="312"/>
      <c r="P85" s="312"/>
      <c r="R85" s="358"/>
    </row>
    <row r="86" s="213" customFormat="1" ht="13" spans="2:18">
      <c r="B86" s="313"/>
      <c r="C86" s="313"/>
      <c r="D86" s="313"/>
      <c r="E86" s="313"/>
      <c r="F86" s="313"/>
      <c r="G86" s="313"/>
      <c r="H86" s="313"/>
      <c r="I86" s="313"/>
      <c r="J86" s="313"/>
      <c r="K86" s="313"/>
      <c r="L86" s="313"/>
      <c r="M86" s="313"/>
      <c r="N86" s="313"/>
      <c r="O86" s="313"/>
      <c r="P86" s="313"/>
      <c r="Q86" s="313"/>
      <c r="R86" s="204"/>
    </row>
    <row r="87" s="213" customFormat="1" spans="2:18">
      <c r="B87" s="212"/>
      <c r="C87" s="212"/>
      <c r="D87" s="212"/>
      <c r="E87" s="310"/>
      <c r="F87" s="314"/>
      <c r="G87" s="314"/>
      <c r="H87" s="315"/>
      <c r="I87" s="346"/>
      <c r="J87" s="346"/>
      <c r="K87" s="346"/>
      <c r="L87" s="346"/>
      <c r="M87" s="315"/>
      <c r="O87" s="347"/>
      <c r="P87" s="314"/>
      <c r="Q87" s="204"/>
      <c r="R87" s="204"/>
    </row>
    <row r="88" s="213" customFormat="1" spans="2:18">
      <c r="B88" s="212"/>
      <c r="C88" s="212"/>
      <c r="D88" s="212"/>
      <c r="E88" s="316"/>
      <c r="F88" s="310"/>
      <c r="G88" s="310"/>
      <c r="H88" s="315"/>
      <c r="I88" s="315"/>
      <c r="J88" s="315"/>
      <c r="K88" s="315"/>
      <c r="L88" s="345"/>
      <c r="M88" s="315"/>
      <c r="N88" s="347"/>
      <c r="O88" s="347"/>
      <c r="P88" s="314"/>
      <c r="Q88" s="204"/>
      <c r="R88" s="359"/>
    </row>
    <row r="89" s="213" customFormat="1" spans="2:18">
      <c r="B89" s="212"/>
      <c r="C89" s="212"/>
      <c r="D89" s="212"/>
      <c r="E89" s="316"/>
      <c r="F89" s="310"/>
      <c r="G89" s="310"/>
      <c r="H89" s="315"/>
      <c r="I89" s="315"/>
      <c r="J89" s="315"/>
      <c r="K89" s="315"/>
      <c r="L89" s="345"/>
      <c r="M89" s="315"/>
      <c r="N89" s="347"/>
      <c r="O89" s="347"/>
      <c r="P89" s="314"/>
      <c r="Q89" s="204"/>
      <c r="R89" s="359"/>
    </row>
    <row r="90" s="213" customFormat="1" spans="2:18">
      <c r="B90" s="212"/>
      <c r="C90" s="212"/>
      <c r="D90" s="212"/>
      <c r="E90" s="212"/>
      <c r="F90" s="317"/>
      <c r="G90" s="212"/>
      <c r="H90" s="212"/>
      <c r="I90" s="212"/>
      <c r="J90" s="212"/>
      <c r="K90" s="212"/>
      <c r="L90" s="212"/>
      <c r="M90" s="212"/>
      <c r="N90" s="212"/>
      <c r="O90" s="212"/>
      <c r="P90" s="212"/>
      <c r="Q90" s="212"/>
      <c r="R90" s="204"/>
    </row>
    <row r="91" s="213" customFormat="1" spans="2:18">
      <c r="B91" s="212"/>
      <c r="C91" s="212"/>
      <c r="D91" s="212"/>
      <c r="E91" s="310"/>
      <c r="F91" s="314"/>
      <c r="G91" s="310"/>
      <c r="H91" s="315"/>
      <c r="I91" s="315"/>
      <c r="J91" s="315"/>
      <c r="K91" s="315"/>
      <c r="L91" s="345"/>
      <c r="M91" s="347"/>
      <c r="N91" s="204"/>
      <c r="O91" s="204"/>
      <c r="R91" s="204"/>
    </row>
    <row r="92" s="213" customFormat="1" ht="13" spans="2:18">
      <c r="B92" s="212"/>
      <c r="C92" s="212"/>
      <c r="D92" s="265"/>
      <c r="E92" s="310"/>
      <c r="F92" s="314"/>
      <c r="G92" s="310"/>
      <c r="H92" s="315"/>
      <c r="I92" s="315"/>
      <c r="J92" s="315"/>
      <c r="K92" s="315"/>
      <c r="L92" s="345"/>
      <c r="M92" s="347"/>
      <c r="N92" s="204"/>
      <c r="O92" s="204"/>
      <c r="R92" s="204"/>
    </row>
    <row r="93" s="213" customFormat="1" spans="2:18">
      <c r="B93" s="212"/>
      <c r="C93" s="212"/>
      <c r="D93" s="212"/>
      <c r="E93" s="310"/>
      <c r="F93" s="310"/>
      <c r="G93" s="310"/>
      <c r="H93" s="310"/>
      <c r="I93" s="310"/>
      <c r="J93" s="310"/>
      <c r="K93" s="310"/>
      <c r="L93" s="345"/>
      <c r="M93" s="314"/>
      <c r="N93" s="204"/>
      <c r="R93" s="204"/>
    </row>
    <row r="94" spans="1:13">
      <c r="A94" s="191"/>
      <c r="B94" s="192"/>
      <c r="C94" s="192"/>
      <c r="D94" s="192"/>
      <c r="E94" s="310"/>
      <c r="F94" s="310"/>
      <c r="G94" s="310"/>
      <c r="H94" s="314"/>
      <c r="I94" s="310"/>
      <c r="J94" s="310"/>
      <c r="K94" s="310"/>
      <c r="L94" s="345"/>
      <c r="M94" s="314"/>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70"/>
    </row>
    <row r="98" spans="1:17">
      <c r="A98" s="179" t="s">
        <v>112</v>
      </c>
      <c r="B98" s="180" t="str">
        <f>'INPUT-Data(EUTIMES-HP)'!B3</f>
        <v>SCOAH2GC01</v>
      </c>
      <c r="C98" s="179" t="s">
        <v>113</v>
      </c>
      <c r="D98" s="155" t="s">
        <v>63</v>
      </c>
      <c r="E98" s="156" t="s">
        <v>64</v>
      </c>
      <c r="F98" s="155" t="s">
        <v>65</v>
      </c>
      <c r="G98" s="155"/>
      <c r="H98" s="155" t="s">
        <v>66</v>
      </c>
      <c r="M98"/>
      <c r="O98"/>
      <c r="P98"/>
      <c r="Q98"/>
    </row>
    <row r="99" ht="14.5" spans="1:17">
      <c r="A99" s="179"/>
      <c r="B99" s="180" t="s">
        <v>109</v>
      </c>
      <c r="C99" s="179"/>
      <c r="D99" s="155"/>
      <c r="E99" s="156"/>
      <c r="F99" s="155"/>
      <c r="G99" s="155"/>
      <c r="H99" s="155"/>
      <c r="M99" s="348"/>
      <c r="N99" s="348"/>
      <c r="O99" s="348"/>
      <c r="P99" s="348"/>
      <c r="Q99" s="348"/>
    </row>
    <row r="100" ht="14.5" spans="1:17">
      <c r="A100" s="179"/>
      <c r="B100" s="180" t="str">
        <f>'INPUT-Data(EUTIMES-HP)'!B5</f>
        <v>SCOAH2GCC01</v>
      </c>
      <c r="C100" s="179" t="s">
        <v>114</v>
      </c>
      <c r="D100" s="155" t="s">
        <v>63</v>
      </c>
      <c r="E100" s="156" t="s">
        <v>64</v>
      </c>
      <c r="F100" s="155" t="s">
        <v>65</v>
      </c>
      <c r="G100" s="155"/>
      <c r="H100" s="155" t="s">
        <v>66</v>
      </c>
      <c r="M100" s="348"/>
      <c r="N100" s="349"/>
      <c r="O100" s="349"/>
      <c r="P100" s="349"/>
      <c r="Q100" s="349"/>
    </row>
    <row r="101" spans="1:8">
      <c r="A101" s="179"/>
      <c r="B101" s="180" t="s">
        <v>109</v>
      </c>
      <c r="C101" s="179"/>
      <c r="D101" s="155"/>
      <c r="E101" s="156"/>
      <c r="F101" s="155"/>
      <c r="G101" s="155"/>
      <c r="H101" s="155"/>
    </row>
    <row r="102" spans="1:8">
      <c r="A102" s="179"/>
      <c r="B102" s="180" t="s">
        <v>109</v>
      </c>
      <c r="C102" s="179"/>
      <c r="D102" s="155"/>
      <c r="E102" s="156"/>
      <c r="F102" s="155"/>
      <c r="G102" s="155"/>
      <c r="H102" s="155"/>
    </row>
    <row r="103" spans="1:8">
      <c r="A103" s="179"/>
      <c r="B103" s="180" t="str">
        <f>'INPUT-Data(EUTIMES-HP)'!B8</f>
        <v>SBIOH2GC01</v>
      </c>
      <c r="C103" s="179" t="s">
        <v>115</v>
      </c>
      <c r="D103" s="155" t="s">
        <v>63</v>
      </c>
      <c r="E103" s="156" t="s">
        <v>64</v>
      </c>
      <c r="F103" s="155" t="s">
        <v>65</v>
      </c>
      <c r="G103" s="155"/>
      <c r="H103" s="155" t="s">
        <v>66</v>
      </c>
    </row>
    <row r="104" spans="1:8">
      <c r="A104" s="179"/>
      <c r="B104" s="180" t="str">
        <f>'INPUT-Data(EUTIMES-HP)'!B9</f>
        <v>SBIOH2GCC01</v>
      </c>
      <c r="C104" s="179" t="s">
        <v>116</v>
      </c>
      <c r="D104" s="155" t="s">
        <v>63</v>
      </c>
      <c r="E104" s="156" t="s">
        <v>64</v>
      </c>
      <c r="F104" s="155" t="s">
        <v>65</v>
      </c>
      <c r="G104" s="155"/>
      <c r="H104" s="155" t="s">
        <v>66</v>
      </c>
    </row>
    <row r="105" spans="1:2">
      <c r="A105" s="318"/>
      <c r="B105" s="109" t="s">
        <v>109</v>
      </c>
    </row>
    <row r="106" spans="1:8">
      <c r="A106" s="179"/>
      <c r="B106" s="180" t="s">
        <v>109</v>
      </c>
      <c r="C106" s="179"/>
      <c r="D106" s="155"/>
      <c r="E106" s="156"/>
      <c r="F106" s="155"/>
      <c r="G106" s="155"/>
      <c r="H106" s="155"/>
    </row>
    <row r="107" spans="1:8">
      <c r="A107" s="179"/>
      <c r="B107" s="180" t="str">
        <f>'INPUT-Data(EUTIMES-HP)'!B12</f>
        <v>SGASH2RC01</v>
      </c>
      <c r="C107" s="179" t="s">
        <v>117</v>
      </c>
      <c r="D107" s="155" t="s">
        <v>63</v>
      </c>
      <c r="E107" s="156" t="s">
        <v>64</v>
      </c>
      <c r="F107" s="155" t="s">
        <v>65</v>
      </c>
      <c r="G107" s="155"/>
      <c r="H107" s="155" t="s">
        <v>66</v>
      </c>
    </row>
    <row r="108" spans="1:8">
      <c r="A108" s="179"/>
      <c r="B108" s="180" t="s">
        <v>109</v>
      </c>
      <c r="C108" s="179"/>
      <c r="D108" s="155"/>
      <c r="E108" s="156"/>
      <c r="F108" s="155"/>
      <c r="G108" s="155"/>
      <c r="H108" s="155"/>
    </row>
    <row r="109" spans="1:8">
      <c r="A109" s="179"/>
      <c r="B109" s="180" t="str">
        <f>'INPUT-Data(EUTIMES-HP)'!B14</f>
        <v>SGASH2RCC01</v>
      </c>
      <c r="C109" s="179" t="s">
        <v>118</v>
      </c>
      <c r="D109" s="155" t="s">
        <v>63</v>
      </c>
      <c r="E109" s="156" t="s">
        <v>64</v>
      </c>
      <c r="F109" s="155" t="s">
        <v>65</v>
      </c>
      <c r="G109" s="155"/>
      <c r="H109" s="155" t="s">
        <v>66</v>
      </c>
    </row>
    <row r="110" spans="1:8">
      <c r="A110" s="179"/>
      <c r="B110" s="180" t="s">
        <v>109</v>
      </c>
      <c r="C110" s="179"/>
      <c r="D110" s="155"/>
      <c r="E110" s="156"/>
      <c r="F110" s="155"/>
      <c r="G110" s="155"/>
      <c r="H110" s="155"/>
    </row>
    <row r="111" spans="1:2">
      <c r="A111" s="179"/>
      <c r="B111" s="109" t="s">
        <v>109</v>
      </c>
    </row>
    <row r="112" spans="1:8">
      <c r="A112" s="179"/>
      <c r="B112" s="180" t="s">
        <v>109</v>
      </c>
      <c r="C112" s="179"/>
      <c r="D112" s="155"/>
      <c r="E112" s="156"/>
      <c r="F112" s="155"/>
      <c r="G112" s="155"/>
      <c r="H112" s="155"/>
    </row>
    <row r="113" spans="1:8">
      <c r="A113" s="179"/>
      <c r="B113" s="109" t="s">
        <v>109</v>
      </c>
      <c r="C113" s="179"/>
      <c r="D113" s="155"/>
      <c r="E113" s="156"/>
      <c r="F113" s="155"/>
      <c r="G113" s="155"/>
      <c r="H113" s="155"/>
    </row>
    <row r="114" spans="1:8">
      <c r="A114" s="179"/>
      <c r="B114" s="180" t="s">
        <v>109</v>
      </c>
      <c r="C114" s="179"/>
      <c r="D114" s="155"/>
      <c r="E114" s="156"/>
      <c r="F114" s="155"/>
      <c r="G114" s="155"/>
      <c r="H114" s="155"/>
    </row>
    <row r="115" spans="1:8">
      <c r="A115" s="179"/>
      <c r="B115" s="109" t="s">
        <v>109</v>
      </c>
      <c r="C115" s="179"/>
      <c r="D115" s="155"/>
      <c r="E115" s="156"/>
      <c r="F115" s="155"/>
      <c r="G115" s="155"/>
      <c r="H115" s="155"/>
    </row>
    <row r="116" spans="1:8">
      <c r="A116" s="318"/>
      <c r="B116" s="180" t="s">
        <v>109</v>
      </c>
      <c r="C116" s="318"/>
      <c r="D116" s="256"/>
      <c r="E116" s="255"/>
      <c r="F116" s="256"/>
      <c r="G116" s="256"/>
      <c r="H116" s="256"/>
    </row>
    <row r="117" spans="1:8">
      <c r="A117" s="179"/>
      <c r="B117" s="180" t="str">
        <f>'INPUT-Data(EUTIMES-HP)'!B22</f>
        <v>SELCH2EC01</v>
      </c>
      <c r="C117" s="179" t="s">
        <v>119</v>
      </c>
      <c r="D117" s="155" t="s">
        <v>63</v>
      </c>
      <c r="E117" s="156" t="s">
        <v>64</v>
      </c>
      <c r="F117" s="155" t="s">
        <v>65</v>
      </c>
      <c r="G117" s="155"/>
      <c r="H117" s="155" t="s">
        <v>66</v>
      </c>
    </row>
    <row r="118" spans="1:8">
      <c r="A118" s="179"/>
      <c r="B118" s="180" t="s">
        <v>109</v>
      </c>
      <c r="C118" s="179"/>
      <c r="D118" s="155"/>
      <c r="E118" s="156"/>
      <c r="F118" s="155"/>
      <c r="G118" s="155"/>
      <c r="H118" s="155"/>
    </row>
    <row r="119" ht="14.5" spans="1:17">
      <c r="A119" s="318"/>
      <c r="B119" s="180" t="s">
        <v>109</v>
      </c>
      <c r="C119" s="318"/>
      <c r="D119" s="256"/>
      <c r="E119" s="255"/>
      <c r="F119" s="256"/>
      <c r="G119" s="256"/>
      <c r="H119" s="256"/>
      <c r="I119" s="350"/>
      <c r="J119" s="350"/>
      <c r="K119" s="350"/>
      <c r="L119" s="350"/>
      <c r="M119" s="350"/>
      <c r="O119" s="350"/>
      <c r="P119" s="350"/>
      <c r="Q119" s="350"/>
    </row>
    <row r="120" ht="14.5" spans="1:17">
      <c r="A120" s="179"/>
      <c r="B120" s="180" t="s">
        <v>43</v>
      </c>
      <c r="C120" s="179" t="s">
        <v>120</v>
      </c>
      <c r="D120" s="155" t="s">
        <v>63</v>
      </c>
      <c r="E120" s="156" t="s">
        <v>64</v>
      </c>
      <c r="F120" s="155" t="s">
        <v>65</v>
      </c>
      <c r="G120" s="155"/>
      <c r="H120" s="155" t="s">
        <v>66</v>
      </c>
      <c r="I120" s="350"/>
      <c r="J120" s="350"/>
      <c r="K120" s="350"/>
      <c r="L120" s="350"/>
      <c r="M120" s="350"/>
      <c r="O120" s="350"/>
      <c r="P120" s="350"/>
      <c r="Q120" s="350"/>
    </row>
    <row r="122" s="191" customFormat="1" spans="1:18">
      <c r="A122" s="319"/>
      <c r="B122" s="319"/>
      <c r="C122" s="319"/>
      <c r="D122" s="320"/>
      <c r="E122" s="319"/>
      <c r="F122" s="320"/>
      <c r="G122" s="320"/>
      <c r="H122" s="320"/>
      <c r="N122" s="201"/>
      <c r="R122" s="201"/>
    </row>
    <row r="123" s="213" customFormat="1" spans="1:18">
      <c r="A123" s="319"/>
      <c r="B123" s="321" t="str">
        <f>'INPUT-Data(EUTIMES-HP)'!B10</f>
        <v>SGASH2KC01</v>
      </c>
      <c r="C123" s="322" t="str">
        <f>'INPUT-Data(EUTIMES-HP)'!C10</f>
        <v>H2 Production-Kvaerner Process, centralized</v>
      </c>
      <c r="D123" s="323" t="s">
        <v>63</v>
      </c>
      <c r="E123" s="321" t="s">
        <v>64</v>
      </c>
      <c r="F123" s="323" t="s">
        <v>65</v>
      </c>
      <c r="G123" s="323"/>
      <c r="H123" s="323" t="s">
        <v>66</v>
      </c>
      <c r="R123" s="201"/>
    </row>
    <row r="124" s="235" customFormat="1" spans="1:18">
      <c r="A124" s="324"/>
      <c r="B124" s="325" t="str">
        <f>'INPUT-Data(EUTIMES-HP)'!B16</f>
        <v>SGASSH2RC01</v>
      </c>
      <c r="C124" s="326" t="str">
        <f>'INPUT-Data(EUTIMES-HP)'!C16</f>
        <v>H2 Production-Solar Steam Reforming of Methane, centralized</v>
      </c>
      <c r="D124" s="327" t="s">
        <v>63</v>
      </c>
      <c r="E124" s="172" t="s">
        <v>64</v>
      </c>
      <c r="F124" s="327" t="s">
        <v>65</v>
      </c>
      <c r="G124" s="327"/>
      <c r="H124" s="327" t="s">
        <v>66</v>
      </c>
      <c r="R124" s="360"/>
    </row>
    <row r="125" s="235" customFormat="1" spans="1:18">
      <c r="A125" s="324"/>
      <c r="B125" s="324"/>
      <c r="C125" s="324"/>
      <c r="D125" s="324"/>
      <c r="E125" s="324"/>
      <c r="F125" s="324"/>
      <c r="G125" s="328"/>
      <c r="H125" s="324"/>
      <c r="R125" s="360"/>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3" customFormat="1" ht="14.5" spans="1:18">
      <c r="A130" s="361"/>
      <c r="F130" s="213"/>
      <c r="G130" s="362"/>
      <c r="H130" s="362"/>
      <c r="I130" s="363"/>
      <c r="J130" s="363"/>
      <c r="K130" s="363"/>
      <c r="L130" s="363"/>
      <c r="M130" s="363"/>
      <c r="R130"/>
    </row>
    <row r="131" ht="14.5" spans="1:13">
      <c r="A131" s="153"/>
      <c r="B131" s="156"/>
      <c r="C131" s="156"/>
      <c r="D131" s="362"/>
      <c r="E131" s="156"/>
      <c r="F131" s="156"/>
      <c r="G131" s="153"/>
      <c r="H131" s="153"/>
      <c r="I131" s="350"/>
      <c r="J131" s="350"/>
      <c r="K131" s="350"/>
      <c r="L131" s="350"/>
      <c r="M131" s="350"/>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6"/>
      <c r="P139" s="236"/>
      <c r="Q139" s="236"/>
    </row>
    <row r="140" ht="13" spans="15:17">
      <c r="O140" s="237"/>
      <c r="P140" s="237"/>
      <c r="Q140" s="237"/>
    </row>
    <row r="141" spans="15:17">
      <c r="O141" s="238"/>
      <c r="P141" s="238"/>
      <c r="Q141" s="238"/>
    </row>
    <row r="142" spans="15:17">
      <c r="O142" s="238"/>
      <c r="P142" s="238"/>
      <c r="Q142" s="238"/>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6"/>
    </row>
    <row r="146" ht="13" spans="13:13">
      <c r="M146" s="237"/>
    </row>
    <row r="147" spans="13:13">
      <c r="M147" s="238"/>
    </row>
    <row r="148" spans="13:13">
      <c r="M148" s="238"/>
    </row>
    <row r="151" s="236" customFormat="1" spans="1:18">
      <c r="A151" s="109"/>
      <c r="B151" s="109"/>
      <c r="C151" s="109"/>
      <c r="D151" s="109"/>
      <c r="E151" s="109"/>
      <c r="F151" s="109"/>
      <c r="G151" s="109"/>
      <c r="H151" s="109"/>
      <c r="I151" s="109"/>
      <c r="J151" s="109"/>
      <c r="K151" s="109"/>
      <c r="L151" s="109"/>
      <c r="M151" s="109"/>
      <c r="O151" s="109"/>
      <c r="P151" s="109"/>
      <c r="Q151" s="109"/>
      <c r="R151"/>
    </row>
    <row r="152" s="237" customFormat="1" ht="15" customHeight="1" spans="1:18">
      <c r="A152" s="109"/>
      <c r="B152" s="109"/>
      <c r="C152" s="109"/>
      <c r="D152" s="109"/>
      <c r="E152" s="109"/>
      <c r="F152" s="109"/>
      <c r="G152" s="109"/>
      <c r="H152" s="109"/>
      <c r="I152" s="109"/>
      <c r="J152" s="109"/>
      <c r="K152" s="109"/>
      <c r="L152" s="109"/>
      <c r="M152" s="109"/>
      <c r="O152" s="109"/>
      <c r="P152" s="109"/>
      <c r="Q152" s="109"/>
      <c r="R152"/>
    </row>
    <row r="153" s="238" customFormat="1" spans="1:18">
      <c r="A153" s="109"/>
      <c r="B153" s="109"/>
      <c r="C153" s="109"/>
      <c r="D153" s="109"/>
      <c r="E153" s="109"/>
      <c r="F153" s="109"/>
      <c r="G153" s="109"/>
      <c r="H153" s="109"/>
      <c r="I153" s="109"/>
      <c r="J153" s="109"/>
      <c r="K153" s="109"/>
      <c r="L153" s="109"/>
      <c r="M153" s="109"/>
      <c r="O153" s="109"/>
      <c r="P153" s="109"/>
      <c r="Q153" s="109"/>
      <c r="R153"/>
    </row>
    <row r="154" s="238" customFormat="1" spans="1:18">
      <c r="A154" s="109"/>
      <c r="B154" s="109"/>
      <c r="C154" s="109"/>
      <c r="D154" s="109"/>
      <c r="E154" s="109"/>
      <c r="F154" s="109"/>
      <c r="G154" s="109"/>
      <c r="H154" s="109"/>
      <c r="I154" s="109"/>
      <c r="J154" s="109"/>
      <c r="K154" s="109"/>
      <c r="L154" s="109"/>
      <c r="M154" s="109"/>
      <c r="O154" s="109"/>
      <c r="P154" s="109"/>
      <c r="Q154" s="109"/>
      <c r="R154"/>
    </row>
    <row r="157" spans="9:12">
      <c r="I157" s="236"/>
      <c r="J157" s="236"/>
      <c r="K157" s="236"/>
      <c r="L157" s="236"/>
    </row>
    <row r="158" ht="13" spans="9:12">
      <c r="I158" s="237"/>
      <c r="J158" s="237"/>
      <c r="K158" s="237"/>
      <c r="L158" s="237"/>
    </row>
    <row r="159" spans="9:12">
      <c r="I159" s="238"/>
      <c r="J159" s="238"/>
      <c r="K159" s="238"/>
      <c r="L159" s="238"/>
    </row>
    <row r="160" spans="1:12">
      <c r="A160" s="238"/>
      <c r="B160" s="238"/>
      <c r="C160" s="238"/>
      <c r="D160" s="238"/>
      <c r="E160" s="238"/>
      <c r="F160" s="238"/>
      <c r="G160" s="238"/>
      <c r="H160" s="238"/>
      <c r="I160" s="238"/>
      <c r="J160" s="238"/>
      <c r="K160" s="238"/>
      <c r="L160" s="238"/>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4" workbookViewId="0">
      <selection activeCell="G16" sqref="G16"/>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121</v>
      </c>
    </row>
    <row r="7" ht="13" spans="2:6">
      <c r="B7" s="109"/>
      <c r="C7" s="109"/>
      <c r="E7" s="110" t="s">
        <v>12</v>
      </c>
      <c r="F7" s="109"/>
    </row>
    <row r="8" ht="13" spans="2:6">
      <c r="B8" s="112" t="s">
        <v>14</v>
      </c>
      <c r="C8" s="112" t="s">
        <v>16</v>
      </c>
      <c r="D8" s="112" t="s">
        <v>122</v>
      </c>
      <c r="E8" s="112" t="s">
        <v>17</v>
      </c>
      <c r="F8" s="233" t="s">
        <v>123</v>
      </c>
    </row>
    <row r="9" ht="25.75" spans="2:6">
      <c r="B9" s="188" t="s">
        <v>31</v>
      </c>
      <c r="C9" s="188" t="s">
        <v>33</v>
      </c>
      <c r="D9" s="188" t="s">
        <v>124</v>
      </c>
      <c r="E9" s="188" t="s">
        <v>34</v>
      </c>
      <c r="F9" s="233"/>
    </row>
    <row r="10" spans="2:6">
      <c r="B10" s="191" t="s">
        <v>125</v>
      </c>
      <c r="C10" s="192" t="str">
        <f>SUP_HFCandPEM!C23</f>
        <v>SYNH2CT_RAW</v>
      </c>
      <c r="E10" s="192" t="str">
        <f>SUP_HS!B10</f>
        <v>SYNH2CT_UG</v>
      </c>
      <c r="F10" s="233">
        <v>1</v>
      </c>
    </row>
    <row r="11" spans="2:6">
      <c r="B11" s="191" t="s">
        <v>126</v>
      </c>
      <c r="C11" s="192" t="str">
        <f>C10</f>
        <v>SYNH2CT_RAW</v>
      </c>
      <c r="D11" s="197"/>
      <c r="E11" s="192" t="str">
        <f>SUP_HS!B12</f>
        <v>SYNH2CT_GT</v>
      </c>
      <c r="F11" s="233">
        <v>1</v>
      </c>
    </row>
    <row r="12" spans="2:6">
      <c r="B12" s="191" t="s">
        <v>127</v>
      </c>
      <c r="C12" s="192" t="str">
        <f>C11</f>
        <v>SYNH2CT_RAW</v>
      </c>
      <c r="E12" t="str">
        <f>SUP_HS!AC10</f>
        <v>SYNH2CT_LH</v>
      </c>
      <c r="F12" s="233">
        <v>1</v>
      </c>
    </row>
    <row r="13" spans="2:6">
      <c r="B13" s="191" t="s">
        <v>128</v>
      </c>
      <c r="C13" s="192" t="str">
        <f>C12</f>
        <v>SYNH2CT_RAW</v>
      </c>
      <c r="E13" t="str">
        <f>SUP_HS!AA12</f>
        <v>SYNH2CT_NH</v>
      </c>
      <c r="F13" s="233">
        <v>1</v>
      </c>
    </row>
    <row r="19" ht="13" spans="2:9">
      <c r="B19" s="152" t="s">
        <v>45</v>
      </c>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9" t="s">
        <v>112</v>
      </c>
      <c r="C22" s="180" t="str">
        <f>B10</f>
        <v>STHP2HS_UG</v>
      </c>
      <c r="D22" s="179"/>
      <c r="E22" s="155" t="s">
        <v>63</v>
      </c>
      <c r="F22" s="156" t="s">
        <v>129</v>
      </c>
      <c r="G22" s="155" t="s">
        <v>65</v>
      </c>
      <c r="H22" s="155"/>
      <c r="I22" s="155"/>
    </row>
    <row r="23" spans="3:7">
      <c r="C23" s="180" t="str">
        <f>B11</f>
        <v>STHP2HS_GT</v>
      </c>
      <c r="E23" s="155" t="s">
        <v>63</v>
      </c>
      <c r="F23" s="156" t="s">
        <v>129</v>
      </c>
      <c r="G23" s="155" t="s">
        <v>65</v>
      </c>
    </row>
    <row r="24" spans="3:7">
      <c r="C24" s="180" t="str">
        <f>B12</f>
        <v>STHP2HS_LH</v>
      </c>
      <c r="E24" s="155" t="s">
        <v>63</v>
      </c>
      <c r="F24" s="156" t="s">
        <v>129</v>
      </c>
      <c r="G24" s="155" t="s">
        <v>65</v>
      </c>
    </row>
    <row r="25" spans="3:7">
      <c r="C25" s="180" t="str">
        <f>B13</f>
        <v>STHP2HS_NH</v>
      </c>
      <c r="E25" s="155" t="s">
        <v>63</v>
      </c>
      <c r="F25" s="156" t="s">
        <v>129</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W1" workbookViewId="0">
      <selection activeCell="A42" sqref="$A42:$XFD4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130</v>
      </c>
      <c r="B1" t="s">
        <v>131</v>
      </c>
    </row>
    <row r="2" ht="14.5" spans="1:3">
      <c r="A2" t="s">
        <v>132</v>
      </c>
      <c r="B2" s="181" t="s">
        <v>133</v>
      </c>
      <c r="C2" s="182" t="s">
        <v>134</v>
      </c>
    </row>
    <row r="3" ht="100" spans="1:2">
      <c r="A3" t="s">
        <v>135</v>
      </c>
      <c r="B3" s="183" t="s">
        <v>136</v>
      </c>
    </row>
    <row r="4" ht="14.5" spans="1:2">
      <c r="A4" s="147" t="s">
        <v>137</v>
      </c>
      <c r="B4" s="184" t="s">
        <v>138</v>
      </c>
    </row>
    <row r="5" ht="23" spans="1:26">
      <c r="A5" s="108" t="s">
        <v>139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122</v>
      </c>
      <c r="D8" s="112" t="s">
        <v>17</v>
      </c>
      <c r="E8" s="186" t="s">
        <v>140</v>
      </c>
      <c r="F8" s="187" t="s">
        <v>28</v>
      </c>
      <c r="G8" s="187" t="s">
        <v>141</v>
      </c>
      <c r="H8" s="187" t="s">
        <v>100</v>
      </c>
      <c r="I8" s="186" t="s">
        <v>41</v>
      </c>
      <c r="J8" s="186" t="s">
        <v>105</v>
      </c>
      <c r="K8" s="186" t="s">
        <v>23</v>
      </c>
      <c r="L8" s="186" t="s">
        <v>24</v>
      </c>
      <c r="M8" s="186" t="s">
        <v>142</v>
      </c>
      <c r="N8" s="186" t="s">
        <v>26</v>
      </c>
      <c r="O8" s="186" t="s">
        <v>27</v>
      </c>
      <c r="P8" s="187" t="s">
        <v>30</v>
      </c>
      <c r="Q8" s="186" t="s">
        <v>143</v>
      </c>
      <c r="R8" s="186" t="s">
        <v>144</v>
      </c>
      <c r="S8" s="187" t="s">
        <v>21</v>
      </c>
      <c r="T8" s="225" t="s">
        <v>123</v>
      </c>
      <c r="W8" s="109"/>
      <c r="X8" s="109"/>
      <c r="Y8" s="191"/>
      <c r="Z8" s="112" t="s">
        <v>14</v>
      </c>
      <c r="AA8" s="112" t="s">
        <v>16</v>
      </c>
      <c r="AB8" s="112" t="s">
        <v>122</v>
      </c>
      <c r="AC8" s="112" t="s">
        <v>17</v>
      </c>
      <c r="AD8" s="186" t="s">
        <v>140</v>
      </c>
      <c r="AE8" s="187" t="s">
        <v>28</v>
      </c>
      <c r="AF8" s="187" t="s">
        <v>141</v>
      </c>
      <c r="AG8" s="187" t="s">
        <v>100</v>
      </c>
      <c r="AH8" s="186" t="s">
        <v>41</v>
      </c>
      <c r="AI8" s="186" t="s">
        <v>105</v>
      </c>
      <c r="AJ8" s="186" t="s">
        <v>23</v>
      </c>
      <c r="AK8" s="186" t="s">
        <v>24</v>
      </c>
      <c r="AL8" s="186" t="s">
        <v>142</v>
      </c>
      <c r="AM8" s="186" t="s">
        <v>26</v>
      </c>
      <c r="AN8" s="186" t="s">
        <v>27</v>
      </c>
      <c r="AO8" s="187" t="s">
        <v>30</v>
      </c>
      <c r="AP8" s="186" t="s">
        <v>143</v>
      </c>
      <c r="AQ8" s="186" t="s">
        <v>144</v>
      </c>
      <c r="AR8" s="187" t="s">
        <v>145</v>
      </c>
      <c r="AS8" s="225" t="s">
        <v>123</v>
      </c>
    </row>
    <row r="9" ht="25.75" spans="1:45">
      <c r="A9" s="188" t="s">
        <v>31</v>
      </c>
      <c r="B9" s="188" t="s">
        <v>33</v>
      </c>
      <c r="C9" s="188" t="s">
        <v>124</v>
      </c>
      <c r="D9" s="188" t="s">
        <v>34</v>
      </c>
      <c r="E9" s="189"/>
      <c r="F9" s="190" t="s">
        <v>36</v>
      </c>
      <c r="G9" s="190" t="s">
        <v>146</v>
      </c>
      <c r="H9" s="190"/>
      <c r="I9" s="189"/>
      <c r="J9" s="189" t="s">
        <v>147</v>
      </c>
      <c r="K9" s="189"/>
      <c r="L9" s="189"/>
      <c r="M9" s="189"/>
      <c r="N9" s="189"/>
      <c r="O9" s="215"/>
      <c r="P9" s="190"/>
      <c r="Q9" s="189" t="s">
        <v>148</v>
      </c>
      <c r="R9" s="189" t="s">
        <v>149</v>
      </c>
      <c r="S9" s="190"/>
      <c r="T9" s="225"/>
      <c r="W9" s="109"/>
      <c r="X9" s="109"/>
      <c r="Y9" s="191"/>
      <c r="Z9" s="188" t="s">
        <v>31</v>
      </c>
      <c r="AA9" s="188" t="s">
        <v>33</v>
      </c>
      <c r="AB9" s="188" t="s">
        <v>124</v>
      </c>
      <c r="AC9" s="188" t="s">
        <v>34</v>
      </c>
      <c r="AD9" s="189"/>
      <c r="AE9" s="190" t="s">
        <v>36</v>
      </c>
      <c r="AF9" s="190" t="s">
        <v>146</v>
      </c>
      <c r="AG9" s="190"/>
      <c r="AH9" s="189"/>
      <c r="AI9" s="189" t="s">
        <v>147</v>
      </c>
      <c r="AJ9" s="189"/>
      <c r="AK9" s="189"/>
      <c r="AL9" s="189"/>
      <c r="AM9" s="189"/>
      <c r="AN9" s="215"/>
      <c r="AO9" s="190"/>
      <c r="AP9" s="189" t="s">
        <v>148</v>
      </c>
      <c r="AQ9" s="189" t="s">
        <v>149</v>
      </c>
      <c r="AR9" s="190"/>
      <c r="AS9" s="225"/>
    </row>
    <row r="10" ht="13" spans="1:45">
      <c r="A10" s="191" t="str">
        <f>B25</f>
        <v>STH2SUG</v>
      </c>
      <c r="B10" s="192" t="s">
        <v>150</v>
      </c>
      <c r="D10" s="192" t="str">
        <f>B10</f>
        <v>SYNH2CT_UG</v>
      </c>
      <c r="E10" s="193">
        <v>2021</v>
      </c>
      <c r="F10" s="194">
        <v>30</v>
      </c>
      <c r="G10" s="195">
        <v>1</v>
      </c>
      <c r="H10" s="196"/>
      <c r="I10" s="193"/>
      <c r="J10" s="216">
        <f>0.08*277.78</f>
        <v>22.2224</v>
      </c>
      <c r="K10" s="217">
        <f>J10*0.8</f>
        <v>17.77792</v>
      </c>
      <c r="L10" s="217">
        <f>J10*0.7</f>
        <v>15.55568</v>
      </c>
      <c r="M10" s="218">
        <f>J10*2%</f>
        <v>0.444448</v>
      </c>
      <c r="N10" s="218">
        <f t="shared" ref="N10:O10" si="0">K10*2%</f>
        <v>0.3555584</v>
      </c>
      <c r="O10" s="218">
        <f t="shared" si="0"/>
        <v>0.3111136</v>
      </c>
      <c r="P10" s="219">
        <v>1</v>
      </c>
      <c r="Q10" s="226"/>
      <c r="R10" s="226"/>
      <c r="S10" s="227">
        <v>1</v>
      </c>
      <c r="T10" s="225">
        <f>G10</f>
        <v>1</v>
      </c>
      <c r="W10" s="109"/>
      <c r="X10" s="109"/>
      <c r="Y10" s="109"/>
      <c r="Z10" s="191" t="str">
        <f>AA25</f>
        <v>STH2SLH2</v>
      </c>
      <c r="AA10" s="192" t="s">
        <v>151</v>
      </c>
      <c r="AC10" s="192" t="str">
        <f>AA10</f>
        <v>SYNH2CT_LH</v>
      </c>
      <c r="AD10" s="193">
        <v>2021</v>
      </c>
      <c r="AE10" s="194">
        <v>15</v>
      </c>
      <c r="AF10" s="230">
        <f>100%-0.025%*365/48</f>
        <v>0.998098958333333</v>
      </c>
      <c r="AG10" s="196"/>
      <c r="AH10" s="193"/>
      <c r="AI10" s="216">
        <f>105/33.3*1.35*277.78</f>
        <v>1182.44189189189</v>
      </c>
      <c r="AJ10" s="217">
        <f>AI10*0.8</f>
        <v>945.953513513513</v>
      </c>
      <c r="AK10" s="217">
        <f>AI10*0.7</f>
        <v>827.709324324324</v>
      </c>
      <c r="AL10" s="164">
        <f>AI10*2%</f>
        <v>23.6488378378378</v>
      </c>
      <c r="AM10" s="164">
        <f t="shared" ref="AM10" si="1">AJ10*2%</f>
        <v>18.9190702702703</v>
      </c>
      <c r="AN10" s="164">
        <f t="shared" ref="AN10" si="2">AK10*2%</f>
        <v>16.5541864864865</v>
      </c>
      <c r="AO10" s="219">
        <v>1</v>
      </c>
      <c r="AP10" s="226"/>
      <c r="AQ10" s="226"/>
      <c r="AR10" s="227">
        <v>1</v>
      </c>
      <c r="AS10" s="231">
        <f>AF10</f>
        <v>0.998098958333333</v>
      </c>
    </row>
    <row r="11" ht="13" spans="1:45">
      <c r="A11" s="191"/>
      <c r="B11" s="192"/>
      <c r="C11" s="197" t="s">
        <v>152</v>
      </c>
      <c r="D11" s="192"/>
      <c r="E11" s="193"/>
      <c r="F11" s="194"/>
      <c r="G11" s="198"/>
      <c r="H11" s="199">
        <v>1</v>
      </c>
      <c r="I11" s="193"/>
      <c r="J11" s="164"/>
      <c r="K11" s="164"/>
      <c r="L11" s="164"/>
      <c r="M11" s="193"/>
      <c r="N11" s="193"/>
      <c r="O11" s="193"/>
      <c r="P11" s="220"/>
      <c r="Q11" s="226"/>
      <c r="R11" s="226"/>
      <c r="S11" s="227"/>
      <c r="T11" s="225"/>
      <c r="W11" s="109"/>
      <c r="X11" s="109"/>
      <c r="Y11" s="109"/>
      <c r="Z11" s="191"/>
      <c r="AA11" s="192"/>
      <c r="AB11" s="197" t="str">
        <f>AC14</f>
        <v>AUX_STH2SLH2</v>
      </c>
      <c r="AC11" s="192"/>
      <c r="AD11" s="193"/>
      <c r="AE11" s="194"/>
      <c r="AF11" s="198"/>
      <c r="AG11" s="199">
        <v>1</v>
      </c>
      <c r="AH11" s="193"/>
      <c r="AI11" s="164"/>
      <c r="AJ11" s="164"/>
      <c r="AK11" s="164"/>
      <c r="AL11" s="193"/>
      <c r="AM11" s="193"/>
      <c r="AN11" s="193"/>
      <c r="AO11" s="220"/>
      <c r="AP11" s="226"/>
      <c r="AQ11" s="226"/>
      <c r="AR11" s="227"/>
      <c r="AS11" s="225"/>
    </row>
    <row r="12" ht="13" spans="1:45">
      <c r="A12" s="191" t="str">
        <f>B26</f>
        <v>STH2SGT</v>
      </c>
      <c r="B12" s="192" t="s">
        <v>153</v>
      </c>
      <c r="D12" s="192" t="str">
        <f>B12</f>
        <v>SYNH2CT_GT</v>
      </c>
      <c r="E12" s="193">
        <v>2021</v>
      </c>
      <c r="F12" s="194">
        <v>15</v>
      </c>
      <c r="G12" s="195">
        <v>0.85</v>
      </c>
      <c r="H12" s="200"/>
      <c r="I12" s="221"/>
      <c r="J12" s="216">
        <f>35*277.78*1.35</f>
        <v>13125.105</v>
      </c>
      <c r="K12" s="217">
        <f>J12*0.8</f>
        <v>10500.084</v>
      </c>
      <c r="L12" s="217">
        <f>J12*0.7</f>
        <v>9187.5735</v>
      </c>
      <c r="M12" s="164">
        <f>J12*2%</f>
        <v>262.5021</v>
      </c>
      <c r="N12" s="164">
        <f t="shared" ref="N12" si="3">K12*2%</f>
        <v>210.00168</v>
      </c>
      <c r="O12" s="164">
        <f t="shared" ref="O12" si="4">L12*2%</f>
        <v>183.75147</v>
      </c>
      <c r="P12" s="219">
        <v>1</v>
      </c>
      <c r="Q12" s="213"/>
      <c r="R12" s="213"/>
      <c r="S12" s="227">
        <v>1</v>
      </c>
      <c r="T12" s="225">
        <f>G12</f>
        <v>0.85</v>
      </c>
      <c r="W12" s="109"/>
      <c r="X12" s="109"/>
      <c r="Y12" s="109"/>
      <c r="Z12" s="191" t="str">
        <f>AA26</f>
        <v>STH2SNH3</v>
      </c>
      <c r="AA12" s="192" t="s">
        <v>154</v>
      </c>
      <c r="AC12" s="192" t="str">
        <f>AA12</f>
        <v>SYNH2CT_NH</v>
      </c>
      <c r="AD12" s="193">
        <v>2021</v>
      </c>
      <c r="AE12" s="194">
        <v>23</v>
      </c>
      <c r="AF12" s="195">
        <v>0.92</v>
      </c>
      <c r="AG12" s="200"/>
      <c r="AH12" s="221"/>
      <c r="AI12" s="216">
        <f>93/1000*1.5*277.78</f>
        <v>38.75031</v>
      </c>
      <c r="AJ12" s="217">
        <f>AI12*0.8</f>
        <v>31.000248</v>
      </c>
      <c r="AK12" s="217">
        <f>AI12*0.7</f>
        <v>27.125217</v>
      </c>
      <c r="AL12" s="164">
        <f>AI12*2%</f>
        <v>0.7750062</v>
      </c>
      <c r="AM12" s="164">
        <f t="shared" ref="AM12" si="5">AJ12*2%</f>
        <v>0.62000496</v>
      </c>
      <c r="AN12" s="164">
        <f t="shared" ref="AN12" si="6">AK12*2%</f>
        <v>0.54250434</v>
      </c>
      <c r="AO12" s="219">
        <v>1</v>
      </c>
      <c r="AP12" s="213"/>
      <c r="AQ12" s="213"/>
      <c r="AR12" s="227">
        <v>1</v>
      </c>
      <c r="AS12" s="232">
        <f>AF12</f>
        <v>0.92</v>
      </c>
    </row>
    <row r="13" ht="13" spans="1:45">
      <c r="A13" s="191"/>
      <c r="B13" s="192"/>
      <c r="C13" s="197" t="s">
        <v>155</v>
      </c>
      <c r="D13" s="192"/>
      <c r="E13" s="193"/>
      <c r="F13" s="194"/>
      <c r="G13" s="198"/>
      <c r="H13" s="199">
        <v>1</v>
      </c>
      <c r="I13" s="193"/>
      <c r="M13" s="193"/>
      <c r="N13" s="193"/>
      <c r="O13" s="193"/>
      <c r="P13" s="220"/>
      <c r="Q13" s="213"/>
      <c r="R13" s="213"/>
      <c r="S13" s="227"/>
      <c r="T13" s="225"/>
      <c r="W13" s="109"/>
      <c r="X13" s="109"/>
      <c r="Y13" s="109"/>
      <c r="Z13" s="191"/>
      <c r="AA13" s="192"/>
      <c r="AB13" s="197" t="str">
        <f>AC15</f>
        <v>AUX_STH2SNH3</v>
      </c>
      <c r="AC13" s="192"/>
      <c r="AD13" s="193"/>
      <c r="AE13" s="194"/>
      <c r="AF13" s="198"/>
      <c r="AG13" s="199">
        <v>1</v>
      </c>
      <c r="AH13" s="193"/>
      <c r="AL13" s="193"/>
      <c r="AM13" s="193"/>
      <c r="AN13" s="193"/>
      <c r="AO13" s="220"/>
      <c r="AP13" s="213"/>
      <c r="AQ13" s="213"/>
      <c r="AR13" s="227"/>
      <c r="AS13" s="225"/>
    </row>
    <row r="14" ht="13" spans="1:45">
      <c r="A14" s="192" t="s">
        <v>156</v>
      </c>
      <c r="B14" s="192" t="s">
        <v>157</v>
      </c>
      <c r="D14" s="197" t="s">
        <v>152</v>
      </c>
      <c r="E14" s="201">
        <f>E10</f>
        <v>2021</v>
      </c>
      <c r="F14" s="202">
        <f>F10</f>
        <v>30</v>
      </c>
      <c r="G14" s="203"/>
      <c r="H14" s="202"/>
      <c r="I14" s="206"/>
      <c r="J14" s="222"/>
      <c r="K14" s="222"/>
      <c r="L14" s="222"/>
      <c r="P14" s="223">
        <f>P10</f>
        <v>1</v>
      </c>
      <c r="R14" s="204"/>
      <c r="S14" s="202">
        <v>1</v>
      </c>
      <c r="T14" s="228">
        <v>1</v>
      </c>
      <c r="W14" s="109"/>
      <c r="X14" s="109"/>
      <c r="Y14" s="109"/>
      <c r="Z14" s="192" t="s">
        <v>158</v>
      </c>
      <c r="AA14" s="192" t="s">
        <v>157</v>
      </c>
      <c r="AC14" s="197" t="s">
        <v>159</v>
      </c>
      <c r="AD14" s="201">
        <f>AD10</f>
        <v>2021</v>
      </c>
      <c r="AE14" s="202">
        <f>AE10</f>
        <v>15</v>
      </c>
      <c r="AF14" s="203"/>
      <c r="AG14" s="202"/>
      <c r="AH14" s="206"/>
      <c r="AI14" s="222"/>
      <c r="AJ14" s="222"/>
      <c r="AK14" s="222"/>
      <c r="AO14" s="223">
        <f>AO10</f>
        <v>1</v>
      </c>
      <c r="AQ14" s="204"/>
      <c r="AR14" s="202">
        <v>1</v>
      </c>
      <c r="AS14" s="228">
        <v>1</v>
      </c>
    </row>
    <row r="15" ht="13" spans="1:45">
      <c r="A15" s="192" t="s">
        <v>160</v>
      </c>
      <c r="B15" s="192" t="s">
        <v>157</v>
      </c>
      <c r="D15" s="197" t="s">
        <v>155</v>
      </c>
      <c r="E15" s="201">
        <f>E12</f>
        <v>2021</v>
      </c>
      <c r="F15" s="202">
        <f>F12</f>
        <v>15</v>
      </c>
      <c r="G15" s="203"/>
      <c r="H15" s="202"/>
      <c r="I15" s="206"/>
      <c r="J15" s="222"/>
      <c r="K15" s="222"/>
      <c r="L15" s="222"/>
      <c r="P15" s="223">
        <f>P12</f>
        <v>1</v>
      </c>
      <c r="R15" s="204"/>
      <c r="S15" s="202">
        <v>1</v>
      </c>
      <c r="T15" s="228">
        <v>1</v>
      </c>
      <c r="W15" s="109"/>
      <c r="X15" s="109"/>
      <c r="Y15" s="109"/>
      <c r="Z15" s="192" t="s">
        <v>161</v>
      </c>
      <c r="AA15" s="192" t="s">
        <v>157</v>
      </c>
      <c r="AC15" s="197" t="s">
        <v>162</v>
      </c>
      <c r="AD15" s="201">
        <f>AD12</f>
        <v>2021</v>
      </c>
      <c r="AE15" s="202">
        <f>AE12</f>
        <v>23</v>
      </c>
      <c r="AF15" s="203"/>
      <c r="AG15" s="202"/>
      <c r="AH15" s="206"/>
      <c r="AI15" s="222"/>
      <c r="AJ15" s="222"/>
      <c r="AK15" s="222"/>
      <c r="AO15" s="223">
        <f>AO12</f>
        <v>1</v>
      </c>
      <c r="AQ15" s="204"/>
      <c r="AR15" s="202">
        <v>1</v>
      </c>
      <c r="AS15" s="228">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2"/>
      <c r="K18" s="222"/>
      <c r="L18" s="222"/>
      <c r="P18" s="223"/>
      <c r="R18" s="204"/>
      <c r="S18" s="202"/>
      <c r="T18" s="228"/>
      <c r="W18" s="109"/>
      <c r="X18" s="109"/>
      <c r="Y18" s="109"/>
      <c r="Z18" s="192"/>
      <c r="AA18" s="192"/>
      <c r="AC18" s="197"/>
      <c r="AD18" s="201"/>
      <c r="AE18" s="202"/>
      <c r="AF18" s="203"/>
      <c r="AG18" s="202"/>
      <c r="AH18" s="206"/>
      <c r="AI18" s="222"/>
      <c r="AJ18" s="222"/>
      <c r="AK18" s="222"/>
      <c r="AO18" s="223"/>
      <c r="AQ18" s="204"/>
      <c r="AR18" s="202"/>
      <c r="AS18" s="228"/>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9" t="s">
        <v>163</v>
      </c>
      <c r="B25" s="180" t="s">
        <v>164</v>
      </c>
      <c r="C25" s="180" t="s">
        <v>165</v>
      </c>
      <c r="D25" s="155" t="s">
        <v>63</v>
      </c>
      <c r="E25" s="156" t="s">
        <v>129</v>
      </c>
      <c r="F25" s="155" t="s">
        <v>166</v>
      </c>
      <c r="G25" s="210" t="str">
        <f>D10</f>
        <v>SYNH2CT_UG</v>
      </c>
      <c r="H25" s="156"/>
      <c r="I25" s="109"/>
      <c r="J25" s="109"/>
      <c r="K25" s="109"/>
      <c r="L25" s="109"/>
      <c r="M25" s="109"/>
      <c r="N25" s="109"/>
      <c r="O25" s="109"/>
      <c r="P25" s="109"/>
      <c r="Q25" s="109"/>
      <c r="R25" s="109"/>
      <c r="S25" s="109"/>
      <c r="T25" s="109"/>
      <c r="U25" s="109"/>
      <c r="V25" s="109"/>
      <c r="W25" s="109"/>
      <c r="X25" s="109"/>
      <c r="Y25" s="109"/>
      <c r="Z25" s="179" t="s">
        <v>163</v>
      </c>
      <c r="AA25" s="180" t="s">
        <v>167</v>
      </c>
      <c r="AB25" s="180" t="s">
        <v>165</v>
      </c>
      <c r="AC25" s="155" t="s">
        <v>63</v>
      </c>
      <c r="AD25" s="156" t="s">
        <v>63</v>
      </c>
      <c r="AE25" s="155" t="s">
        <v>166</v>
      </c>
      <c r="AF25" s="210" t="str">
        <f>AC10</f>
        <v>SYNH2CT_LH</v>
      </c>
      <c r="AG25" s="156"/>
      <c r="AH25" s="109"/>
      <c r="AI25" s="109"/>
      <c r="AJ25" s="109"/>
      <c r="AK25" s="109"/>
      <c r="AL25" s="109"/>
      <c r="AM25" s="109"/>
      <c r="AN25" s="109"/>
      <c r="AO25" s="109"/>
      <c r="AP25" s="109"/>
      <c r="AQ25" s="109"/>
      <c r="AR25" s="109"/>
      <c r="AS25" s="109"/>
    </row>
    <row r="26" spans="1:45">
      <c r="A26" s="179" t="s">
        <v>163</v>
      </c>
      <c r="B26" s="180" t="s">
        <v>168</v>
      </c>
      <c r="C26" s="180" t="s">
        <v>169</v>
      </c>
      <c r="D26" s="155" t="s">
        <v>63</v>
      </c>
      <c r="E26" s="156" t="s">
        <v>129</v>
      </c>
      <c r="F26" s="155" t="s">
        <v>166</v>
      </c>
      <c r="G26" s="210" t="str">
        <f>D12</f>
        <v>SYNH2CT_GT</v>
      </c>
      <c r="H26" s="180"/>
      <c r="I26" s="192"/>
      <c r="J26" s="109"/>
      <c r="K26" s="109"/>
      <c r="L26" s="109"/>
      <c r="M26" s="109"/>
      <c r="N26" s="109"/>
      <c r="O26" s="109"/>
      <c r="P26" s="109"/>
      <c r="Q26" s="109"/>
      <c r="R26" s="109"/>
      <c r="S26" s="109"/>
      <c r="T26" s="109"/>
      <c r="U26" s="109"/>
      <c r="V26" s="109"/>
      <c r="W26" s="109"/>
      <c r="X26" s="109"/>
      <c r="Y26" s="109"/>
      <c r="Z26" s="179" t="s">
        <v>163</v>
      </c>
      <c r="AA26" s="180" t="s">
        <v>170</v>
      </c>
      <c r="AB26" s="180" t="s">
        <v>169</v>
      </c>
      <c r="AC26" s="155" t="s">
        <v>63</v>
      </c>
      <c r="AD26" s="156" t="s">
        <v>63</v>
      </c>
      <c r="AE26" s="155" t="s">
        <v>166</v>
      </c>
      <c r="AF26" s="210" t="str">
        <f>AC12</f>
        <v>SYNH2CT_NH</v>
      </c>
      <c r="AG26" s="180"/>
      <c r="AH26" s="192"/>
      <c r="AI26" s="109"/>
      <c r="AJ26" s="109"/>
      <c r="AK26" s="109"/>
      <c r="AL26" s="109"/>
      <c r="AM26" s="109"/>
      <c r="AN26" s="109"/>
      <c r="AO26" s="109"/>
      <c r="AP26" s="109"/>
      <c r="AQ26" s="109"/>
      <c r="AR26" s="109"/>
      <c r="AS26" s="109"/>
    </row>
    <row r="27" spans="1:45">
      <c r="A27" s="179" t="s">
        <v>112</v>
      </c>
      <c r="B27" s="180" t="str">
        <f>A14</f>
        <v>P_STH2SUG</v>
      </c>
      <c r="C27" s="180" t="s">
        <v>171</v>
      </c>
      <c r="D27" s="155" t="s">
        <v>63</v>
      </c>
      <c r="E27" s="156" t="s">
        <v>129</v>
      </c>
      <c r="F27" s="155" t="s">
        <v>166</v>
      </c>
      <c r="G27" s="210"/>
      <c r="H27" s="118"/>
      <c r="I27" s="109"/>
      <c r="J27" s="109"/>
      <c r="K27" s="109"/>
      <c r="L27" s="109"/>
      <c r="M27" s="109"/>
      <c r="N27" s="109"/>
      <c r="O27" s="109"/>
      <c r="P27" s="109"/>
      <c r="Q27" s="109"/>
      <c r="R27" s="109"/>
      <c r="S27" s="109"/>
      <c r="T27" s="109"/>
      <c r="U27" s="109"/>
      <c r="V27" s="109"/>
      <c r="W27" s="109"/>
      <c r="X27" s="109"/>
      <c r="Y27" s="109"/>
      <c r="Z27" s="179" t="s">
        <v>112</v>
      </c>
      <c r="AA27" s="180" t="str">
        <f>Z14</f>
        <v>P_STH2SLH2</v>
      </c>
      <c r="AB27" s="180" t="s">
        <v>171</v>
      </c>
      <c r="AC27" s="155" t="s">
        <v>63</v>
      </c>
      <c r="AD27" s="156" t="s">
        <v>63</v>
      </c>
      <c r="AE27" s="155" t="s">
        <v>166</v>
      </c>
      <c r="AF27" s="210"/>
      <c r="AG27" s="118"/>
      <c r="AH27" s="109"/>
      <c r="AI27" s="109"/>
      <c r="AJ27" s="109"/>
      <c r="AK27" s="109"/>
      <c r="AL27" s="109"/>
      <c r="AM27" s="109"/>
      <c r="AN27" s="109"/>
      <c r="AO27" s="109"/>
      <c r="AP27" s="109"/>
      <c r="AQ27" s="109"/>
      <c r="AR27" s="109"/>
      <c r="AS27" s="109"/>
    </row>
    <row r="28" spans="1:45">
      <c r="A28" s="179" t="s">
        <v>112</v>
      </c>
      <c r="B28" s="180" t="str">
        <f>A15</f>
        <v>P_STH2SGT</v>
      </c>
      <c r="C28" s="180" t="s">
        <v>172</v>
      </c>
      <c r="D28" s="155" t="s">
        <v>63</v>
      </c>
      <c r="E28" s="156" t="s">
        <v>129</v>
      </c>
      <c r="F28" s="155" t="s">
        <v>166</v>
      </c>
      <c r="G28" s="210"/>
      <c r="H28" s="118"/>
      <c r="I28" s="109"/>
      <c r="J28" s="109"/>
      <c r="K28" s="109"/>
      <c r="L28" s="109"/>
      <c r="M28" s="109"/>
      <c r="N28" s="109"/>
      <c r="O28" s="109"/>
      <c r="P28" s="109"/>
      <c r="Q28" s="109"/>
      <c r="R28" s="109"/>
      <c r="S28" s="109"/>
      <c r="T28" s="109"/>
      <c r="U28" s="109"/>
      <c r="V28" s="109"/>
      <c r="W28" s="109"/>
      <c r="X28" s="109"/>
      <c r="Y28" s="109"/>
      <c r="Z28" s="179" t="s">
        <v>112</v>
      </c>
      <c r="AA28" s="180" t="str">
        <f>Z15</f>
        <v>P_STH2SNH3</v>
      </c>
      <c r="AB28" s="180" t="s">
        <v>172</v>
      </c>
      <c r="AC28" s="155" t="s">
        <v>63</v>
      </c>
      <c r="AD28" s="156" t="s">
        <v>63</v>
      </c>
      <c r="AE28" s="155" t="s">
        <v>166</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9"/>
      <c r="B30" s="180"/>
      <c r="C30" s="180"/>
      <c r="D30" s="155"/>
      <c r="E30" s="156"/>
      <c r="F30" s="155"/>
      <c r="G30" s="210"/>
      <c r="H30" s="118"/>
      <c r="I30" s="109"/>
      <c r="J30" s="109"/>
      <c r="K30" s="109"/>
      <c r="L30" s="109"/>
      <c r="M30" s="109"/>
      <c r="N30" s="109"/>
      <c r="O30" s="109"/>
      <c r="P30" s="109"/>
      <c r="Q30" s="109"/>
      <c r="R30" s="109"/>
      <c r="S30" s="109"/>
      <c r="T30" s="109"/>
      <c r="U30" s="109"/>
      <c r="V30" s="109"/>
      <c r="W30" s="109"/>
      <c r="X30" s="109"/>
      <c r="Y30" s="109"/>
      <c r="Z30" s="179"/>
      <c r="AA30" s="180"/>
      <c r="AB30" s="180"/>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9"/>
      <c r="Y33" s="229"/>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67</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67</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68</v>
      </c>
      <c r="B35" s="158" t="s">
        <v>69</v>
      </c>
      <c r="C35" s="158" t="s">
        <v>70</v>
      </c>
      <c r="D35" s="159" t="s">
        <v>71</v>
      </c>
      <c r="E35" s="159" t="s">
        <v>72</v>
      </c>
      <c r="F35" s="159" t="s">
        <v>73</v>
      </c>
      <c r="G35" s="159" t="s">
        <v>74</v>
      </c>
      <c r="H35" s="159" t="s">
        <v>75</v>
      </c>
      <c r="Z35" s="158" t="s">
        <v>68</v>
      </c>
      <c r="AA35" s="158" t="s">
        <v>69</v>
      </c>
      <c r="AB35" s="158" t="s">
        <v>70</v>
      </c>
      <c r="AC35" s="159" t="s">
        <v>71</v>
      </c>
      <c r="AD35" s="159" t="s">
        <v>72</v>
      </c>
      <c r="AE35" s="159" t="s">
        <v>73</v>
      </c>
      <c r="AF35" s="159" t="s">
        <v>74</v>
      </c>
      <c r="AG35" s="159" t="s">
        <v>75</v>
      </c>
    </row>
    <row r="36" ht="38.25" spans="1:33">
      <c r="A36" s="214" t="s">
        <v>76</v>
      </c>
      <c r="B36" s="214" t="s">
        <v>77</v>
      </c>
      <c r="C36" s="214" t="s">
        <v>78</v>
      </c>
      <c r="D36" s="214" t="s">
        <v>71</v>
      </c>
      <c r="E36" s="214" t="s">
        <v>79</v>
      </c>
      <c r="F36" s="214" t="s">
        <v>80</v>
      </c>
      <c r="G36" s="214" t="s">
        <v>81</v>
      </c>
      <c r="H36" s="214" t="s">
        <v>82</v>
      </c>
      <c r="Z36" s="214" t="s">
        <v>76</v>
      </c>
      <c r="AA36" s="214" t="s">
        <v>77</v>
      </c>
      <c r="AB36" s="214" t="s">
        <v>78</v>
      </c>
      <c r="AC36" s="214" t="s">
        <v>71</v>
      </c>
      <c r="AD36" s="214" t="s">
        <v>79</v>
      </c>
      <c r="AE36" s="214" t="s">
        <v>80</v>
      </c>
      <c r="AF36" s="214" t="s">
        <v>81</v>
      </c>
      <c r="AG36" s="214" t="s">
        <v>82</v>
      </c>
    </row>
    <row r="37" spans="1:33">
      <c r="A37" s="180" t="s">
        <v>83</v>
      </c>
      <c r="B37" s="156" t="str">
        <f>D14</f>
        <v>AUX_STH2SUG</v>
      </c>
      <c r="C37" s="156" t="s">
        <v>173</v>
      </c>
      <c r="D37" s="118" t="s">
        <v>63</v>
      </c>
      <c r="E37" s="117" t="s">
        <v>86</v>
      </c>
      <c r="F37" s="118" t="s">
        <v>87</v>
      </c>
      <c r="G37" s="118"/>
      <c r="H37" s="118"/>
      <c r="Z37" s="180" t="s">
        <v>83</v>
      </c>
      <c r="AA37" s="156" t="str">
        <f>AC14</f>
        <v>AUX_STH2SLH2</v>
      </c>
      <c r="AB37" s="156" t="s">
        <v>173</v>
      </c>
      <c r="AC37" s="118" t="s">
        <v>63</v>
      </c>
      <c r="AD37" s="117" t="s">
        <v>86</v>
      </c>
      <c r="AE37" s="118" t="s">
        <v>87</v>
      </c>
      <c r="AF37" s="118"/>
      <c r="AG37" s="118"/>
    </row>
    <row r="38" spans="1:33">
      <c r="A38" s="180" t="s">
        <v>83</v>
      </c>
      <c r="B38" s="156" t="str">
        <f>D15</f>
        <v>AUX_STH2SGT</v>
      </c>
      <c r="C38" s="156" t="s">
        <v>174</v>
      </c>
      <c r="D38" s="118" t="s">
        <v>63</v>
      </c>
      <c r="E38" s="117" t="s">
        <v>86</v>
      </c>
      <c r="F38" s="118" t="s">
        <v>87</v>
      </c>
      <c r="G38" s="118"/>
      <c r="H38" s="118"/>
      <c r="Z38" s="180" t="s">
        <v>83</v>
      </c>
      <c r="AA38" s="156" t="str">
        <f>AC15</f>
        <v>AUX_STH2SNH3</v>
      </c>
      <c r="AB38" s="156" t="s">
        <v>174</v>
      </c>
      <c r="AC38" s="118" t="s">
        <v>63</v>
      </c>
      <c r="AD38" s="117" t="s">
        <v>86</v>
      </c>
      <c r="AE38" s="118" t="s">
        <v>87</v>
      </c>
      <c r="AF38" s="118"/>
      <c r="AG38" s="118"/>
    </row>
    <row r="39" spans="1:8">
      <c r="A39" s="180" t="s">
        <v>83</v>
      </c>
      <c r="B39" s="156" t="str">
        <f>B10</f>
        <v>SYNH2CT_UG</v>
      </c>
      <c r="C39" s="156"/>
      <c r="D39" s="118" t="s">
        <v>63</v>
      </c>
      <c r="E39" s="117" t="s">
        <v>86</v>
      </c>
      <c r="F39" s="118" t="s">
        <v>87</v>
      </c>
      <c r="G39" s="118"/>
      <c r="H39" s="118"/>
    </row>
    <row r="40" spans="1:6">
      <c r="A40" s="180" t="s">
        <v>83</v>
      </c>
      <c r="B40" t="str">
        <f>B12</f>
        <v>SYNH2CT_GT</v>
      </c>
      <c r="D40" s="118" t="s">
        <v>63</v>
      </c>
      <c r="E40" s="117" t="s">
        <v>86</v>
      </c>
      <c r="F40" s="118" t="s">
        <v>87</v>
      </c>
    </row>
    <row r="41" spans="1:6">
      <c r="A41" s="180" t="s">
        <v>83</v>
      </c>
      <c r="B41" t="str">
        <f>AA10</f>
        <v>SYNH2CT_LH</v>
      </c>
      <c r="D41" s="118" t="s">
        <v>63</v>
      </c>
      <c r="E41" s="117" t="s">
        <v>86</v>
      </c>
      <c r="F41" s="118" t="s">
        <v>87</v>
      </c>
    </row>
    <row r="42" spans="1:6">
      <c r="A42" s="180" t="s">
        <v>83</v>
      </c>
      <c r="B42" t="str">
        <f>AA12</f>
        <v>SYNH2CT_NH</v>
      </c>
      <c r="D42" s="118" t="s">
        <v>63</v>
      </c>
      <c r="E42" s="117" t="s">
        <v>86</v>
      </c>
      <c r="F42" s="118" t="s">
        <v>87</v>
      </c>
    </row>
    <row r="44" spans="1:10">
      <c r="A44" s="180"/>
      <c r="B44" s="118"/>
      <c r="C44" s="118"/>
      <c r="D44" s="118"/>
      <c r="E44" s="117"/>
      <c r="F44" s="118"/>
      <c r="G44" s="118"/>
      <c r="H44" s="118"/>
      <c r="J44" s="224"/>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tabSelected="1" zoomScale="70" zoomScaleNormal="70" workbookViewId="0">
      <selection activeCell="M38" sqref="M38"/>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2">
      <c r="A4" s="177" t="s">
        <v>177</v>
      </c>
      <c r="B4" s="177" t="s">
        <v>178</v>
      </c>
      <c r="C4" t="s">
        <v>14</v>
      </c>
      <c r="D4" t="s">
        <v>15</v>
      </c>
      <c r="E4" t="s">
        <v>16</v>
      </c>
      <c r="F4" t="s">
        <v>109</v>
      </c>
      <c r="G4" t="s">
        <v>17</v>
      </c>
      <c r="H4" t="s">
        <v>109</v>
      </c>
      <c r="I4" t="s">
        <v>41</v>
      </c>
      <c r="J4" t="s">
        <v>109</v>
      </c>
      <c r="K4" t="s">
        <v>109</v>
      </c>
      <c r="L4" t="s">
        <v>109</v>
      </c>
      <c r="M4" t="s">
        <v>109</v>
      </c>
      <c r="N4" t="s">
        <v>142</v>
      </c>
      <c r="O4" t="s">
        <v>179</v>
      </c>
      <c r="P4" t="s">
        <v>180</v>
      </c>
      <c r="Q4" t="s">
        <v>9</v>
      </c>
      <c r="R4" t="s">
        <v>181</v>
      </c>
      <c r="S4" t="s">
        <v>182</v>
      </c>
      <c r="T4" t="s">
        <v>28</v>
      </c>
      <c r="U4" t="s">
        <v>29</v>
      </c>
      <c r="V4" t="s">
        <v>30</v>
      </c>
    </row>
    <row r="5" spans="1:20">
      <c r="A5" s="177"/>
      <c r="B5" s="177"/>
      <c r="C5" t="s">
        <v>31</v>
      </c>
      <c r="D5" t="s">
        <v>32</v>
      </c>
      <c r="E5" t="s">
        <v>33</v>
      </c>
      <c r="G5" t="s">
        <v>34</v>
      </c>
      <c r="T5" t="s">
        <v>36</v>
      </c>
    </row>
    <row r="6" spans="1:22">
      <c r="A6" s="177"/>
      <c r="B6" s="177">
        <v>1</v>
      </c>
      <c r="C6" s="178" t="s">
        <v>183</v>
      </c>
      <c r="E6" t="str">
        <f>SUP_HS!B10</f>
        <v>SYNH2CT_UG</v>
      </c>
      <c r="G6" t="s">
        <v>88</v>
      </c>
      <c r="Q6">
        <f>8333*1.35/10^6</f>
        <v>0.01124955</v>
      </c>
      <c r="T6">
        <v>40</v>
      </c>
      <c r="U6">
        <v>2021</v>
      </c>
      <c r="V6">
        <v>1</v>
      </c>
    </row>
    <row r="7" spans="1:3">
      <c r="A7" s="177" t="s">
        <v>37</v>
      </c>
      <c r="B7" s="177">
        <f>[2]PrimaryProdTech!$G$75</f>
        <v>0.00278251409563062</v>
      </c>
      <c r="C7" t="s">
        <v>109</v>
      </c>
    </row>
    <row r="8" spans="1:3">
      <c r="A8" s="177"/>
      <c r="B8" s="177"/>
      <c r="C8" t="s">
        <v>109</v>
      </c>
    </row>
    <row r="9" spans="1:22">
      <c r="A9" s="177"/>
      <c r="B9" s="177">
        <v>1</v>
      </c>
      <c r="C9" t="s">
        <v>184</v>
      </c>
      <c r="E9" t="s">
        <v>153</v>
      </c>
      <c r="G9" t="s">
        <v>88</v>
      </c>
      <c r="Q9">
        <f>1.2*Q6</f>
        <v>0.01349946</v>
      </c>
      <c r="T9">
        <v>40</v>
      </c>
      <c r="U9">
        <v>2021</v>
      </c>
      <c r="V9">
        <v>1</v>
      </c>
    </row>
    <row r="10" spans="1:3">
      <c r="A10" s="177" t="s">
        <v>37</v>
      </c>
      <c r="B10" s="177">
        <v>0.236</v>
      </c>
      <c r="C10" t="s">
        <v>109</v>
      </c>
    </row>
    <row r="11" spans="1:3">
      <c r="A11" s="177" t="s">
        <v>185</v>
      </c>
      <c r="B11" s="177">
        <v>0.003</v>
      </c>
      <c r="C11" t="s">
        <v>109</v>
      </c>
    </row>
    <row r="12" spans="1:22">
      <c r="A12" s="177"/>
      <c r="B12" s="177">
        <v>1</v>
      </c>
      <c r="C12" t="s">
        <v>186</v>
      </c>
      <c r="E12" t="s">
        <v>151</v>
      </c>
      <c r="G12" t="s">
        <v>88</v>
      </c>
      <c r="Q12">
        <f>0.2*Q6</f>
        <v>0.00224991</v>
      </c>
      <c r="T12">
        <v>40</v>
      </c>
      <c r="U12">
        <v>2021</v>
      </c>
      <c r="V12">
        <v>1</v>
      </c>
    </row>
    <row r="13" spans="1:3">
      <c r="A13" s="177" t="s">
        <v>37</v>
      </c>
      <c r="B13" s="177">
        <v>0.236</v>
      </c>
      <c r="C13" t="s">
        <v>109</v>
      </c>
    </row>
    <row r="14" spans="1:3">
      <c r="A14" s="177" t="s">
        <v>185</v>
      </c>
      <c r="B14" s="177">
        <v>0.003</v>
      </c>
      <c r="C14" t="s">
        <v>109</v>
      </c>
    </row>
    <row r="15" spans="1:22">
      <c r="A15" s="177"/>
      <c r="B15" s="177">
        <v>1</v>
      </c>
      <c r="C15" s="162" t="s">
        <v>187</v>
      </c>
      <c r="E15" t="s">
        <v>154</v>
      </c>
      <c r="G15" t="s">
        <v>88</v>
      </c>
      <c r="Q15">
        <f>0.2*Q6</f>
        <v>0.00224991</v>
      </c>
      <c r="T15">
        <v>40</v>
      </c>
      <c r="U15">
        <v>2021</v>
      </c>
      <c r="V15">
        <v>1</v>
      </c>
    </row>
    <row r="16" spans="1:2">
      <c r="A16" s="177" t="s">
        <v>37</v>
      </c>
      <c r="B16" s="177">
        <v>0.236</v>
      </c>
    </row>
    <row r="17" spans="1:2">
      <c r="A17" s="177" t="s">
        <v>185</v>
      </c>
      <c r="B17" s="177"/>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9" t="s">
        <v>112</v>
      </c>
      <c r="E35" s="180" t="str">
        <f>C6</f>
        <v>SDEL_UG</v>
      </c>
      <c r="F35" s="179"/>
      <c r="G35" s="155" t="s">
        <v>63</v>
      </c>
      <c r="H35" s="156" t="s">
        <v>129</v>
      </c>
      <c r="I35" s="155" t="s">
        <v>65</v>
      </c>
      <c r="J35" s="155"/>
    </row>
    <row r="36" spans="5:9">
      <c r="E36" s="180" t="str">
        <f>C9</f>
        <v>SDEL_GT</v>
      </c>
      <c r="G36" s="155" t="s">
        <v>63</v>
      </c>
      <c r="H36" s="156" t="s">
        <v>129</v>
      </c>
      <c r="I36" s="155" t="s">
        <v>65</v>
      </c>
    </row>
    <row r="37" spans="5:9">
      <c r="E37" s="180" t="str">
        <f>C12</f>
        <v>SDEL_LH</v>
      </c>
      <c r="G37" s="155" t="s">
        <v>63</v>
      </c>
      <c r="H37" s="156" t="s">
        <v>129</v>
      </c>
      <c r="I37" s="155" t="s">
        <v>65</v>
      </c>
    </row>
    <row r="38" spans="5:9">
      <c r="E38" s="180" t="str">
        <f>C15</f>
        <v>SDEL_NH</v>
      </c>
      <c r="G38" s="155" t="s">
        <v>63</v>
      </c>
      <c r="H38" s="156" t="s">
        <v>129</v>
      </c>
      <c r="I38" s="155" t="s">
        <v>65</v>
      </c>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188</v>
      </c>
      <c r="T1" s="107"/>
      <c r="U1" s="107"/>
      <c r="V1" s="107"/>
      <c r="W1" s="107"/>
      <c r="X1" s="107"/>
      <c r="Y1" s="107"/>
      <c r="Z1" s="107"/>
      <c r="AA1" s="107"/>
      <c r="AB1" s="107"/>
      <c r="AC1" s="107"/>
    </row>
    <row r="2" spans="19:29">
      <c r="S2" s="176" t="s">
        <v>189</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190</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191</v>
      </c>
      <c r="G7" s="167" t="s">
        <v>192</v>
      </c>
      <c r="H7" s="167" t="s">
        <v>193</v>
      </c>
      <c r="I7" s="165" t="s">
        <v>194</v>
      </c>
    </row>
    <row r="8" ht="14.5" spans="2:11">
      <c r="B8" s="168"/>
      <c r="C8" s="169"/>
      <c r="D8" s="170"/>
      <c r="E8" s="170"/>
      <c r="F8" s="170"/>
      <c r="G8" s="170"/>
      <c r="H8" s="170"/>
      <c r="I8" s="170"/>
      <c r="J8" s="170"/>
      <c r="K8" s="170"/>
    </row>
    <row r="9" ht="26.75" spans="2:11">
      <c r="B9" s="171" t="s">
        <v>69</v>
      </c>
      <c r="C9" s="172" t="s">
        <v>195</v>
      </c>
      <c r="D9" s="172" t="s">
        <v>196</v>
      </c>
      <c r="E9" s="172" t="s">
        <v>88</v>
      </c>
      <c r="F9" s="173"/>
      <c r="G9" s="173"/>
      <c r="H9" s="173"/>
      <c r="I9" s="173"/>
      <c r="J9" s="173"/>
      <c r="K9" s="173"/>
    </row>
    <row r="10" ht="26" spans="2:11">
      <c r="B10" s="174" t="s">
        <v>44</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54545454545"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197</v>
      </c>
      <c r="D3" s="108" t="s">
        <v>198</v>
      </c>
    </row>
    <row r="6" ht="13" spans="2:20">
      <c r="B6" s="109"/>
      <c r="C6" s="109"/>
      <c r="D6" s="109"/>
      <c r="E6" s="109"/>
      <c r="F6" s="110"/>
      <c r="G6" s="109"/>
      <c r="H6" s="111"/>
      <c r="I6" s="111"/>
      <c r="J6" s="109"/>
      <c r="K6" s="109"/>
      <c r="L6" s="109"/>
      <c r="S6" s="109"/>
      <c r="T6" s="141"/>
    </row>
    <row r="7" ht="26" spans="2:21">
      <c r="B7" s="112" t="s">
        <v>14</v>
      </c>
      <c r="C7" s="113" t="s">
        <v>15</v>
      </c>
      <c r="D7" s="112" t="s">
        <v>16</v>
      </c>
      <c r="E7" s="112" t="s">
        <v>122</v>
      </c>
      <c r="F7" s="112" t="s">
        <v>17</v>
      </c>
      <c r="G7" s="114" t="s">
        <v>100</v>
      </c>
      <c r="H7" s="114" t="s">
        <v>41</v>
      </c>
      <c r="I7" s="114" t="s">
        <v>145</v>
      </c>
      <c r="J7" s="114" t="s">
        <v>105</v>
      </c>
      <c r="K7" s="114" t="s">
        <v>199</v>
      </c>
      <c r="L7" s="114" t="s">
        <v>200</v>
      </c>
      <c r="M7" s="114" t="s">
        <v>142</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201</v>
      </c>
      <c r="K8" s="116" t="s">
        <v>201</v>
      </c>
      <c r="L8" s="116" t="s">
        <v>201</v>
      </c>
      <c r="M8" s="116" t="s">
        <v>201</v>
      </c>
      <c r="N8" s="116" t="s">
        <v>201</v>
      </c>
      <c r="O8" s="116" t="s">
        <v>201</v>
      </c>
      <c r="P8" s="116" t="s">
        <v>202</v>
      </c>
      <c r="Q8" s="116" t="s">
        <v>202</v>
      </c>
      <c r="R8" s="116" t="s">
        <v>202</v>
      </c>
      <c r="S8" s="116" t="s">
        <v>36</v>
      </c>
      <c r="T8" s="143"/>
      <c r="U8" s="143"/>
    </row>
    <row r="9" spans="2:23">
      <c r="B9" s="117" t="s">
        <v>203</v>
      </c>
      <c r="C9" s="118" t="str">
        <f>'INPUT-Data(EUTIMES-HD)'!C3</f>
        <v>Fuel Tech - H2 Delivery from centralized production (COMP+USTOR+TR+LIQ+LSTORB+RTS+REFLL(large))</v>
      </c>
      <c r="D9" s="118" t="s">
        <v>195</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204</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205</v>
      </c>
      <c r="G12" s="124"/>
      <c r="H12" s="125">
        <f>'INPUT-Data(EUTIMES-HD)'!M3</f>
        <v>1</v>
      </c>
      <c r="I12" s="138"/>
      <c r="J12" s="124"/>
      <c r="K12" s="124"/>
      <c r="L12" s="124"/>
      <c r="M12" s="124"/>
      <c r="N12" s="124"/>
      <c r="O12" s="124"/>
      <c r="P12" s="124"/>
      <c r="Q12" s="124"/>
      <c r="R12" s="124"/>
      <c r="S12" s="119"/>
      <c r="T12" s="144"/>
    </row>
    <row r="13" spans="2:23">
      <c r="B13" s="126" t="s">
        <v>206</v>
      </c>
      <c r="C13" s="127" t="str">
        <f>'INPUT-Data(EUTIMES-HD)'!C4</f>
        <v>Fuel Tech - H2 Delivery from centralized production (COMP+USTOR+TR+LIQ+LSTORB+RTS+REFLG(large))</v>
      </c>
      <c r="D13" s="127" t="s">
        <v>195</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204</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207</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88</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208</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205</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88</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208</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207</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88</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209</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210</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88</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209</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211</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88</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209</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207</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195</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212</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207</v>
      </c>
      <c r="G37" s="124"/>
      <c r="H37" s="125">
        <f>'INPUT-Data(EUTIMES-HD)'!M10</f>
        <v>1</v>
      </c>
      <c r="I37" s="138"/>
      <c r="J37" s="124"/>
      <c r="K37" s="124"/>
      <c r="L37" s="124"/>
      <c r="M37" s="124"/>
      <c r="N37" s="124"/>
      <c r="O37" s="124"/>
      <c r="P37" s="124"/>
      <c r="Q37" s="124"/>
      <c r="R37" s="124"/>
      <c r="S37" s="119"/>
      <c r="T37" s="144"/>
    </row>
    <row r="38" spans="2:23">
      <c r="B38" s="126" t="s">
        <v>213</v>
      </c>
      <c r="C38" s="127" t="str">
        <f>'INPUT-Data(EUTIMES-HD)'!C11</f>
        <v>Fuel Tech - H2 Delivery from centralized production (COMP+USTOR+TR+DP - Residential)</v>
      </c>
      <c r="D38" s="127" t="s">
        <v>195</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209</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211</v>
      </c>
      <c r="G40" s="133"/>
      <c r="H40" s="130">
        <f>'INPUT-Data(EUTIMES-HD)'!M11</f>
        <v>1</v>
      </c>
      <c r="I40" s="139"/>
      <c r="J40" s="133"/>
      <c r="K40" s="133"/>
      <c r="L40" s="133"/>
      <c r="M40" s="133"/>
      <c r="N40" s="133"/>
      <c r="O40" s="133"/>
      <c r="P40" s="133"/>
      <c r="Q40" s="133"/>
      <c r="R40" s="133"/>
      <c r="S40" s="129"/>
      <c r="T40" s="144"/>
    </row>
    <row r="41" spans="2:23">
      <c r="B41" s="117" t="s">
        <v>214</v>
      </c>
      <c r="C41" s="118" t="str">
        <f>'INPUT-Data(EUTIMES-HD)'!C12</f>
        <v>Fuel Tech - H2 Delivery from centralized production (COMP+USTOR+TR+DP+REFGG(large))</v>
      </c>
      <c r="D41" s="118" t="s">
        <v>195</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209</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207</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111</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209</v>
      </c>
    </row>
    <row r="45" spans="2:20">
      <c r="B45" s="127"/>
      <c r="C45" s="127"/>
      <c r="D45" s="127" t="s">
        <v>195</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215</v>
      </c>
    </row>
    <row r="47" spans="2:23">
      <c r="B47" s="127"/>
      <c r="C47" s="127"/>
      <c r="D47" s="127"/>
      <c r="E47" s="127"/>
      <c r="F47" s="127" t="s">
        <v>216</v>
      </c>
      <c r="G47" s="133"/>
      <c r="H47" s="130">
        <v>1</v>
      </c>
      <c r="I47" s="139"/>
      <c r="J47" s="133"/>
      <c r="K47" s="133"/>
      <c r="L47" s="133"/>
      <c r="M47" s="133"/>
      <c r="N47" s="133"/>
      <c r="O47" s="133"/>
      <c r="P47" s="133"/>
      <c r="Q47" s="133"/>
      <c r="R47" s="133"/>
      <c r="S47" s="129"/>
      <c r="T47" s="144"/>
      <c r="W47" s="147" t="s">
        <v>217</v>
      </c>
    </row>
    <row r="48" spans="2:23">
      <c r="B48" s="118" t="str">
        <f>'INPUT-Data(EUTIMES-HD)'!B14</f>
        <v>COMGASH2C01</v>
      </c>
      <c r="C48" s="118" t="str">
        <f>'INPUT-Data(EUTIMES-HD)'!C14</f>
        <v>Fuel Tech - H2 Delivery from centralized production to blending (COMP+USTOR+TR+BLENDING+(nocosNATGASINF))-COM</v>
      </c>
      <c r="D48" s="118" t="s">
        <v>111</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209</v>
      </c>
    </row>
    <row r="49" spans="2:20">
      <c r="B49" s="118"/>
      <c r="C49" s="118"/>
      <c r="D49" s="118" t="s">
        <v>195</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215</v>
      </c>
    </row>
    <row r="51" spans="2:23">
      <c r="B51" s="118"/>
      <c r="C51" s="118"/>
      <c r="D51" s="118"/>
      <c r="E51" s="118"/>
      <c r="F51" s="118" t="s">
        <v>218</v>
      </c>
      <c r="G51" s="124"/>
      <c r="H51" s="125">
        <v>1</v>
      </c>
      <c r="I51" s="138"/>
      <c r="J51" s="124"/>
      <c r="K51" s="124"/>
      <c r="L51" s="124"/>
      <c r="M51" s="124"/>
      <c r="N51" s="124"/>
      <c r="O51" s="124"/>
      <c r="P51" s="124"/>
      <c r="Q51" s="124"/>
      <c r="R51" s="124"/>
      <c r="S51" s="119"/>
      <c r="T51" s="144"/>
      <c r="W51" s="147" t="s">
        <v>217</v>
      </c>
    </row>
    <row r="52" spans="2:23">
      <c r="B52" s="127" t="str">
        <f>'INPUT-Data(EUTIMES-HD)'!B15</f>
        <v>AGRGASH2C01</v>
      </c>
      <c r="C52" s="127" t="str">
        <f>'INPUT-Data(EUTIMES-HD)'!C15</f>
        <v>Fuel Tech - H2 Delivery from centralized production to blending (COMP+USTOR+TR+BLENDING+(nocosNATGASINF))-AGR</v>
      </c>
      <c r="D52" s="127" t="s">
        <v>111</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209</v>
      </c>
    </row>
    <row r="53" spans="2:20">
      <c r="B53" s="127"/>
      <c r="C53" s="127"/>
      <c r="D53" s="127" t="s">
        <v>195</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215</v>
      </c>
    </row>
    <row r="55" spans="2:23">
      <c r="B55" s="127"/>
      <c r="C55" s="127"/>
      <c r="D55" s="127"/>
      <c r="E55" s="127"/>
      <c r="F55" s="127" t="s">
        <v>219</v>
      </c>
      <c r="G55" s="133"/>
      <c r="H55" s="130">
        <v>1</v>
      </c>
      <c r="I55" s="139"/>
      <c r="J55" s="133"/>
      <c r="K55" s="133"/>
      <c r="L55" s="133"/>
      <c r="M55" s="133"/>
      <c r="N55" s="133"/>
      <c r="O55" s="133"/>
      <c r="P55" s="133"/>
      <c r="Q55" s="133"/>
      <c r="R55" s="133"/>
      <c r="S55" s="129"/>
      <c r="T55" s="144"/>
      <c r="W55" s="147" t="s">
        <v>217</v>
      </c>
    </row>
    <row r="56" spans="2:23">
      <c r="B56" s="118" t="str">
        <f>'INPUT-Data(EUTIMES-HD)'!B16</f>
        <v>TRAGASH2C01</v>
      </c>
      <c r="C56" s="118" t="str">
        <f>'INPUT-Data(EUTIMES-HD)'!C16</f>
        <v>Fuel Tech - H2 Delivery from centralized production to blending (COMP+USTOR+TR+BLENDING+(nocosNATGASINF))-TRA</v>
      </c>
      <c r="D56" s="118" t="s">
        <v>111</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209</v>
      </c>
    </row>
    <row r="57" spans="2:20">
      <c r="B57" s="118"/>
      <c r="C57" s="118"/>
      <c r="D57" s="118" t="s">
        <v>195</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215</v>
      </c>
    </row>
    <row r="59" spans="2:23">
      <c r="B59" s="118"/>
      <c r="C59" s="118"/>
      <c r="D59" s="118"/>
      <c r="E59" s="118"/>
      <c r="F59" s="118" t="s">
        <v>220</v>
      </c>
      <c r="G59" s="124"/>
      <c r="H59" s="125">
        <v>1</v>
      </c>
      <c r="I59" s="138"/>
      <c r="J59" s="124"/>
      <c r="K59" s="124"/>
      <c r="L59" s="124"/>
      <c r="M59" s="124"/>
      <c r="N59" s="124"/>
      <c r="O59" s="124"/>
      <c r="P59" s="124"/>
      <c r="Q59" s="124"/>
      <c r="R59" s="124"/>
      <c r="S59" s="119"/>
      <c r="T59" s="144"/>
      <c r="W59" s="147" t="s">
        <v>217</v>
      </c>
    </row>
    <row r="60" spans="2:23">
      <c r="B60" s="127" t="str">
        <f>'INPUT-Data(EUTIMES-HD)'!B17</f>
        <v>INDGASH2C01</v>
      </c>
      <c r="C60" s="127" t="str">
        <f>'INPUT-Data(EUTIMES-HD)'!C17</f>
        <v>Fuel Tech - H2 Delivery from centralized production to blending (COMP+USTOR+TR+BLENDING+(nocosNATGASINF))-IND</v>
      </c>
      <c r="D60" s="127" t="s">
        <v>111</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209</v>
      </c>
    </row>
    <row r="61" spans="2:20">
      <c r="B61" s="127"/>
      <c r="C61" s="127"/>
      <c r="D61" s="127" t="s">
        <v>195</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215</v>
      </c>
    </row>
    <row r="63" spans="2:23">
      <c r="B63" s="127"/>
      <c r="C63" s="127"/>
      <c r="D63" s="127"/>
      <c r="E63" s="127"/>
      <c r="F63" s="127" t="s">
        <v>221</v>
      </c>
      <c r="G63" s="133"/>
      <c r="H63" s="130">
        <v>1</v>
      </c>
      <c r="I63" s="139"/>
      <c r="J63" s="133"/>
      <c r="K63" s="133"/>
      <c r="L63" s="133"/>
      <c r="M63" s="133"/>
      <c r="N63" s="133"/>
      <c r="O63" s="133"/>
      <c r="P63" s="133"/>
      <c r="Q63" s="133"/>
      <c r="R63" s="133"/>
      <c r="S63" s="129"/>
      <c r="T63" s="144"/>
      <c r="W63" s="147" t="s">
        <v>217</v>
      </c>
    </row>
    <row r="64" spans="2:23">
      <c r="B64" s="118" t="str">
        <f>'INPUT-Data(EUTIMES-HD)'!B18</f>
        <v>ELCGASH2C01</v>
      </c>
      <c r="C64" s="118" t="str">
        <f>'INPUT-Data(EUTIMES-HD)'!C18</f>
        <v>Fuel Tech - H2 Delivery from centralized production to blending (COMP+USTOR+TR+BLENDING+(nocosNATGASINF))-ELC</v>
      </c>
      <c r="D64" s="118" t="s">
        <v>111</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209</v>
      </c>
    </row>
    <row r="65" spans="2:20">
      <c r="B65" s="118"/>
      <c r="C65" s="118"/>
      <c r="D65" s="118" t="s">
        <v>195</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215</v>
      </c>
    </row>
    <row r="67" spans="2:23">
      <c r="B67" s="118"/>
      <c r="C67" s="118"/>
      <c r="D67" s="118"/>
      <c r="E67" s="118"/>
      <c r="F67" s="118" t="s">
        <v>222</v>
      </c>
      <c r="G67" s="124"/>
      <c r="H67" s="125">
        <v>1</v>
      </c>
      <c r="I67" s="138"/>
      <c r="J67" s="124"/>
      <c r="K67" s="124"/>
      <c r="L67" s="124"/>
      <c r="M67" s="124"/>
      <c r="N67" s="124"/>
      <c r="O67" s="124"/>
      <c r="P67" s="124"/>
      <c r="Q67" s="124"/>
      <c r="R67" s="124"/>
      <c r="S67" s="119"/>
      <c r="T67" s="144"/>
      <c r="W67" s="147" t="s">
        <v>217</v>
      </c>
    </row>
    <row r="68" spans="2:23">
      <c r="B68" s="127" t="str">
        <f>'INPUT-Data(EUTIMES-HD)'!B19</f>
        <v>SUPGASH2C01</v>
      </c>
      <c r="C68" s="127" t="str">
        <f>'INPUT-Data(EUTIMES-HD)'!C19</f>
        <v>Fuel Tech - H2 Delivery from centralized production to blending (COMP+USTOR+TR+BLENDING+(nocosNATGASINF))-SUP</v>
      </c>
      <c r="D68" s="127" t="s">
        <v>111</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209</v>
      </c>
    </row>
    <row r="69" spans="2:20">
      <c r="B69" s="127"/>
      <c r="C69" s="127"/>
      <c r="D69" s="127" t="s">
        <v>195</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215</v>
      </c>
    </row>
    <row r="71" spans="2:23">
      <c r="B71" s="148"/>
      <c r="C71" s="148"/>
      <c r="D71" s="148"/>
      <c r="E71" s="148"/>
      <c r="F71" s="148" t="s">
        <v>223</v>
      </c>
      <c r="G71" s="149"/>
      <c r="H71" s="150">
        <v>1</v>
      </c>
      <c r="I71" s="160"/>
      <c r="J71" s="149"/>
      <c r="K71" s="149"/>
      <c r="L71" s="149"/>
      <c r="M71" s="149"/>
      <c r="N71" s="149"/>
      <c r="O71" s="149"/>
      <c r="P71" s="149"/>
      <c r="Q71" s="149"/>
      <c r="R71" s="149"/>
      <c r="S71" s="163"/>
      <c r="T71" s="144"/>
      <c r="W71" s="147" t="s">
        <v>217</v>
      </c>
    </row>
    <row r="72" spans="2:23">
      <c r="B72" s="118" t="str">
        <f>'INPUT-Data(EUTIMES-HD)'!B20</f>
        <v>RSDGH2D01</v>
      </c>
      <c r="C72" s="118" t="str">
        <f>'INPUT-Data(EUTIMES-HD)'!C20</f>
        <v>Fuel Tech - H2 Delivery from local production (LOCGSTORB+DP - Residential)</v>
      </c>
      <c r="D72" s="118" t="s">
        <v>196</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224</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211</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196</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224</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205</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196</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224</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207</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225</v>
      </c>
    </row>
    <row r="88" ht="13" spans="1:12">
      <c r="A88" s="113" t="s">
        <v>46</v>
      </c>
      <c r="B88" s="113" t="s">
        <v>14</v>
      </c>
      <c r="C88" s="113" t="s">
        <v>47</v>
      </c>
      <c r="D88" s="113" t="s">
        <v>48</v>
      </c>
      <c r="E88" s="113" t="s">
        <v>49</v>
      </c>
      <c r="F88" s="113" t="s">
        <v>50</v>
      </c>
      <c r="G88" s="113" t="s">
        <v>51</v>
      </c>
      <c r="I88" t="s">
        <v>226</v>
      </c>
      <c r="J88" t="s">
        <v>227</v>
      </c>
      <c r="K88">
        <v>802.34</v>
      </c>
      <c r="L88" t="s">
        <v>228</v>
      </c>
    </row>
    <row r="89" ht="50" spans="1:12">
      <c r="A89" s="154" t="s">
        <v>53</v>
      </c>
      <c r="B89" s="154" t="s">
        <v>54</v>
      </c>
      <c r="C89" s="154" t="s">
        <v>32</v>
      </c>
      <c r="D89" s="154" t="s">
        <v>55</v>
      </c>
      <c r="E89" s="154" t="s">
        <v>56</v>
      </c>
      <c r="F89" s="154" t="s">
        <v>57</v>
      </c>
      <c r="G89" s="154" t="s">
        <v>58</v>
      </c>
      <c r="J89" t="s">
        <v>229</v>
      </c>
      <c r="K89">
        <v>244</v>
      </c>
      <c r="L89" t="s">
        <v>228</v>
      </c>
    </row>
    <row r="90" spans="1:12">
      <c r="A90" s="117" t="s">
        <v>112</v>
      </c>
      <c r="B90" s="117" t="s">
        <v>203</v>
      </c>
      <c r="C90" s="117" t="str">
        <f>'INPUT-Data(EUTIMES-HD)'!C3</f>
        <v>Fuel Tech - H2 Delivery from centralized production (COMP+USTOR+TR+LIQ+LSTORB+RTS+REFLL(large))</v>
      </c>
      <c r="D90" s="155" t="s">
        <v>63</v>
      </c>
      <c r="E90" s="156" t="s">
        <v>230</v>
      </c>
      <c r="F90" s="155" t="s">
        <v>166</v>
      </c>
      <c r="G90" s="118"/>
      <c r="H90" s="118"/>
      <c r="I90" t="s">
        <v>231</v>
      </c>
      <c r="J90" t="s">
        <v>227</v>
      </c>
      <c r="K90">
        <f>K88/K98</f>
        <v>1226.77998809154</v>
      </c>
      <c r="L90" t="s">
        <v>232</v>
      </c>
    </row>
    <row r="91" spans="1:12">
      <c r="A91" s="117" t="s">
        <v>112</v>
      </c>
      <c r="B91" s="117" t="s">
        <v>206</v>
      </c>
      <c r="C91" s="117" t="str">
        <f>'INPUT-Data(EUTIMES-HD)'!C4</f>
        <v>Fuel Tech - H2 Delivery from centralized production (COMP+USTOR+TR+LIQ+LSTORB+RTS+REFLG(large))</v>
      </c>
      <c r="D91" s="155" t="s">
        <v>63</v>
      </c>
      <c r="E91" s="156" t="s">
        <v>230</v>
      </c>
      <c r="F91" s="155" t="s">
        <v>166</v>
      </c>
      <c r="G91" s="118"/>
      <c r="H91" s="118"/>
      <c r="J91" t="s">
        <v>229</v>
      </c>
      <c r="K91">
        <f>K89/K99</f>
        <v>2984.61317739946</v>
      </c>
      <c r="L91" t="s">
        <v>232</v>
      </c>
    </row>
    <row r="92" spans="1:12">
      <c r="A92" s="117" t="s">
        <v>112</v>
      </c>
      <c r="B92" s="117" t="s">
        <v>233</v>
      </c>
      <c r="C92" s="117" t="str">
        <f>'INPUT-Data(EUTIMES-HD)'!C5</f>
        <v>Fuel Tech - H2 Delivery from centralized production (COMP+TR+LIQ+LSTORB+RTS+REFLL(large))</v>
      </c>
      <c r="D92" s="155" t="s">
        <v>63</v>
      </c>
      <c r="E92" s="156" t="s">
        <v>230</v>
      </c>
      <c r="F92" s="155" t="s">
        <v>166</v>
      </c>
      <c r="G92" s="118"/>
      <c r="I92" t="s">
        <v>234</v>
      </c>
      <c r="J92" t="s">
        <v>227</v>
      </c>
      <c r="K92">
        <v>16</v>
      </c>
      <c r="L92" t="s">
        <v>235</v>
      </c>
    </row>
    <row r="93" spans="1:12">
      <c r="A93" s="117" t="s">
        <v>112</v>
      </c>
      <c r="B93" s="117" t="s">
        <v>236</v>
      </c>
      <c r="C93" s="117" t="str">
        <f>'INPUT-Data(EUTIMES-HD)'!C6</f>
        <v>Fuel Tech - H2 Delivery from centralized production (COMP+TR+LIQ+LSTORB+RTS+REFLG(large))</v>
      </c>
      <c r="D93" s="155" t="s">
        <v>63</v>
      </c>
      <c r="E93" s="156" t="s">
        <v>230</v>
      </c>
      <c r="F93" s="155" t="s">
        <v>166</v>
      </c>
      <c r="G93" s="118"/>
      <c r="J93" t="s">
        <v>229</v>
      </c>
      <c r="K93">
        <v>2</v>
      </c>
      <c r="L93" t="s">
        <v>235</v>
      </c>
    </row>
    <row r="94" spans="1:12">
      <c r="A94" s="117" t="s">
        <v>112</v>
      </c>
      <c r="B94" s="117" t="s">
        <v>237</v>
      </c>
      <c r="C94" s="117" t="str">
        <f>'INPUT-Data(EUTIMES-HD)'!C7</f>
        <v>Fuel Tech - H2 Delivery from centralized production (COMP+TR+DP - Industrial)</v>
      </c>
      <c r="D94" s="155" t="s">
        <v>63</v>
      </c>
      <c r="E94" s="156" t="s">
        <v>230</v>
      </c>
      <c r="F94" s="155" t="s">
        <v>166</v>
      </c>
      <c r="G94" s="118"/>
      <c r="I94" t="s">
        <v>238</v>
      </c>
      <c r="J94" t="s">
        <v>227</v>
      </c>
      <c r="K94">
        <v>0.94</v>
      </c>
      <c r="L94" t="s">
        <v>239</v>
      </c>
    </row>
    <row r="95" spans="1:11">
      <c r="A95" s="117" t="s">
        <v>112</v>
      </c>
      <c r="B95" s="117" t="s">
        <v>240</v>
      </c>
      <c r="C95" s="117" t="str">
        <f>'INPUT-Data(EUTIMES-HD)'!C8</f>
        <v>Fuel Tech - H2 Delivery from centralized production (COMP+TR+DP - Residential)</v>
      </c>
      <c r="D95" s="155" t="s">
        <v>63</v>
      </c>
      <c r="E95" s="156" t="s">
        <v>230</v>
      </c>
      <c r="F95" s="155" t="s">
        <v>166</v>
      </c>
      <c r="G95" s="118"/>
      <c r="J95" t="s">
        <v>229</v>
      </c>
      <c r="K95">
        <v>1.05</v>
      </c>
    </row>
    <row r="96" spans="1:13">
      <c r="A96" s="117" t="s">
        <v>112</v>
      </c>
      <c r="B96" s="117" t="s">
        <v>241</v>
      </c>
      <c r="C96" s="117" t="str">
        <f>'INPUT-Data(EUTIMES-HD)'!C9</f>
        <v>Fuel Tech - H2 Delivery from centralized production (COMP+TR+DP+REFGG(large))</v>
      </c>
      <c r="D96" s="155" t="s">
        <v>63</v>
      </c>
      <c r="E96" s="156" t="s">
        <v>230</v>
      </c>
      <c r="F96" s="155" t="s">
        <v>166</v>
      </c>
      <c r="G96" s="118"/>
      <c r="I96" t="s">
        <v>242</v>
      </c>
      <c r="J96" t="s">
        <v>227</v>
      </c>
      <c r="K96">
        <f>10000000*K92*0.001/(K94*8.314*365)</f>
        <v>56.0904913506008</v>
      </c>
      <c r="L96" t="s">
        <v>243</v>
      </c>
      <c r="M96" t="s">
        <v>239</v>
      </c>
    </row>
    <row r="97" spans="1:12">
      <c r="A97" s="117" t="s">
        <v>112</v>
      </c>
      <c r="B97" s="117" t="s">
        <v>244</v>
      </c>
      <c r="C97" s="117" t="str">
        <f>'INPUT-Data(EUTIMES-HD)'!C10</f>
        <v>Fuel Tech - H2 Delivery from centralized production (COMP+USTOR+TR+GSTORB+RTS+REFGG (small))</v>
      </c>
      <c r="D97" s="155" t="s">
        <v>63</v>
      </c>
      <c r="E97" s="156" t="s">
        <v>230</v>
      </c>
      <c r="F97" s="155" t="s">
        <v>166</v>
      </c>
      <c r="G97" s="118"/>
      <c r="J97" t="s">
        <v>229</v>
      </c>
      <c r="K97">
        <f>10000000*K93*0.001/(K95*8.314*365)</f>
        <v>6.27679307971009</v>
      </c>
      <c r="L97" t="s">
        <v>243</v>
      </c>
    </row>
    <row r="98" spans="1:13">
      <c r="A98" s="117" t="s">
        <v>112</v>
      </c>
      <c r="B98" s="117" t="s">
        <v>213</v>
      </c>
      <c r="C98" s="117" t="str">
        <f>'INPUT-Data(EUTIMES-HD)'!C11</f>
        <v>Fuel Tech - H2 Delivery from centralized production (COMP+USTOR+TR+DP - Residential)</v>
      </c>
      <c r="D98" s="155" t="s">
        <v>63</v>
      </c>
      <c r="E98" s="156" t="s">
        <v>230</v>
      </c>
      <c r="F98" s="155" t="s">
        <v>166</v>
      </c>
      <c r="G98" s="118"/>
      <c r="J98" t="s">
        <v>227</v>
      </c>
      <c r="K98">
        <f>101325*K92*0.001/(8.314*298.15)</f>
        <v>0.654021102225653</v>
      </c>
      <c r="L98" t="s">
        <v>243</v>
      </c>
      <c r="M98" t="s">
        <v>245</v>
      </c>
    </row>
    <row r="99" spans="1:12">
      <c r="A99" s="117" t="s">
        <v>112</v>
      </c>
      <c r="B99" s="117" t="s">
        <v>214</v>
      </c>
      <c r="C99" s="117" t="str">
        <f>'INPUT-Data(EUTIMES-HD)'!C12</f>
        <v>Fuel Tech - H2 Delivery from centralized production (COMP+USTOR+TR+DP+REFGG(large))</v>
      </c>
      <c r="D99" s="155" t="s">
        <v>63</v>
      </c>
      <c r="E99" s="156" t="s">
        <v>230</v>
      </c>
      <c r="F99" s="155" t="s">
        <v>166</v>
      </c>
      <c r="G99" s="118"/>
      <c r="J99" t="s">
        <v>229</v>
      </c>
      <c r="K99">
        <f>101325*K93*0.001/(8.314*298.15)</f>
        <v>0.0817526377782066</v>
      </c>
      <c r="L99" t="s">
        <v>243</v>
      </c>
    </row>
    <row r="100" spans="1:12">
      <c r="A100" s="117" t="s">
        <v>112</v>
      </c>
      <c r="B100" s="117" t="s">
        <v>246</v>
      </c>
      <c r="C100" s="117" t="str">
        <f>'INPUT-Data(EUTIMES-HD)'!C13</f>
        <v>Fuel Tech - H2 Delivery from centralized production to blending (COMP+USTOR+TR+BLENDING+(nocosNATGASINF))-RSD</v>
      </c>
      <c r="D100" s="155" t="s">
        <v>63</v>
      </c>
      <c r="E100" s="156" t="s">
        <v>230</v>
      </c>
      <c r="F100" s="155" t="s">
        <v>166</v>
      </c>
      <c r="G100" s="118"/>
      <c r="J100" t="s">
        <v>227</v>
      </c>
      <c r="K100">
        <f>K96/K92*1000</f>
        <v>3505.65570941255</v>
      </c>
      <c r="L100" t="s">
        <v>247</v>
      </c>
    </row>
    <row r="101" spans="1:12">
      <c r="A101" s="117" t="s">
        <v>112</v>
      </c>
      <c r="B101" s="117" t="s">
        <v>248</v>
      </c>
      <c r="C101" s="117" t="str">
        <f>'INPUT-Data(EUTIMES-HD)'!C14</f>
        <v>Fuel Tech - H2 Delivery from centralized production to blending (COMP+USTOR+TR+BLENDING+(nocosNATGASINF))-COM</v>
      </c>
      <c r="D101" s="155" t="s">
        <v>63</v>
      </c>
      <c r="E101" s="156" t="s">
        <v>230</v>
      </c>
      <c r="F101" s="155" t="s">
        <v>166</v>
      </c>
      <c r="G101" s="118"/>
      <c r="J101" t="s">
        <v>229</v>
      </c>
      <c r="K101">
        <f>K97/K93*1000</f>
        <v>3138.39653985505</v>
      </c>
      <c r="L101" t="s">
        <v>247</v>
      </c>
    </row>
    <row r="102" spans="1:10">
      <c r="A102" s="117" t="s">
        <v>112</v>
      </c>
      <c r="B102" s="117" t="s">
        <v>249</v>
      </c>
      <c r="C102" s="117" t="str">
        <f>'INPUT-Data(EUTIMES-HD)'!C15</f>
        <v>Fuel Tech - H2 Delivery from centralized production to blending (COMP+USTOR+TR+BLENDING+(nocosNATGASINF))-AGR</v>
      </c>
      <c r="D102" s="155" t="s">
        <v>63</v>
      </c>
      <c r="E102" s="156" t="s">
        <v>230</v>
      </c>
      <c r="F102" s="155" t="s">
        <v>166</v>
      </c>
      <c r="G102" s="118"/>
      <c r="J102" t="s">
        <v>250</v>
      </c>
    </row>
    <row r="103" spans="1:10">
      <c r="A103" s="117" t="s">
        <v>112</v>
      </c>
      <c r="B103" s="117" t="s">
        <v>251</v>
      </c>
      <c r="C103" s="117" t="str">
        <f>'INPUT-Data(EUTIMES-HD)'!C16</f>
        <v>Fuel Tech - H2 Delivery from centralized production to blending (COMP+USTOR+TR+BLENDING+(nocosNATGASINF))-TRA</v>
      </c>
      <c r="D103" s="155" t="s">
        <v>63</v>
      </c>
      <c r="E103" s="156" t="s">
        <v>230</v>
      </c>
      <c r="F103" s="155" t="s">
        <v>166</v>
      </c>
      <c r="G103" s="118"/>
      <c r="J103" s="162">
        <v>0.15</v>
      </c>
    </row>
    <row r="104" spans="1:12">
      <c r="A104" s="117" t="s">
        <v>112</v>
      </c>
      <c r="B104" s="117" t="s">
        <v>252</v>
      </c>
      <c r="C104" s="117" t="str">
        <f>'INPUT-Data(EUTIMES-HD)'!C17</f>
        <v>Fuel Tech - H2 Delivery from centralized production to blending (COMP+USTOR+TR+BLENDING+(nocosNATGASINF))-IND</v>
      </c>
      <c r="D104" s="155" t="s">
        <v>63</v>
      </c>
      <c r="E104" s="156" t="s">
        <v>230</v>
      </c>
      <c r="F104" s="155" t="s">
        <v>166</v>
      </c>
      <c r="G104" s="118"/>
      <c r="K104">
        <v>100</v>
      </c>
      <c r="L104" t="s">
        <v>253</v>
      </c>
    </row>
    <row r="105" spans="1:12">
      <c r="A105" s="117" t="s">
        <v>112</v>
      </c>
      <c r="B105" s="117" t="s">
        <v>254</v>
      </c>
      <c r="C105" s="117" t="str">
        <f>'INPUT-Data(EUTIMES-HD)'!C18</f>
        <v>Fuel Tech - H2 Delivery from centralized production to blending (COMP+USTOR+TR+BLENDING+(nocosNATGASINF))-ELC</v>
      </c>
      <c r="D105" s="155" t="s">
        <v>63</v>
      </c>
      <c r="E105" s="156" t="s">
        <v>230</v>
      </c>
      <c r="F105" s="155" t="s">
        <v>166</v>
      </c>
      <c r="G105" s="118"/>
      <c r="I105" t="s">
        <v>255</v>
      </c>
      <c r="J105" t="s">
        <v>227</v>
      </c>
      <c r="K105">
        <f>K104*(1-J103)</f>
        <v>85</v>
      </c>
      <c r="L105" t="s">
        <v>253</v>
      </c>
    </row>
    <row r="106" spans="1:12">
      <c r="A106" s="117" t="s">
        <v>112</v>
      </c>
      <c r="B106" s="117" t="s">
        <v>256</v>
      </c>
      <c r="C106" s="117" t="str">
        <f>'INPUT-Data(EUTIMES-HD)'!C19</f>
        <v>Fuel Tech - H2 Delivery from centralized production to blending (COMP+USTOR+TR+BLENDING+(nocosNATGASINF))-SUP</v>
      </c>
      <c r="D106" s="155" t="s">
        <v>63</v>
      </c>
      <c r="E106" s="156" t="s">
        <v>230</v>
      </c>
      <c r="F106" s="155" t="s">
        <v>166</v>
      </c>
      <c r="G106" s="118"/>
      <c r="J106" t="s">
        <v>229</v>
      </c>
      <c r="K106">
        <f>K104*J103</f>
        <v>15</v>
      </c>
      <c r="L106" t="s">
        <v>253</v>
      </c>
    </row>
    <row r="107" spans="1:12">
      <c r="A107" s="117" t="s">
        <v>112</v>
      </c>
      <c r="B107" s="117" t="s">
        <v>257</v>
      </c>
      <c r="C107" s="117" t="str">
        <f>'INPUT-Data(EUTIMES-HD)'!C20</f>
        <v>Fuel Tech - H2 Delivery from local production (LOCGSTORB+DP - Residential)</v>
      </c>
      <c r="D107" s="155" t="s">
        <v>63</v>
      </c>
      <c r="E107" s="156" t="s">
        <v>230</v>
      </c>
      <c r="F107" s="155" t="s">
        <v>166</v>
      </c>
      <c r="G107" s="118"/>
      <c r="I107" t="s">
        <v>258</v>
      </c>
      <c r="J107" t="s">
        <v>227</v>
      </c>
      <c r="K107">
        <f>K105*K100*K88*0.001</f>
        <v>239081.863160656</v>
      </c>
      <c r="L107" t="s">
        <v>259</v>
      </c>
    </row>
    <row r="108" spans="1:12">
      <c r="A108" s="117" t="s">
        <v>112</v>
      </c>
      <c r="B108" s="117" t="s">
        <v>260</v>
      </c>
      <c r="C108" s="117" t="str">
        <f>'INPUT-Data(EUTIMES-HD)'!C21</f>
        <v>Fuel Tech - H2 Delivery from local production (LOCGSTORB+ONSITELIQ+REFLL (large))</v>
      </c>
      <c r="D108" s="155" t="s">
        <v>63</v>
      </c>
      <c r="E108" s="156" t="s">
        <v>230</v>
      </c>
      <c r="F108" s="155" t="s">
        <v>166</v>
      </c>
      <c r="G108" s="118"/>
      <c r="J108" t="s">
        <v>229</v>
      </c>
      <c r="K108">
        <f>K106*K101*K89*0.001</f>
        <v>11486.5313358695</v>
      </c>
      <c r="L108" t="s">
        <v>259</v>
      </c>
    </row>
    <row r="109" spans="1:11">
      <c r="A109" s="117" t="s">
        <v>112</v>
      </c>
      <c r="B109" s="117" t="s">
        <v>261</v>
      </c>
      <c r="C109" s="117" t="str">
        <f>'INPUT-Data(EUTIMES-HD)'!C22</f>
        <v>Fuel Tech - H2 Delivery from local production (LOCGSTORB + REFGG (small))</v>
      </c>
      <c r="D109" s="155" t="s">
        <v>63</v>
      </c>
      <c r="E109" s="156" t="s">
        <v>230</v>
      </c>
      <c r="F109" s="155" t="s">
        <v>166</v>
      </c>
      <c r="G109" s="118"/>
      <c r="J109" t="s">
        <v>262</v>
      </c>
      <c r="K109" s="162">
        <f>K108/(K107+K108)</f>
        <v>0.0458419002083232</v>
      </c>
    </row>
    <row r="110" spans="9:12">
      <c r="I110" t="s">
        <v>231</v>
      </c>
      <c r="J110" t="s">
        <v>227</v>
      </c>
      <c r="K110">
        <f>10000000*K92*0.001*K105/(K94*8.314*365)</f>
        <v>4767.69176480107</v>
      </c>
      <c r="L110" t="s">
        <v>263</v>
      </c>
    </row>
    <row r="111" ht="13" spans="1:12">
      <c r="A111" s="152" t="s">
        <v>67</v>
      </c>
      <c r="J111" t="s">
        <v>229</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68</v>
      </c>
      <c r="B113" s="158" t="s">
        <v>69</v>
      </c>
      <c r="C113" s="158" t="s">
        <v>70</v>
      </c>
      <c r="D113" s="159" t="s">
        <v>71</v>
      </c>
      <c r="E113" s="159" t="s">
        <v>72</v>
      </c>
      <c r="F113" s="159" t="s">
        <v>73</v>
      </c>
      <c r="G113" s="159" t="s">
        <v>74</v>
      </c>
      <c r="H113" s="159" t="s">
        <v>75</v>
      </c>
      <c r="K113">
        <f>K110*K90</f>
        <v>5848908.84644678</v>
      </c>
      <c r="L113" t="s">
        <v>259</v>
      </c>
    </row>
    <row r="114" ht="50" spans="1:12">
      <c r="A114" s="154" t="s">
        <v>76</v>
      </c>
      <c r="B114" s="154" t="s">
        <v>77</v>
      </c>
      <c r="C114" s="154" t="s">
        <v>78</v>
      </c>
      <c r="D114" s="154" t="s">
        <v>71</v>
      </c>
      <c r="E114" s="154" t="s">
        <v>79</v>
      </c>
      <c r="F114" s="154" t="s">
        <v>80</v>
      </c>
      <c r="G114" s="154" t="s">
        <v>81</v>
      </c>
      <c r="H114" s="154" t="s">
        <v>82</v>
      </c>
      <c r="K114">
        <f>K111*K91</f>
        <v>281006.990062687</v>
      </c>
      <c r="L114" t="s">
        <v>259</v>
      </c>
    </row>
    <row r="115" spans="1:11">
      <c r="A115" s="117" t="s">
        <v>83</v>
      </c>
      <c r="B115" s="118" t="s">
        <v>211</v>
      </c>
      <c r="C115" s="118" t="s">
        <v>211</v>
      </c>
      <c r="D115" s="118" t="s">
        <v>63</v>
      </c>
      <c r="E115" s="118"/>
      <c r="F115" s="155" t="s">
        <v>166</v>
      </c>
      <c r="G115" s="118"/>
      <c r="H115" s="118"/>
      <c r="J115" t="s">
        <v>262</v>
      </c>
      <c r="K115" s="162">
        <f>K114/(K113+K114)</f>
        <v>0.0458419002083232</v>
      </c>
    </row>
    <row r="116" spans="1:8">
      <c r="A116" s="118" t="s">
        <v>83</v>
      </c>
      <c r="B116" s="118" t="s">
        <v>207</v>
      </c>
      <c r="C116" s="118" t="s">
        <v>264</v>
      </c>
      <c r="D116" s="118" t="s">
        <v>63</v>
      </c>
      <c r="E116" s="118"/>
      <c r="F116" s="155" t="s">
        <v>166</v>
      </c>
      <c r="G116" s="118"/>
      <c r="H116" s="118"/>
    </row>
    <row r="117" spans="1:8">
      <c r="A117" s="118" t="s">
        <v>83</v>
      </c>
      <c r="B117" s="118" t="s">
        <v>205</v>
      </c>
      <c r="C117" s="118" t="s">
        <v>265</v>
      </c>
      <c r="D117" s="118" t="s">
        <v>63</v>
      </c>
      <c r="E117" s="118"/>
      <c r="F117" s="155" t="s">
        <v>166</v>
      </c>
      <c r="G117" s="118"/>
      <c r="H117" s="118"/>
    </row>
    <row r="118" spans="1:8">
      <c r="A118" s="118" t="s">
        <v>83</v>
      </c>
      <c r="B118" s="118" t="s">
        <v>210</v>
      </c>
      <c r="C118" s="118" t="s">
        <v>210</v>
      </c>
      <c r="D118" s="118" t="s">
        <v>63</v>
      </c>
      <c r="E118" s="118"/>
      <c r="F118" s="155" t="s">
        <v>166</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145</v>
      </c>
      <c r="V1" s="40" t="s">
        <v>280</v>
      </c>
      <c r="W1" s="40"/>
      <c r="X1" s="40"/>
      <c r="Y1" s="40"/>
      <c r="Z1" s="40" t="s">
        <v>281</v>
      </c>
      <c r="AA1" s="40"/>
      <c r="AB1" s="40"/>
      <c r="AC1" s="40"/>
      <c r="AD1" s="40" t="s">
        <v>282</v>
      </c>
      <c r="AE1" s="40"/>
      <c r="AF1" s="40"/>
      <c r="AG1" s="40"/>
      <c r="AH1" s="40" t="s">
        <v>28</v>
      </c>
      <c r="AI1" s="40" t="s">
        <v>140</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145</v>
      </c>
      <c r="O1" s="5" t="s">
        <v>404</v>
      </c>
      <c r="P1" s="5" t="s">
        <v>405</v>
      </c>
      <c r="Q1" s="5" t="s">
        <v>406</v>
      </c>
      <c r="R1" s="5" t="s">
        <v>407</v>
      </c>
      <c r="S1" s="5" t="s">
        <v>408</v>
      </c>
      <c r="T1" s="5" t="s">
        <v>409</v>
      </c>
      <c r="U1" s="5" t="s">
        <v>28</v>
      </c>
      <c r="V1" s="5" t="s">
        <v>140</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203</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206</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213</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214</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2024-09-29T02:52:53Z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