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/>
  </bookViews>
  <sheets>
    <sheet name="ELC_BulkEES_4h" sheetId="25" r:id="rId1"/>
    <sheet name="ELC_BulkEES_4h (2)" sheetId="26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<sst xmlns="http://schemas.openxmlformats.org/spreadsheetml/2006/main" count="577" uniqueCount="121">
  <si>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</si>
  <si>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</si>
  <si>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</si>
  <si>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*We change all the Cap2Act to 1 after rechecking the definition for CAP2ACT</t>
  </si>
  <si>
    <t>*Use the characteristic for PS with 4-hour capacity to stand for that of seasonal regulation capacity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</si>
  <si>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</si>
  <si>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</si>
  <si>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</si>
  <si>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</si>
  <si>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</si>
  <si>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</si>
  <si>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</si>
  <si>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</si>
  <si>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</si>
  <si>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</si>
  <si>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</si>
  <si>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</si>
  <si>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</si>
  <si>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</si>
  <si>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</si>
  <si>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</si>
  <si>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</si>
  <si>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</si>
  <si>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FIXOM~2030</t>
  </si>
  <si>
    <t>VAROM~2020</t>
  </si>
  <si>
    <t>Cap2Act</t>
  </si>
  <si>
    <t>FLO_COST</t>
  </si>
  <si>
    <t>FLO_DELIV</t>
  </si>
  <si>
    <t>EFF</t>
  </si>
  <si>
    <t>ACTBND</t>
  </si>
  <si>
    <t>NCAP_AFC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</si>
  <si>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</si>
  <si>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</si>
  <si>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</si>
  <si>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</si>
  <si>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</si>
  <si>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</si>
  <si>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</si>
  <si>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</si>
  <si>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</si>
  <si>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</si>
  <si>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</si>
  <si>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ELC</t>
  </si>
  <si>
    <t>*</t>
  </si>
  <si>
    <t>DUMSTOR</t>
  </si>
  <si>
    <t>*Because it's shown that all co2 is from DUMDCAES, which is unnormal</t>
  </si>
  <si>
    <t>ELCGAS</t>
  </si>
  <si>
    <t>DUMDCAESS_NEW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</si>
  <si>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</si>
  <si>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</si>
  <si>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</si>
  <si>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</si>
  <si>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</si>
  <si>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</si>
  <si>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</si>
  <si>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</si>
  <si>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</si>
  <si>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</si>
  <si>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</si>
  <si>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</si>
  <si>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</si>
  <si>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</si>
  <si>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</si>
  <si>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</si>
  <si>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</si>
  <si>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</si>
  <si>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</si>
  <si>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</si>
  <si>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</si>
  <si>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</si>
  <si>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</si>
  <si>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ESTCAESS102_4h</t>
  </si>
  <si>
    <t>Adiabatic CAES ELC Storage: DayNite</t>
  </si>
  <si>
    <t>ESTHYDPS101_4h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</si>
  <si>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</si>
  <si>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t>ESTBATS101_4h</t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</si>
  <si>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</si>
  <si>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ESTBATS102_4h</t>
  </si>
  <si>
    <t>Battery (Li-ion) Bulk ELC Storage: DayNite: 4hour duration</t>
  </si>
  <si>
    <t>ESTBATS103_4h</t>
  </si>
  <si>
    <t>Battery (NaS) Bulk ELC Storage: DayNite</t>
  </si>
  <si>
    <t>STS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</si>
  <si>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</si>
  <si>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</si>
  <si>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</si>
  <si>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</si>
  <si>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</si>
  <si>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</si>
  <si>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</si>
  <si>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</si>
  <si>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</si>
  <si>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</si>
  <si>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</si>
  <si>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</si>
  <si>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</si>
  <si>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</si>
  <si>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</si>
  <si>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</si>
  <si>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</si>
  <si>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</si>
  <si>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</si>
  <si>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</si>
  <si>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</si>
  <si>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</si>
  <si>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</si>
  <si>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</si>
  <si>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</si>
  <si>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</si>
  <si>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</si>
  <si>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</si>
  <si>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</si>
  <si>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</si>
  <si>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</si>
  <si>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</si>
  <si>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</si>
  <si>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</si>
  <si>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</si>
  <si>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</si>
  <si>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</si>
  <si>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</si>
  <si>
    <t>STG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</si>
</sst>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1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4"/>
      <color rgb="FFFF0000"/>
      <name val="Arial"/>
      <charset val="134"/>
    </font>
    <font>
      <b/>
      <sz val="12"/>
      <color rgb="FFFF0000"/>
      <name val="Arial"/>
      <charset val="134"/>
    </font>
    <font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8"/>
      <name val="Tahoma"/>
      <charset val="134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49" fontId="33" fillId="0" borderId="14" applyNumberFormat="0" applyFont="0" applyFill="0" applyBorder="0" applyProtection="0">
      <alignment horizontal="left" vertical="center" indent="2"/>
    </xf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5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6" fillId="44" borderId="0" applyBorder="0" applyAlignment="0"/>
    <xf numFmtId="0" fontId="33" fillId="44" borderId="0" applyBorder="0">
      <alignment horizontal="right" vertical="center"/>
    </xf>
    <xf numFmtId="0" fontId="33" fillId="4" borderId="0" applyBorder="0">
      <alignment horizontal="right" vertical="center"/>
    </xf>
    <xf numFmtId="0" fontId="33" fillId="4" borderId="0" applyBorder="0">
      <alignment horizontal="right" vertical="center"/>
    </xf>
    <xf numFmtId="0" fontId="37" fillId="4" borderId="14">
      <alignment horizontal="right" vertical="center"/>
    </xf>
    <xf numFmtId="0" fontId="38" fillId="4" borderId="14">
      <alignment horizontal="right" vertical="center"/>
    </xf>
    <xf numFmtId="0" fontId="37" fillId="45" borderId="14">
      <alignment horizontal="right" vertical="center"/>
    </xf>
    <xf numFmtId="0" fontId="37" fillId="45" borderId="14">
      <alignment horizontal="right" vertical="center"/>
    </xf>
    <xf numFmtId="0" fontId="37" fillId="45" borderId="15">
      <alignment horizontal="right" vertical="center"/>
    </xf>
    <xf numFmtId="0" fontId="37" fillId="45" borderId="16">
      <alignment horizontal="right" vertical="center"/>
    </xf>
    <xf numFmtId="0" fontId="37" fillId="45" borderId="17">
      <alignment horizontal="right" vertical="center"/>
    </xf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9" fillId="62" borderId="18" applyNumberFormat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6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1" fillId="62" borderId="19" applyNumberFormat="0" applyAlignment="0" applyProtection="0"/>
    <xf numFmtId="0" fontId="42" fillId="45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0" fillId="44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3" fillId="45" borderId="26">
      <alignment horizontal="left" vertical="center" wrapText="1" indent="2"/>
    </xf>
    <xf numFmtId="0" fontId="33" fillId="0" borderId="26">
      <alignment horizontal="left" vertical="center" wrapText="1" indent="2"/>
    </xf>
    <xf numFmtId="0" fontId="33" fillId="4" borderId="16">
      <alignment horizontal="left" vertical="center"/>
    </xf>
    <xf numFmtId="0" fontId="37" fillId="0" borderId="27">
      <alignment horizontal="left" vertical="top" wrapText="1"/>
    </xf>
    <xf numFmtId="3" fontId="51" fillId="0" borderId="25">
      <alignment horizontal="right" vertical="top"/>
    </xf>
    <xf numFmtId="0" fontId="52" fillId="45" borderId="19" applyNumberFormat="0" applyAlignment="0" applyProtection="0"/>
    <xf numFmtId="0" fontId="53" fillId="64" borderId="21" applyNumberFormat="0" applyAlignment="0" applyProtection="0"/>
    <xf numFmtId="0" fontId="54" fillId="0" borderId="5"/>
    <xf numFmtId="0" fontId="2" fillId="54" borderId="14">
      <alignment horizontal="centerContinuous" vertical="top" wrapText="1"/>
    </xf>
    <xf numFmtId="0" fontId="55" fillId="0" borderId="0">
      <alignment vertical="top" wrapText="1"/>
    </xf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2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2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73" fillId="11" borderId="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73" fillId="11" borderId="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4" fontId="33" fillId="0" borderId="0" applyBorder="0">
      <alignment horizontal="right" vertical="center"/>
    </xf>
    <xf numFmtId="0" fontId="33" fillId="0" borderId="14">
      <alignment horizontal="right" vertical="center"/>
    </xf>
    <xf numFmtId="1" fontId="74" fillId="4" borderId="0" applyBorder="0">
      <alignment horizontal="right" vertical="center"/>
    </xf>
    <xf numFmtId="0" fontId="31" fillId="48" borderId="33" applyNumberFormat="0" applyFont="0" applyAlignment="0" applyProtection="0"/>
    <xf numFmtId="0" fontId="34" fillId="57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75" fillId="4" borderId="0" applyNumberFormat="0" applyBorder="0" applyAlignment="0" applyProtection="0"/>
    <xf numFmtId="0" fontId="76" fillId="62" borderId="18" applyNumberFormat="0" applyAlignment="0" applyProtection="0"/>
    <xf numFmtId="0" fontId="69" fillId="0" borderId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5" fillId="0" borderId="0">
      <alignment vertical="center"/>
    </xf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5" fillId="0" borderId="0">
      <alignment vertical="center"/>
    </xf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8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8" fillId="0" borderId="0"/>
    <xf numFmtId="191" fontId="85" fillId="0" borderId="0">
      <alignment vertical="center"/>
    </xf>
    <xf numFmtId="0" fontId="32" fillId="0" borderId="0"/>
    <xf numFmtId="0" fontId="88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89" fillId="0" borderId="0"/>
    <xf numFmtId="0" fontId="89" fillId="0" borderId="0"/>
    <xf numFmtId="0" fontId="0" fillId="0" borderId="0"/>
    <xf numFmtId="0" fontId="8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90" fillId="0" borderId="0"/>
    <xf numFmtId="0" fontId="89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32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87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1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4" fontId="33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14" applyNumberFormat="0" applyFill="0" applyAlignment="0" applyProtection="0"/>
    <xf numFmtId="0" fontId="0" fillId="64" borderId="0" applyNumberFormat="0" applyFont="0" applyBorder="0" applyAlignment="0" applyProtection="0"/>
    <xf numFmtId="0" fontId="0" fillId="0" borderId="0"/>
    <xf numFmtId="0" fontId="0" fillId="0" borderId="0"/>
    <xf numFmtId="0" fontId="92" fillId="0" borderId="0"/>
    <xf numFmtId="0" fontId="58" fillId="0" borderId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9" fillId="10" borderId="6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192" fontId="93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4" fillId="0" borderId="28" applyNumberFormat="0" applyFill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194" fontId="33" fillId="65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96" fillId="42" borderId="0" applyNumberFormat="0" applyBorder="0" applyAlignment="0" applyProtection="0"/>
    <xf numFmtId="0" fontId="40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3" borderId="0" applyNumberFormat="0" applyBorder="0" applyAlignment="0" applyProtection="0"/>
    <xf numFmtId="0" fontId="33" fillId="64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2" borderId="19" applyNumberFormat="0" applyAlignment="0" applyProtection="0"/>
    <xf numFmtId="197" fontId="107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8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9" fillId="69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0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1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2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73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55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5" fillId="0" borderId="0" applyFont="0" applyFill="0" applyBorder="0" applyAlignment="0" applyProtection="0"/>
    <xf numFmtId="0" fontId="77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64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1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59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  <xf numFmtId="2" fontId="0" fillId="0" borderId="0" xfId="3025" applyNumberFormat="1" applyFont="1" applyFill="1" applyAlignment="1">
      <alignment horizontal="center" vertical="center"/>
    </xf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205740</xdr:colOff>
      <xdr:row>55</xdr:row>
      <xdr:rowOff>26670</xdr:rowOff>
    </xdr:from>
    <xdr:to>
      <xdr:col>25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75869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19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35674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56</xdr:row>
      <xdr:rowOff>179070</xdr:rowOff>
    </xdr:from>
    <xdr:to>
      <xdr:col>19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9430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251460</xdr:colOff>
      <xdr:row>56</xdr:row>
      <xdr:rowOff>7620</xdr:rowOff>
    </xdr:from>
    <xdr:to>
      <xdr:col>26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24332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211231</xdr:colOff>
      <xdr:row>53</xdr:row>
      <xdr:rowOff>6128</xdr:rowOff>
    </xdr:from>
    <xdr:to>
      <xdr:col>26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31927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18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21189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26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9819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27</xdr:col>
      <xdr:colOff>0</xdr:colOff>
      <xdr:row>56</xdr:row>
      <xdr:rowOff>179070</xdr:rowOff>
    </xdr:from>
    <xdr:to>
      <xdr:col>27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37820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782320</xdr:colOff>
      <xdr:row>21</xdr:row>
      <xdr:rowOff>61595</xdr:rowOff>
    </xdr:from>
    <xdr:to>
      <xdr:col>36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1640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18</xdr:col>
      <xdr:colOff>279400</xdr:colOff>
      <xdr:row>0</xdr:row>
      <xdr:rowOff>272229</xdr:rowOff>
    </xdr:from>
    <xdr:to>
      <xdr:col>27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8605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796924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607695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796290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7"/>
  <sheetViews>
    <sheetView tabSelected="1" zoomScale="70" zoomScaleNormal="70" workbookViewId="0">
      <selection activeCell="C22" sqref="C22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7" width="11.4545454545455" style="7"/>
    <col min="18" max="18" width="11.2727272727273" style="7" customWidth="1"/>
    <col min="19" max="23" width="11.4545454545455" style="7"/>
    <col min="24" max="24" width="11.4545454545455" style="7" customWidth="1"/>
    <col min="25" max="29" width="11.4545454545455" style="7"/>
    <col min="30" max="30" width="12" style="7" customWidth="1"/>
    <col min="31" max="31" width="11.4545454545455" style="7"/>
    <col min="32" max="34" width="12.8181818181818" style="7"/>
    <col min="35" max="16384" width="11.4545454545455" style="7"/>
  </cols>
  <sheetData>
    <row r="1" ht="23" spans="1:20">
      <c r="A1" s="9" t="s">
        <v>0</v>
      </c>
      <c r="G1" s="1" t="s">
        <v>1</v>
      </c>
      <c r="P1" s="1" t="s">
        <v>2</v>
      </c>
      <c r="Q1" s="1"/>
      <c r="T1" s="1" t="s">
        <v>3</v>
      </c>
    </row>
    <row r="2" ht="15.5" spans="1:17">
      <c r="A2" s="10"/>
      <c r="G2" s="7" t="s">
        <v>4</v>
      </c>
      <c r="P2" s="1" t="s">
        <v>5</v>
      </c>
      <c r="Q2" s="1"/>
    </row>
    <row r="3" ht="13" spans="5:28">
      <c r="E3" s="11" t="s">
        <v>6</v>
      </c>
      <c r="H3" s="12"/>
      <c r="I3" s="12"/>
      <c r="J3" s="68"/>
      <c r="K3" s="12"/>
      <c r="L3" s="12"/>
      <c r="M3" s="12"/>
      <c r="N3" s="69"/>
      <c r="O3" s="69"/>
      <c r="AB3" s="135"/>
    </row>
    <row r="4" ht="25" spans="1:28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23</v>
      </c>
      <c r="R4" s="14" t="s">
        <v>24</v>
      </c>
      <c r="S4" s="14" t="s">
        <v>25</v>
      </c>
      <c r="T4" s="14" t="s">
        <v>26</v>
      </c>
      <c r="U4" s="14" t="s">
        <v>27</v>
      </c>
      <c r="V4" s="116" t="s">
        <v>28</v>
      </c>
      <c r="W4" s="116" t="s">
        <v>29</v>
      </c>
      <c r="X4" s="116" t="s">
        <v>30</v>
      </c>
      <c r="Z4" s="136"/>
      <c r="AA4" s="137"/>
      <c r="AB4" s="137"/>
    </row>
    <row r="5" ht="38.25" spans="1:28">
      <c r="A5" s="15" t="s">
        <v>31</v>
      </c>
      <c r="B5" s="15" t="s">
        <v>32</v>
      </c>
      <c r="C5" s="15" t="s">
        <v>33</v>
      </c>
      <c r="D5" s="15" t="s">
        <v>34</v>
      </c>
      <c r="E5" s="15" t="s">
        <v>35</v>
      </c>
      <c r="F5" s="16"/>
      <c r="G5" s="16" t="s">
        <v>36</v>
      </c>
      <c r="H5" s="16" t="s">
        <v>37</v>
      </c>
      <c r="I5" s="16"/>
      <c r="J5" s="71"/>
      <c r="K5" s="16"/>
      <c r="L5" s="16"/>
      <c r="M5" s="16" t="s">
        <v>38</v>
      </c>
      <c r="N5" s="16" t="s">
        <v>38</v>
      </c>
      <c r="O5" s="16" t="s">
        <v>38</v>
      </c>
      <c r="P5" s="16" t="s">
        <v>38</v>
      </c>
      <c r="Q5" s="16"/>
      <c r="R5" s="16" t="s">
        <v>39</v>
      </c>
      <c r="S5" s="16"/>
      <c r="T5" s="16" t="s">
        <v>40</v>
      </c>
      <c r="U5" s="16" t="s">
        <v>41</v>
      </c>
      <c r="V5" s="117"/>
      <c r="W5" s="117"/>
      <c r="X5" s="117"/>
      <c r="Z5" s="117"/>
      <c r="AA5" s="16"/>
      <c r="AB5" s="16"/>
    </row>
    <row r="6" spans="1:34">
      <c r="A6" s="17" t="str">
        <f>B47</f>
        <v>ESTCAESS101_4h</v>
      </c>
      <c r="B6" s="17" t="s">
        <v>42</v>
      </c>
      <c r="C6" s="17"/>
      <c r="D6" s="17" t="s">
        <v>42</v>
      </c>
      <c r="E6" s="17"/>
      <c r="F6" s="18">
        <v>2021</v>
      </c>
      <c r="G6" s="19">
        <v>60</v>
      </c>
      <c r="H6" s="20">
        <v>0.52</v>
      </c>
      <c r="I6" s="20">
        <f>H6</f>
        <v>0.52</v>
      </c>
      <c r="J6" s="72">
        <v>5</v>
      </c>
      <c r="K6" s="72"/>
      <c r="L6" s="72"/>
      <c r="M6" s="73">
        <f>1181*1.35</f>
        <v>1594.35</v>
      </c>
      <c r="N6" s="73">
        <f t="shared" ref="N6:N8" si="0">M6*0.4</f>
        <v>637.74</v>
      </c>
      <c r="O6" s="73">
        <f t="shared" ref="O6:O8" si="1">M6*0.25</f>
        <v>398.5875</v>
      </c>
      <c r="P6" s="84">
        <f>16.11*1.35</f>
        <v>21.7485</v>
      </c>
      <c r="Q6" s="84">
        <f>16.11*1.35</f>
        <v>21.7485</v>
      </c>
      <c r="R6" s="118"/>
      <c r="S6" s="119">
        <v>31.54</v>
      </c>
      <c r="T6" s="120"/>
      <c r="U6" s="73"/>
      <c r="V6" s="73"/>
      <c r="W6" s="73"/>
      <c r="X6" s="73"/>
      <c r="Z6" s="25"/>
      <c r="AA6" s="19"/>
      <c r="AB6" s="19"/>
      <c r="AD6" s="7">
        <f>M6*1.45</f>
        <v>2311.8075</v>
      </c>
      <c r="AF6" s="7">
        <f>O6*1.45</f>
        <v>577.951875</v>
      </c>
      <c r="AG6" s="7" t="e">
        <f>#REF!*1.45</f>
        <v>#REF!</v>
      </c>
      <c r="AH6" s="7">
        <f>R6*1.45</f>
        <v>0</v>
      </c>
    </row>
    <row r="7" spans="1:34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74"/>
      <c r="R7" s="118"/>
      <c r="S7" s="119"/>
      <c r="T7" s="120"/>
      <c r="U7" s="73"/>
      <c r="V7" s="73"/>
      <c r="W7" s="73"/>
      <c r="X7" s="73"/>
      <c r="Z7" s="25"/>
      <c r="AA7" s="19"/>
      <c r="AB7" s="19"/>
      <c r="AH7" s="7">
        <f t="shared" ref="AH7:AH28" si="4">R7*1.45</f>
        <v>0</v>
      </c>
    </row>
    <row r="8" spans="1:34">
      <c r="A8" s="22" t="str">
        <f>B48</f>
        <v>ESTCAESS102_4h</v>
      </c>
      <c r="B8" s="22" t="s">
        <v>42</v>
      </c>
      <c r="C8" s="22"/>
      <c r="D8" s="22" t="s">
        <v>42</v>
      </c>
      <c r="E8" s="22"/>
      <c r="F8" s="18">
        <v>2021</v>
      </c>
      <c r="G8" s="23">
        <v>60</v>
      </c>
      <c r="H8" s="24">
        <v>0.52</v>
      </c>
      <c r="I8" s="24">
        <f>H8</f>
        <v>0.52</v>
      </c>
      <c r="J8" s="75">
        <v>5</v>
      </c>
      <c r="K8" s="76"/>
      <c r="L8" s="76"/>
      <c r="M8" s="77">
        <f>M6*66/45</f>
        <v>2338.38</v>
      </c>
      <c r="N8" s="73">
        <f t="shared" si="0"/>
        <v>935.352</v>
      </c>
      <c r="O8" s="73">
        <f t="shared" si="1"/>
        <v>584.595</v>
      </c>
      <c r="P8" s="87">
        <f>16.11*1.35</f>
        <v>21.7485</v>
      </c>
      <c r="Q8" s="87">
        <f>16.11*1.35</f>
        <v>21.7485</v>
      </c>
      <c r="R8" s="118"/>
      <c r="S8" s="121">
        <v>31.54</v>
      </c>
      <c r="T8" s="23"/>
      <c r="U8" s="23"/>
      <c r="V8" s="23"/>
      <c r="W8" s="23"/>
      <c r="X8" s="23"/>
      <c r="Z8" s="123"/>
      <c r="AA8" s="23"/>
      <c r="AB8" s="23"/>
      <c r="AD8" s="7">
        <f>M8*1.45</f>
        <v>3390.651</v>
      </c>
      <c r="AF8" s="7">
        <f>O8*1.45</f>
        <v>847.66275</v>
      </c>
      <c r="AG8" s="7" t="e">
        <f>#REF!*1.45</f>
        <v>#REF!</v>
      </c>
      <c r="AH8" s="7">
        <f t="shared" si="4"/>
        <v>0</v>
      </c>
    </row>
    <row r="9" spans="1:34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78"/>
      <c r="R9" s="118"/>
      <c r="S9" s="121"/>
      <c r="T9" s="23"/>
      <c r="U9" s="23"/>
      <c r="V9" s="23"/>
      <c r="W9" s="23"/>
      <c r="X9" s="23"/>
      <c r="Z9" s="123"/>
      <c r="AA9" s="23"/>
      <c r="AB9" s="23"/>
      <c r="AH9" s="7">
        <f t="shared" si="4"/>
        <v>0</v>
      </c>
    </row>
    <row r="10" spans="1:34">
      <c r="A10" s="17" t="str">
        <f>B49</f>
        <v>ESTHYDPS101_4h</v>
      </c>
      <c r="B10" s="17" t="s">
        <v>42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>H10</f>
        <v>0.8</v>
      </c>
      <c r="J10" s="72">
        <v>5</v>
      </c>
      <c r="K10" s="19"/>
      <c r="L10" s="19"/>
      <c r="M10" s="73">
        <f>(978+742)*1.35</f>
        <v>2322</v>
      </c>
      <c r="N10" s="73">
        <f>M10</f>
        <v>2322</v>
      </c>
      <c r="O10" s="73">
        <f>M10</f>
        <v>2322</v>
      </c>
      <c r="P10" s="87">
        <f>28.1*1.35</f>
        <v>37.935</v>
      </c>
      <c r="Q10" s="87">
        <f>28.1*1.35</f>
        <v>37.935</v>
      </c>
      <c r="R10" s="122"/>
      <c r="S10" s="119">
        <v>31.54</v>
      </c>
      <c r="T10" s="119"/>
      <c r="U10" s="119"/>
      <c r="V10" s="119"/>
      <c r="W10" s="119"/>
      <c r="X10" s="119"/>
      <c r="Z10" s="25"/>
      <c r="AA10" s="19"/>
      <c r="AB10" s="19"/>
      <c r="AD10" s="7">
        <f t="shared" ref="AD10:AD14" si="5">M10*1.45</f>
        <v>3366.9</v>
      </c>
      <c r="AF10" s="7">
        <f t="shared" ref="AF10:AF14" si="6">O10*1.45</f>
        <v>3366.9</v>
      </c>
      <c r="AH10" s="7">
        <f t="shared" si="4"/>
        <v>0</v>
      </c>
    </row>
    <row r="11" spans="1:34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74"/>
      <c r="R11" s="122"/>
      <c r="S11" s="119"/>
      <c r="T11" s="119"/>
      <c r="U11" s="119"/>
      <c r="V11" s="119"/>
      <c r="W11" s="119"/>
      <c r="X11" s="119"/>
      <c r="Z11" s="25"/>
      <c r="AA11" s="19"/>
      <c r="AB11" s="19"/>
      <c r="AH11" s="7">
        <f t="shared" si="4"/>
        <v>0</v>
      </c>
    </row>
    <row r="12" spans="1:34">
      <c r="A12" s="22" t="str">
        <f>B50</f>
        <v>ESTBATS101_4h</v>
      </c>
      <c r="B12" s="22" t="s">
        <v>42</v>
      </c>
      <c r="C12" s="22"/>
      <c r="D12" s="22" t="s">
        <v>42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</f>
        <v>2805.3</v>
      </c>
      <c r="N12" s="80">
        <f>M12*0.4</f>
        <v>1122.12</v>
      </c>
      <c r="O12" s="80">
        <f>M12*0.25</f>
        <v>701.325</v>
      </c>
      <c r="P12" s="90">
        <f>7.13*1.35</f>
        <v>9.6255</v>
      </c>
      <c r="Q12" s="90">
        <f>7.13*1.35</f>
        <v>9.6255</v>
      </c>
      <c r="R12" s="79"/>
      <c r="S12" s="123">
        <v>31.54</v>
      </c>
      <c r="T12" s="23"/>
      <c r="U12" s="23"/>
      <c r="V12" s="23"/>
      <c r="W12" s="23"/>
      <c r="X12" s="23"/>
      <c r="Z12" s="129"/>
      <c r="AA12" s="23"/>
      <c r="AB12" s="23"/>
      <c r="AD12" s="7">
        <f t="shared" si="5"/>
        <v>4067.685</v>
      </c>
      <c r="AF12" s="7">
        <f t="shared" si="6"/>
        <v>1016.92125</v>
      </c>
      <c r="AH12" s="7">
        <f t="shared" si="4"/>
        <v>0</v>
      </c>
    </row>
    <row r="13" spans="1:34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78"/>
      <c r="R13" s="118"/>
      <c r="S13" s="119"/>
      <c r="T13" s="23"/>
      <c r="U13" s="23"/>
      <c r="V13" s="23"/>
      <c r="W13" s="23"/>
      <c r="X13" s="23"/>
      <c r="AA13" s="23"/>
      <c r="AB13" s="23"/>
      <c r="AH13" s="7">
        <f t="shared" si="4"/>
        <v>0</v>
      </c>
    </row>
    <row r="14" s="1" customFormat="1" spans="1:34">
      <c r="A14" s="27" t="str">
        <f>B51</f>
        <v>ESTBATS102_4h</v>
      </c>
      <c r="B14" s="27" t="s">
        <v>42</v>
      </c>
      <c r="C14" s="27"/>
      <c r="D14" s="27" t="s">
        <v>42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(2016+1793)/2*(956+435)/(956+435)*1.35</f>
        <v>2571.075</v>
      </c>
      <c r="N14" s="80">
        <f t="shared" ref="N14:N16" si="7">M14*0.4</f>
        <v>1028.43</v>
      </c>
      <c r="O14" s="80">
        <f t="shared" ref="O14:O16" si="8">M14*0.25</f>
        <v>642.76875</v>
      </c>
      <c r="P14" s="90">
        <f>(5.6+5.05)/2*1.35</f>
        <v>7.18875</v>
      </c>
      <c r="Q14" s="90">
        <f>(5.6+5.05)/2*1.35</f>
        <v>7.18875</v>
      </c>
      <c r="R14" s="25"/>
      <c r="S14" s="123">
        <v>31.54</v>
      </c>
      <c r="T14" s="123"/>
      <c r="U14" s="123"/>
      <c r="V14" s="123"/>
      <c r="W14" s="123"/>
      <c r="X14" s="123"/>
      <c r="Z14" s="129"/>
      <c r="AA14" s="25"/>
      <c r="AB14" s="25"/>
      <c r="AD14" s="1">
        <f t="shared" si="5"/>
        <v>3728.05875</v>
      </c>
      <c r="AE14" s="1">
        <f>N14*1.45</f>
        <v>1491.2235</v>
      </c>
      <c r="AF14" s="1">
        <f t="shared" si="6"/>
        <v>932.0146875</v>
      </c>
      <c r="AH14" s="1">
        <f t="shared" si="4"/>
        <v>0</v>
      </c>
    </row>
    <row r="15" s="1" customFormat="1" spans="1:34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81"/>
      <c r="R15" s="25"/>
      <c r="S15" s="123"/>
      <c r="T15" s="123"/>
      <c r="U15" s="123"/>
      <c r="V15" s="123"/>
      <c r="W15" s="123"/>
      <c r="X15" s="123"/>
      <c r="AA15" s="25"/>
      <c r="AB15" s="25"/>
      <c r="AH15" s="1">
        <f t="shared" si="4"/>
        <v>0</v>
      </c>
    </row>
    <row r="16" spans="1:28">
      <c r="A16" s="22" t="s">
        <v>43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78"/>
      <c r="R16" s="118"/>
      <c r="S16" s="119"/>
      <c r="T16" s="23"/>
      <c r="U16" s="23"/>
      <c r="V16" s="23"/>
      <c r="W16" s="23"/>
      <c r="X16" s="23"/>
      <c r="Z16" s="129"/>
      <c r="AA16" s="23"/>
      <c r="AB16" s="23"/>
    </row>
    <row r="17" spans="1:28">
      <c r="A17" s="22" t="s">
        <v>43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78"/>
      <c r="R17" s="118"/>
      <c r="S17" s="119"/>
      <c r="T17" s="23"/>
      <c r="U17" s="23"/>
      <c r="V17" s="23"/>
      <c r="W17" s="23"/>
      <c r="X17" s="23"/>
      <c r="Z17" s="23"/>
      <c r="AA17" s="23"/>
      <c r="AB17" s="23"/>
    </row>
    <row r="18" s="2" customFormat="1" spans="1:34">
      <c r="A18" s="29" t="str">
        <f t="shared" ref="A18:A23" si="9">B57</f>
        <v>P_ESTCAESS101_4h</v>
      </c>
      <c r="B18" s="29" t="s">
        <v>44</v>
      </c>
      <c r="C18" s="29"/>
      <c r="D18" s="29" t="str">
        <f t="shared" ref="D18:D23" si="10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/>
      <c r="N18" s="77"/>
      <c r="O18" s="77"/>
      <c r="R18" s="124"/>
      <c r="S18" s="125">
        <v>31.54</v>
      </c>
      <c r="T18" s="124"/>
      <c r="U18" s="124"/>
      <c r="V18" s="126"/>
      <c r="W18" s="126"/>
      <c r="X18" s="126"/>
      <c r="Z18" s="126"/>
      <c r="AA18" s="125"/>
      <c r="AB18" s="125"/>
      <c r="AD18" s="2">
        <f>M18*1.45</f>
        <v>0</v>
      </c>
      <c r="AF18" s="2">
        <f>O18*1.45</f>
        <v>0</v>
      </c>
      <c r="AG18" s="2">
        <f>P6*1.45</f>
        <v>31.535325</v>
      </c>
      <c r="AH18" s="2">
        <f t="shared" si="4"/>
        <v>0</v>
      </c>
    </row>
    <row r="19" s="2" customFormat="1" spans="1:34">
      <c r="A19" s="32" t="str">
        <f t="shared" si="9"/>
        <v>P_ESTCAESS102_4h</v>
      </c>
      <c r="B19" s="32" t="s">
        <v>44</v>
      </c>
      <c r="C19" s="32"/>
      <c r="D19" s="32" t="str">
        <f t="shared" si="10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/>
      <c r="N19" s="77"/>
      <c r="O19" s="77"/>
      <c r="R19" s="104"/>
      <c r="S19" s="110">
        <v>31.54</v>
      </c>
      <c r="T19" s="104"/>
      <c r="U19" s="104"/>
      <c r="V19" s="126"/>
      <c r="W19" s="126"/>
      <c r="X19" s="126"/>
      <c r="Z19" s="126"/>
      <c r="AA19" s="110"/>
      <c r="AB19" s="110"/>
      <c r="AD19" s="2">
        <f>M19*1.45</f>
        <v>0</v>
      </c>
      <c r="AF19" s="2">
        <f>O19*1.45</f>
        <v>0</v>
      </c>
      <c r="AG19" s="2">
        <f>P8*1.45</f>
        <v>31.535325</v>
      </c>
      <c r="AH19" s="2">
        <f t="shared" si="4"/>
        <v>0</v>
      </c>
    </row>
    <row r="20" s="2" customFormat="1" spans="1:34">
      <c r="A20" s="32" t="str">
        <f t="shared" si="9"/>
        <v>P_ESTHYDPS101_4h</v>
      </c>
      <c r="B20" s="32" t="s">
        <v>44</v>
      </c>
      <c r="C20" s="32"/>
      <c r="D20" s="32" t="str">
        <f t="shared" si="10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/>
      <c r="N20" s="77"/>
      <c r="O20" s="77"/>
      <c r="R20" s="104"/>
      <c r="S20" s="110">
        <v>31.54</v>
      </c>
      <c r="T20" s="104"/>
      <c r="U20" s="104"/>
      <c r="V20" s="126"/>
      <c r="W20" s="126"/>
      <c r="X20" s="126"/>
      <c r="Z20" s="126"/>
      <c r="AA20" s="110"/>
      <c r="AB20" s="110"/>
      <c r="AD20" s="2">
        <f>M20*1.45</f>
        <v>0</v>
      </c>
      <c r="AF20" s="2">
        <f>O20*1.45</f>
        <v>0</v>
      </c>
      <c r="AG20" s="2">
        <f>P10*1.45</f>
        <v>55.00575</v>
      </c>
      <c r="AH20" s="2">
        <f t="shared" si="4"/>
        <v>0</v>
      </c>
    </row>
    <row r="21" s="1" customFormat="1" spans="1:34">
      <c r="A21" s="34" t="str">
        <f t="shared" si="9"/>
        <v>P_ESTBATS101_4h</v>
      </c>
      <c r="B21" s="34" t="s">
        <v>44</v>
      </c>
      <c r="C21" s="34"/>
      <c r="D21" s="34" t="str">
        <f t="shared" si="10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/>
      <c r="N21" s="80"/>
      <c r="O21" s="80"/>
      <c r="R21" s="127"/>
      <c r="S21" s="128">
        <v>31.54</v>
      </c>
      <c r="T21" s="127"/>
      <c r="U21" s="127"/>
      <c r="V21" s="129"/>
      <c r="W21" s="129"/>
      <c r="X21" s="129"/>
      <c r="Z21" s="126"/>
      <c r="AA21" s="128"/>
      <c r="AB21" s="128"/>
      <c r="AD21" s="1">
        <f>M21*1.45</f>
        <v>0</v>
      </c>
      <c r="AF21" s="1">
        <f>O21*1.45</f>
        <v>0</v>
      </c>
      <c r="AG21" s="1">
        <f>P12*1.45</f>
        <v>13.956975</v>
      </c>
      <c r="AH21" s="1">
        <f t="shared" si="4"/>
        <v>0</v>
      </c>
    </row>
    <row r="22" s="1" customFormat="1" spans="1:34">
      <c r="A22" s="34" t="str">
        <f t="shared" si="9"/>
        <v>P_ESTBATS102_4h</v>
      </c>
      <c r="B22" s="34" t="s">
        <v>44</v>
      </c>
      <c r="C22" s="34"/>
      <c r="D22" s="34" t="str">
        <f t="shared" si="10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/>
      <c r="N22" s="80"/>
      <c r="O22" s="80"/>
      <c r="R22" s="127"/>
      <c r="S22" s="128">
        <v>31.54</v>
      </c>
      <c r="T22" s="127"/>
      <c r="U22" s="127"/>
      <c r="V22" s="129"/>
      <c r="W22" s="129"/>
      <c r="X22" s="129"/>
      <c r="Z22" s="126"/>
      <c r="AA22" s="128"/>
      <c r="AB22" s="128"/>
      <c r="AD22" s="1">
        <f>M22*1.45</f>
        <v>0</v>
      </c>
      <c r="AF22" s="1">
        <f>O22*1.45</f>
        <v>0</v>
      </c>
      <c r="AG22" s="1">
        <f>P14*1.45</f>
        <v>10.4236875</v>
      </c>
      <c r="AH22" s="1">
        <f t="shared" si="4"/>
        <v>0</v>
      </c>
    </row>
    <row r="23" s="2" customFormat="1" spans="1:28">
      <c r="A23" s="37" t="s">
        <v>43</v>
      </c>
      <c r="B23" s="37"/>
      <c r="C23" s="37"/>
      <c r="D23" s="37"/>
      <c r="E23" s="37"/>
      <c r="F23" s="38"/>
      <c r="G23" s="38"/>
      <c r="H23" s="31"/>
      <c r="I23" s="31"/>
      <c r="J23" s="85"/>
      <c r="K23" s="37"/>
      <c r="L23" s="37"/>
      <c r="M23" s="92"/>
      <c r="N23" s="77"/>
      <c r="O23" s="77"/>
      <c r="P23" s="93"/>
      <c r="Q23" s="93"/>
      <c r="R23" s="130"/>
      <c r="S23" s="131"/>
      <c r="T23" s="130"/>
      <c r="U23" s="130"/>
      <c r="V23" s="126"/>
      <c r="W23" s="126"/>
      <c r="X23" s="126"/>
      <c r="Z23" s="126"/>
      <c r="AA23" s="131"/>
      <c r="AB23" s="131"/>
    </row>
    <row r="24" spans="1:34">
      <c r="A24" s="22" t="str">
        <f>B53</f>
        <v>ESTCAESS201</v>
      </c>
      <c r="B24" s="22" t="str">
        <f>B6</f>
        <v>ELC</v>
      </c>
      <c r="C24" s="22"/>
      <c r="D24" s="22" t="s">
        <v>42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11">H24</f>
        <v>0.47</v>
      </c>
      <c r="J24" s="94">
        <v>5</v>
      </c>
      <c r="K24" s="95"/>
      <c r="L24" s="95"/>
      <c r="M24" s="77">
        <f t="shared" ref="M24:Q24" si="12">M6</f>
        <v>1594.35</v>
      </c>
      <c r="N24" s="73">
        <f>M24*0.4</f>
        <v>637.74</v>
      </c>
      <c r="O24" s="73">
        <f>M24*0.25</f>
        <v>398.5875</v>
      </c>
      <c r="P24" s="81">
        <f t="shared" si="12"/>
        <v>21.7485</v>
      </c>
      <c r="Q24" s="81">
        <f t="shared" si="12"/>
        <v>21.7485</v>
      </c>
      <c r="R24" s="118"/>
      <c r="S24" s="119">
        <v>31.54</v>
      </c>
      <c r="T24" s="2"/>
      <c r="U24" s="77"/>
      <c r="V24" s="77"/>
      <c r="W24" s="77"/>
      <c r="X24" s="77"/>
      <c r="Z24" s="25"/>
      <c r="AA24" s="23"/>
      <c r="AB24" s="23"/>
      <c r="AD24" s="7">
        <f>M24*1.45</f>
        <v>2311.8075</v>
      </c>
      <c r="AF24" s="7">
        <f>O24*1.45</f>
        <v>577.951875</v>
      </c>
      <c r="AG24" s="7" t="e">
        <f>#REF!*1.45</f>
        <v>#REF!</v>
      </c>
      <c r="AH24" s="7">
        <f t="shared" si="4"/>
        <v>0</v>
      </c>
    </row>
    <row r="25" spans="1:34">
      <c r="A25" s="22"/>
      <c r="B25" s="22"/>
      <c r="C25" s="22" t="str">
        <f t="shared" ref="C25:C29" si="13">"AUX_"&amp;A24</f>
        <v>AUX_ESTCAESS201</v>
      </c>
      <c r="D25" s="22"/>
      <c r="E25" s="21" t="str">
        <f t="shared" ref="E25:E29" si="14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78"/>
      <c r="R25" s="118"/>
      <c r="S25" s="119"/>
      <c r="T25" s="2"/>
      <c r="U25" s="77"/>
      <c r="V25" s="77"/>
      <c r="W25" s="77"/>
      <c r="X25" s="77"/>
      <c r="Z25" s="25"/>
      <c r="AA25" s="23"/>
      <c r="AB25" s="23"/>
      <c r="AH25" s="7">
        <f t="shared" si="4"/>
        <v>0</v>
      </c>
    </row>
    <row r="26" spans="1:34">
      <c r="A26" s="17" t="str">
        <f>B54</f>
        <v>ESTHYDPS201</v>
      </c>
      <c r="B26" s="17" t="s">
        <v>42</v>
      </c>
      <c r="C26" s="17"/>
      <c r="D26" s="17" t="str">
        <f>B26</f>
        <v>ELC</v>
      </c>
      <c r="E26" s="17"/>
      <c r="F26" s="19">
        <v>2021</v>
      </c>
      <c r="G26" s="19">
        <f t="shared" ref="G26:G30" si="15">G10</f>
        <v>60</v>
      </c>
      <c r="H26" s="20">
        <f t="shared" ref="H26:H30" si="16">H10-0.05</f>
        <v>0.75</v>
      </c>
      <c r="I26" s="20">
        <f t="shared" si="11"/>
        <v>0.75</v>
      </c>
      <c r="J26" s="72">
        <v>5</v>
      </c>
      <c r="K26" s="19"/>
      <c r="L26" s="19"/>
      <c r="M26" s="73">
        <f t="shared" ref="M26:M30" si="17">M10</f>
        <v>2322</v>
      </c>
      <c r="N26" s="73">
        <f>M26</f>
        <v>2322</v>
      </c>
      <c r="O26" s="73">
        <f>M26</f>
        <v>2322</v>
      </c>
      <c r="P26" s="81">
        <f>P10</f>
        <v>37.935</v>
      </c>
      <c r="Q26" s="81">
        <f t="shared" ref="Q26:Q30" si="18">Q10</f>
        <v>37.935</v>
      </c>
      <c r="R26" s="122"/>
      <c r="S26" s="121">
        <v>31.54</v>
      </c>
      <c r="T26" s="119"/>
      <c r="U26" s="119"/>
      <c r="V26" s="119"/>
      <c r="W26" s="119"/>
      <c r="X26" s="119"/>
      <c r="Z26" s="123"/>
      <c r="AA26" s="19"/>
      <c r="AB26" s="19"/>
      <c r="AD26" s="7">
        <f t="shared" ref="AD26:AD30" si="19">M26*1.45</f>
        <v>3366.9</v>
      </c>
      <c r="AF26" s="7">
        <f t="shared" ref="AF26:AF30" si="20">O26*1.45</f>
        <v>3366.9</v>
      </c>
      <c r="AH26" s="7">
        <f t="shared" si="4"/>
        <v>0</v>
      </c>
    </row>
    <row r="27" spans="1:34">
      <c r="A27" s="17"/>
      <c r="B27" s="17"/>
      <c r="C27" s="17" t="str">
        <f t="shared" si="13"/>
        <v>AUX_ESTHYDPS201</v>
      </c>
      <c r="D27" s="17"/>
      <c r="E27" s="21" t="str">
        <f t="shared" si="14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74"/>
      <c r="R27" s="122"/>
      <c r="S27" s="121"/>
      <c r="T27" s="119"/>
      <c r="U27" s="119"/>
      <c r="V27" s="119"/>
      <c r="W27" s="119"/>
      <c r="X27" s="119"/>
      <c r="Z27" s="123"/>
      <c r="AA27" s="19"/>
      <c r="AB27" s="19"/>
      <c r="AH27" s="7">
        <f t="shared" si="4"/>
        <v>0</v>
      </c>
    </row>
    <row r="28" spans="1:34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15"/>
        <v>12</v>
      </c>
      <c r="H28" s="40">
        <f t="shared" si="16"/>
        <v>0.66</v>
      </c>
      <c r="I28" s="20">
        <f t="shared" si="11"/>
        <v>0.66</v>
      </c>
      <c r="J28" s="95">
        <v>5</v>
      </c>
      <c r="K28" s="23"/>
      <c r="L28" s="23"/>
      <c r="M28" s="77">
        <f t="shared" si="17"/>
        <v>2805.3</v>
      </c>
      <c r="N28" s="73">
        <f t="shared" ref="N28:N30" si="21">M28*0.4</f>
        <v>1122.12</v>
      </c>
      <c r="O28" s="73">
        <f t="shared" ref="O28:O30" si="22">M28*0.25</f>
        <v>701.325</v>
      </c>
      <c r="P28" s="81">
        <f>P12</f>
        <v>9.6255</v>
      </c>
      <c r="Q28" s="81">
        <f t="shared" si="18"/>
        <v>9.6255</v>
      </c>
      <c r="R28" s="122"/>
      <c r="S28" s="119">
        <v>31.54</v>
      </c>
      <c r="T28" s="121"/>
      <c r="U28" s="121"/>
      <c r="V28" s="121"/>
      <c r="W28" s="121"/>
      <c r="X28" s="121"/>
      <c r="Z28" s="25"/>
      <c r="AA28" s="23"/>
      <c r="AB28" s="23"/>
      <c r="AD28" s="7">
        <f t="shared" si="19"/>
        <v>4067.685</v>
      </c>
      <c r="AF28" s="7">
        <f t="shared" si="20"/>
        <v>1016.92125</v>
      </c>
      <c r="AH28" s="7">
        <f t="shared" si="4"/>
        <v>0</v>
      </c>
    </row>
    <row r="29" spans="1:28">
      <c r="A29" s="22"/>
      <c r="B29" s="22"/>
      <c r="C29" s="22" t="str">
        <f t="shared" si="13"/>
        <v>AUX_ESTBATS201</v>
      </c>
      <c r="D29" s="22"/>
      <c r="E29" s="21" t="str">
        <f t="shared" si="14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78"/>
      <c r="R29" s="122"/>
      <c r="S29" s="119"/>
      <c r="T29" s="121"/>
      <c r="U29" s="121"/>
      <c r="V29" s="121"/>
      <c r="W29" s="121"/>
      <c r="X29" s="121"/>
      <c r="Z29" s="25"/>
      <c r="AA29" s="23"/>
      <c r="AB29" s="23"/>
    </row>
    <row r="30" spans="1:34">
      <c r="A30" s="17" t="str">
        <f>B56</f>
        <v>ESTBATS202</v>
      </c>
      <c r="B30" s="17" t="s">
        <v>42</v>
      </c>
      <c r="C30" s="17"/>
      <c r="D30" s="17" t="s">
        <v>42</v>
      </c>
      <c r="E30" s="17"/>
      <c r="F30" s="19">
        <v>2021</v>
      </c>
      <c r="G30" s="19">
        <f t="shared" si="15"/>
        <v>15</v>
      </c>
      <c r="H30" s="20">
        <f t="shared" si="16"/>
        <v>0.78</v>
      </c>
      <c r="I30" s="20">
        <f>H30</f>
        <v>0.78</v>
      </c>
      <c r="J30" s="72">
        <v>5</v>
      </c>
      <c r="K30" s="19"/>
      <c r="L30" s="19"/>
      <c r="M30" s="73">
        <f t="shared" si="17"/>
        <v>2571.075</v>
      </c>
      <c r="N30" s="73">
        <f t="shared" si="21"/>
        <v>1028.43</v>
      </c>
      <c r="O30" s="73">
        <f t="shared" si="22"/>
        <v>642.76875</v>
      </c>
      <c r="P30" s="97">
        <f>P14</f>
        <v>7.18875</v>
      </c>
      <c r="Q30" s="97">
        <f t="shared" si="18"/>
        <v>7.18875</v>
      </c>
      <c r="R30" s="122"/>
      <c r="S30" s="119">
        <v>31.54</v>
      </c>
      <c r="T30" s="119"/>
      <c r="U30" s="119"/>
      <c r="V30" s="119"/>
      <c r="W30" s="119"/>
      <c r="X30" s="119"/>
      <c r="Z30" s="129"/>
      <c r="AA30" s="19"/>
      <c r="AB30" s="19"/>
      <c r="AD30" s="7">
        <f t="shared" si="19"/>
        <v>3728.05875</v>
      </c>
      <c r="AF30" s="7">
        <f t="shared" si="20"/>
        <v>932.0146875</v>
      </c>
      <c r="AH30" s="7">
        <f>R30*1.45</f>
        <v>0</v>
      </c>
    </row>
    <row r="31" spans="1:28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74"/>
      <c r="R31" s="122"/>
      <c r="S31" s="119"/>
      <c r="T31" s="119"/>
      <c r="U31" s="119"/>
      <c r="V31" s="119"/>
      <c r="W31" s="119"/>
      <c r="X31" s="119"/>
      <c r="Z31" s="119"/>
      <c r="AA31" s="19"/>
      <c r="AB31" s="19"/>
    </row>
    <row r="32" s="1" customFormat="1" spans="1:34">
      <c r="A32" s="27" t="str">
        <f t="shared" ref="A32:A35" si="23">B63</f>
        <v>P_ESTCAESS201</v>
      </c>
      <c r="B32" s="27" t="s">
        <v>44</v>
      </c>
      <c r="C32" s="27"/>
      <c r="D32" s="27" t="str">
        <f t="shared" ref="D32:D35" si="24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/>
      <c r="N32" s="73"/>
      <c r="O32" s="73"/>
      <c r="S32" s="25">
        <v>31.54</v>
      </c>
      <c r="Z32" s="126"/>
      <c r="AA32" s="25"/>
      <c r="AB32" s="25"/>
      <c r="AD32" s="1">
        <f t="shared" ref="AD32:AD37" si="25">M32*1.45</f>
        <v>0</v>
      </c>
      <c r="AF32" s="1">
        <f t="shared" ref="AF32:AF37" si="26">O32*1.45</f>
        <v>0</v>
      </c>
      <c r="AG32" s="1">
        <f>P24*1.45</f>
        <v>31.535325</v>
      </c>
      <c r="AH32" s="1">
        <f>R32*1.45</f>
        <v>0</v>
      </c>
    </row>
    <row r="33" s="1" customFormat="1" spans="1:34">
      <c r="A33" s="27" t="str">
        <f t="shared" si="23"/>
        <v>P_ESTHYDPS201</v>
      </c>
      <c r="B33" s="27" t="s">
        <v>44</v>
      </c>
      <c r="C33" s="27"/>
      <c r="D33" s="27" t="str">
        <f t="shared" si="24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/>
      <c r="N33" s="73"/>
      <c r="O33" s="73"/>
      <c r="S33" s="25">
        <v>31.54</v>
      </c>
      <c r="Z33" s="126"/>
      <c r="AA33" s="25"/>
      <c r="AB33" s="25"/>
      <c r="AD33" s="1">
        <f t="shared" si="25"/>
        <v>0</v>
      </c>
      <c r="AF33" s="1">
        <f t="shared" si="26"/>
        <v>0</v>
      </c>
      <c r="AG33" s="1">
        <f>P26*1.45</f>
        <v>55.00575</v>
      </c>
      <c r="AH33" s="1">
        <f>R33*1.45</f>
        <v>0</v>
      </c>
    </row>
    <row r="34" s="1" customFormat="1" spans="1:34">
      <c r="A34" s="27" t="str">
        <f t="shared" si="23"/>
        <v>P_ESTBATS201</v>
      </c>
      <c r="B34" s="27" t="s">
        <v>44</v>
      </c>
      <c r="C34" s="27"/>
      <c r="D34" s="27" t="str">
        <f t="shared" si="24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/>
      <c r="N34" s="73"/>
      <c r="O34" s="73"/>
      <c r="S34" s="25">
        <v>31.54</v>
      </c>
      <c r="Z34" s="126"/>
      <c r="AA34" s="25"/>
      <c r="AB34" s="25"/>
      <c r="AD34" s="1">
        <f t="shared" si="25"/>
        <v>0</v>
      </c>
      <c r="AF34" s="1">
        <f t="shared" si="26"/>
        <v>0</v>
      </c>
      <c r="AG34" s="1">
        <f>P28*1.45</f>
        <v>13.956975</v>
      </c>
      <c r="AH34" s="1">
        <f>R34*1.45</f>
        <v>0</v>
      </c>
    </row>
    <row r="35" s="1" customFormat="1" spans="1:34">
      <c r="A35" s="42" t="str">
        <f t="shared" si="23"/>
        <v>P_ESTBATS202</v>
      </c>
      <c r="B35" s="42" t="s">
        <v>44</v>
      </c>
      <c r="C35" s="42"/>
      <c r="D35" s="42" t="str">
        <f t="shared" si="24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/>
      <c r="N35" s="73"/>
      <c r="O35" s="73"/>
      <c r="R35" s="132"/>
      <c r="S35" s="133">
        <v>31.54</v>
      </c>
      <c r="T35" s="132"/>
      <c r="U35" s="132"/>
      <c r="Z35" s="126"/>
      <c r="AA35" s="133"/>
      <c r="AB35" s="133"/>
      <c r="AD35" s="1">
        <f t="shared" si="25"/>
        <v>0</v>
      </c>
      <c r="AF35" s="1">
        <f t="shared" si="26"/>
        <v>0</v>
      </c>
      <c r="AG35" s="1">
        <f>P30*1.45</f>
        <v>10.4236875</v>
      </c>
      <c r="AH35" s="1">
        <f>R35*1.45</f>
        <v>0</v>
      </c>
    </row>
    <row r="36" s="3" customFormat="1" ht="13" spans="1:32">
      <c r="A36" s="44" t="str">
        <f>B68</f>
        <v>DUMSTOR_TECH</v>
      </c>
      <c r="B36" s="45"/>
      <c r="C36" s="45"/>
      <c r="D36" s="44" t="s">
        <v>44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100"/>
      <c r="R36" s="45"/>
      <c r="S36" s="134"/>
      <c r="T36" s="45"/>
      <c r="U36" s="45"/>
      <c r="V36" s="126"/>
      <c r="W36" s="126"/>
      <c r="X36" s="126"/>
      <c r="Y36" s="126"/>
      <c r="AA36" s="134"/>
      <c r="AB36" s="134"/>
      <c r="AD36" s="3">
        <f t="shared" si="25"/>
        <v>0</v>
      </c>
      <c r="AF36" s="3">
        <f t="shared" si="26"/>
        <v>0</v>
      </c>
    </row>
    <row r="37" ht="13" spans="1:32">
      <c r="A37" s="17" t="str">
        <f>B67</f>
        <v>DUMDCAES</v>
      </c>
      <c r="B37" s="17" t="s">
        <v>42</v>
      </c>
      <c r="C37" s="17"/>
      <c r="D37" s="17"/>
      <c r="E37" s="17"/>
      <c r="F37" s="48">
        <v>2021</v>
      </c>
      <c r="G37" s="49"/>
      <c r="H37" s="49"/>
      <c r="I37" s="49"/>
      <c r="J37" s="101"/>
      <c r="K37" s="101">
        <v>0.37</v>
      </c>
      <c r="L37" s="17"/>
      <c r="M37" s="102"/>
      <c r="N37" s="102"/>
      <c r="O37" s="102"/>
      <c r="P37" s="49"/>
      <c r="Q37" s="49"/>
      <c r="R37" s="49"/>
      <c r="S37" s="49">
        <v>1</v>
      </c>
      <c r="T37" s="17"/>
      <c r="U37" s="103"/>
      <c r="V37" s="103"/>
      <c r="W37" s="103"/>
      <c r="X37" s="103"/>
      <c r="Y37" s="103" t="s">
        <v>45</v>
      </c>
      <c r="AA37" s="49"/>
      <c r="AB37" s="49"/>
      <c r="AD37" s="7">
        <f t="shared" si="25"/>
        <v>0</v>
      </c>
      <c r="AF37" s="7">
        <f t="shared" si="26"/>
        <v>0</v>
      </c>
    </row>
    <row r="38" spans="1:28">
      <c r="A38" s="17"/>
      <c r="B38" s="17" t="s">
        <v>46</v>
      </c>
      <c r="C38" s="17"/>
      <c r="D38" s="17"/>
      <c r="E38" s="17"/>
      <c r="F38" s="49"/>
      <c r="G38" s="49"/>
      <c r="H38" s="49"/>
      <c r="I38" s="49"/>
      <c r="J38" s="101"/>
      <c r="K38" s="101">
        <v>0.63</v>
      </c>
      <c r="L38" s="17"/>
      <c r="M38" s="49"/>
      <c r="N38" s="49"/>
      <c r="O38" s="49"/>
      <c r="P38" s="49"/>
      <c r="Q38" s="49"/>
      <c r="R38" s="49"/>
      <c r="S38" s="49"/>
      <c r="T38" s="17"/>
      <c r="U38" s="103"/>
      <c r="V38" s="103"/>
      <c r="W38" s="103"/>
      <c r="X38" s="103"/>
      <c r="Y38" s="103"/>
      <c r="AA38" s="49"/>
      <c r="AB38" s="49"/>
    </row>
    <row r="39" spans="1:28">
      <c r="A39" s="17"/>
      <c r="B39" s="17"/>
      <c r="C39" s="17"/>
      <c r="D39" s="17" t="s">
        <v>47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49"/>
      <c r="T39" s="17"/>
      <c r="U39" s="103"/>
      <c r="V39" s="103"/>
      <c r="W39" s="103"/>
      <c r="X39" s="103"/>
      <c r="Y39" s="103"/>
      <c r="AA39" s="49"/>
      <c r="AB39" s="49"/>
    </row>
    <row r="40" spans="1:27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04"/>
      <c r="R40" s="110"/>
      <c r="S40" s="104"/>
      <c r="T40" s="104"/>
      <c r="Z40" s="110"/>
      <c r="AA40" s="110"/>
    </row>
    <row r="41" spans="1:27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04"/>
      <c r="R41" s="110"/>
      <c r="S41" s="121"/>
      <c r="T41" s="121"/>
      <c r="Z41" s="23"/>
      <c r="AA41" s="23"/>
    </row>
    <row r="42" spans="1:17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  <c r="Q42" s="158"/>
    </row>
    <row r="43" spans="1:17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  <c r="Q43" s="158"/>
    </row>
    <row r="44" ht="13" spans="1:34">
      <c r="A44" s="52" t="s">
        <v>48</v>
      </c>
      <c r="B44" s="52"/>
      <c r="C44" s="53"/>
      <c r="D44" s="53"/>
      <c r="E44" s="53"/>
      <c r="F44" s="53"/>
      <c r="G44" s="53"/>
      <c r="H44" s="53"/>
      <c r="I44" s="53"/>
      <c r="P44" s="23"/>
      <c r="Q44" s="23"/>
      <c r="R44" s="51"/>
      <c r="AA44" s="69"/>
      <c r="AB44" s="138"/>
      <c r="AC44" s="138">
        <f>N6+N12</f>
        <v>1759.86</v>
      </c>
      <c r="AD44" s="138">
        <f>O6+O12</f>
        <v>1099.9125</v>
      </c>
      <c r="AE44" s="139"/>
      <c r="AF44" s="139" t="e">
        <f>AVERAGE(AB44:AB49)</f>
        <v>#DIV/0!</v>
      </c>
      <c r="AG44" s="139">
        <f>AVERAGE(AC44:AC49)</f>
        <v>1252.7064</v>
      </c>
      <c r="AH44" s="139">
        <f>AVERAGE(AD44:AD49)</f>
        <v>957.0915</v>
      </c>
    </row>
    <row r="45" ht="13" spans="1:34">
      <c r="A45" s="54" t="s">
        <v>49</v>
      </c>
      <c r="B45" s="54" t="s">
        <v>7</v>
      </c>
      <c r="C45" s="54" t="s">
        <v>50</v>
      </c>
      <c r="D45" s="54" t="s">
        <v>51</v>
      </c>
      <c r="E45" s="54" t="s">
        <v>52</v>
      </c>
      <c r="F45" s="54" t="s">
        <v>53</v>
      </c>
      <c r="G45" s="54" t="s">
        <v>54</v>
      </c>
      <c r="H45" s="54" t="s">
        <v>55</v>
      </c>
      <c r="I45" s="106"/>
      <c r="J45" s="107"/>
      <c r="P45" s="23"/>
      <c r="Q45" s="23"/>
      <c r="R45" s="51"/>
      <c r="AA45" s="69"/>
      <c r="AB45" s="138"/>
      <c r="AC45" s="138">
        <f>N8+N19</f>
        <v>935.352</v>
      </c>
      <c r="AD45" s="138">
        <f>O8+O19</f>
        <v>584.595</v>
      </c>
      <c r="AE45" s="139"/>
      <c r="AF45" s="139"/>
      <c r="AG45" s="139"/>
      <c r="AH45" s="139"/>
    </row>
    <row r="46" ht="25.75" spans="1:34">
      <c r="A46" s="55" t="s">
        <v>56</v>
      </c>
      <c r="B46" s="55" t="s">
        <v>57</v>
      </c>
      <c r="C46" s="55" t="s">
        <v>58</v>
      </c>
      <c r="D46" s="55" t="s">
        <v>59</v>
      </c>
      <c r="E46" s="55" t="s">
        <v>60</v>
      </c>
      <c r="F46" s="55" t="s">
        <v>61</v>
      </c>
      <c r="G46" s="55" t="s">
        <v>62</v>
      </c>
      <c r="H46" s="55" t="s">
        <v>63</v>
      </c>
      <c r="I46" s="108"/>
      <c r="J46" s="109"/>
      <c r="M46" s="104"/>
      <c r="N46" s="104"/>
      <c r="O46" s="110"/>
      <c r="P46" s="51"/>
      <c r="Q46" s="158"/>
      <c r="AA46" s="69"/>
      <c r="AB46" s="138"/>
      <c r="AC46" s="138">
        <f>N10+N16</f>
        <v>2322</v>
      </c>
      <c r="AD46" s="138">
        <f>O10+O16</f>
        <v>2322</v>
      </c>
      <c r="AE46" s="139"/>
      <c r="AF46" s="139"/>
      <c r="AG46" s="139"/>
      <c r="AH46" s="139"/>
    </row>
    <row r="47" ht="15.5" spans="1:34">
      <c r="A47" s="56" t="s">
        <v>64</v>
      </c>
      <c r="B47" s="57" t="s">
        <v>65</v>
      </c>
      <c r="C47" s="56" t="s">
        <v>66</v>
      </c>
      <c r="D47" s="58" t="s">
        <v>67</v>
      </c>
      <c r="E47" s="59" t="s">
        <v>68</v>
      </c>
      <c r="F47" s="58" t="s">
        <v>69</v>
      </c>
      <c r="G47" s="58" t="s">
        <v>70</v>
      </c>
      <c r="H47" s="60"/>
      <c r="I47" s="60"/>
      <c r="J47" s="111"/>
      <c r="K47" s="112"/>
      <c r="Z47" s="22"/>
      <c r="AA47" s="22"/>
      <c r="AB47" s="139"/>
      <c r="AC47" s="139"/>
      <c r="AD47" s="139"/>
      <c r="AE47" s="139"/>
      <c r="AF47" s="139"/>
      <c r="AG47" s="139"/>
      <c r="AH47" s="139"/>
    </row>
    <row r="48" ht="13" spans="1:34">
      <c r="A48" s="56"/>
      <c r="B48" s="57" t="s">
        <v>71</v>
      </c>
      <c r="C48" s="56" t="s">
        <v>72</v>
      </c>
      <c r="D48" s="58" t="s">
        <v>67</v>
      </c>
      <c r="E48" s="59" t="s">
        <v>68</v>
      </c>
      <c r="F48" s="58" t="s">
        <v>69</v>
      </c>
      <c r="G48" s="58" t="s">
        <v>70</v>
      </c>
      <c r="H48" s="57"/>
      <c r="I48" s="57"/>
      <c r="J48" s="113"/>
      <c r="K48" s="22"/>
      <c r="M48" s="104"/>
      <c r="AA48" s="69"/>
      <c r="AB48" s="140"/>
      <c r="AC48" s="140">
        <v>655.56</v>
      </c>
      <c r="AD48" s="140">
        <v>409.725</v>
      </c>
      <c r="AE48" s="139"/>
      <c r="AF48" s="139"/>
      <c r="AG48" s="139"/>
      <c r="AH48" s="139"/>
    </row>
    <row r="49" ht="18" spans="1:34">
      <c r="A49" s="56"/>
      <c r="B49" s="57" t="s">
        <v>73</v>
      </c>
      <c r="C49" s="57" t="s">
        <v>74</v>
      </c>
      <c r="D49" s="58" t="s">
        <v>67</v>
      </c>
      <c r="E49" s="59" t="s">
        <v>68</v>
      </c>
      <c r="F49" s="58" t="s">
        <v>69</v>
      </c>
      <c r="G49" s="58" t="s">
        <v>70</v>
      </c>
      <c r="H49" s="57"/>
      <c r="I49" s="57"/>
      <c r="J49" s="113"/>
      <c r="K49" s="22"/>
      <c r="M49" s="104"/>
      <c r="N49" s="114"/>
      <c r="O49" s="110"/>
      <c r="P49" s="51"/>
      <c r="Q49" s="158"/>
      <c r="AA49" s="141"/>
      <c r="AB49" s="140"/>
      <c r="AC49" s="140">
        <v>590.759999999998</v>
      </c>
      <c r="AD49" s="140">
        <v>369.224999999998</v>
      </c>
      <c r="AE49" s="139"/>
      <c r="AF49" s="139"/>
      <c r="AG49" s="139"/>
      <c r="AH49" s="139"/>
    </row>
    <row r="50" ht="15.5" spans="1:29">
      <c r="A50" s="56"/>
      <c r="B50" s="61" t="s">
        <v>75</v>
      </c>
      <c r="C50" s="61" t="s">
        <v>76</v>
      </c>
      <c r="D50" s="62" t="s">
        <v>67</v>
      </c>
      <c r="E50" s="59" t="s">
        <v>68</v>
      </c>
      <c r="F50" s="62" t="s">
        <v>69</v>
      </c>
      <c r="G50" s="58" t="s">
        <v>70</v>
      </c>
      <c r="H50" s="61"/>
      <c r="I50" s="61"/>
      <c r="J50" s="85"/>
      <c r="K50" s="32"/>
      <c r="M50" s="104"/>
      <c r="N50" s="114"/>
      <c r="O50" s="110"/>
      <c r="P50" s="51"/>
      <c r="Q50" s="158"/>
      <c r="AA50" s="115"/>
      <c r="AB50" s="115"/>
      <c r="AC50" s="115"/>
    </row>
    <row r="51" ht="14.5" spans="1:29">
      <c r="A51" s="56"/>
      <c r="B51" s="61" t="s">
        <v>77</v>
      </c>
      <c r="C51" s="61" t="s">
        <v>78</v>
      </c>
      <c r="D51" s="62" t="s">
        <v>67</v>
      </c>
      <c r="E51" s="59" t="s">
        <v>68</v>
      </c>
      <c r="F51" s="62" t="s">
        <v>69</v>
      </c>
      <c r="G51" s="58" t="s">
        <v>70</v>
      </c>
      <c r="H51" s="61"/>
      <c r="I51" s="61"/>
      <c r="J51" s="85"/>
      <c r="K51" s="32"/>
      <c r="M51" s="104"/>
      <c r="N51" s="114"/>
      <c r="O51" s="110"/>
      <c r="P51" s="51"/>
      <c r="Q51" s="158"/>
      <c r="AA51" s="115"/>
      <c r="AB51" s="115"/>
      <c r="AC51" s="115"/>
    </row>
    <row r="52" ht="14.5" spans="1:29">
      <c r="A52" s="56"/>
      <c r="B52" s="63" t="s">
        <v>79</v>
      </c>
      <c r="C52" s="63" t="s">
        <v>80</v>
      </c>
      <c r="D52" s="64" t="s">
        <v>67</v>
      </c>
      <c r="E52" s="59" t="s">
        <v>68</v>
      </c>
      <c r="F52" s="64" t="s">
        <v>69</v>
      </c>
      <c r="G52" s="58" t="s">
        <v>70</v>
      </c>
      <c r="H52" s="63"/>
      <c r="I52" s="61"/>
      <c r="J52" s="85"/>
      <c r="K52" s="32"/>
      <c r="M52" s="104"/>
      <c r="N52" s="114"/>
      <c r="O52" s="110"/>
      <c r="P52" s="51"/>
      <c r="Q52" s="158"/>
      <c r="AA52" s="115"/>
      <c r="AB52" s="115"/>
      <c r="AC52" s="115"/>
    </row>
    <row r="53" ht="14.5" spans="1:28">
      <c r="A53" s="65" t="s">
        <v>81</v>
      </c>
      <c r="B53" s="57" t="s">
        <v>82</v>
      </c>
      <c r="C53" s="56" t="s">
        <v>83</v>
      </c>
      <c r="D53" s="58" t="s">
        <v>67</v>
      </c>
      <c r="E53" s="59" t="s">
        <v>68</v>
      </c>
      <c r="F53" s="58" t="s">
        <v>84</v>
      </c>
      <c r="G53" s="58" t="s">
        <v>70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</row>
    <row r="54" ht="14.5" spans="1:32">
      <c r="A54" s="65" t="s">
        <v>81</v>
      </c>
      <c r="B54" s="57" t="s">
        <v>85</v>
      </c>
      <c r="C54" s="57" t="s">
        <v>86</v>
      </c>
      <c r="D54" s="58" t="s">
        <v>67</v>
      </c>
      <c r="E54" s="59" t="s">
        <v>68</v>
      </c>
      <c r="F54" s="58" t="s">
        <v>84</v>
      </c>
      <c r="G54" s="58" t="s">
        <v>70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F54" s="115"/>
    </row>
    <row r="55" ht="14.5" spans="1:32">
      <c r="A55" s="65" t="s">
        <v>81</v>
      </c>
      <c r="B55" s="61" t="s">
        <v>87</v>
      </c>
      <c r="C55" s="61" t="s">
        <v>88</v>
      </c>
      <c r="D55" s="62" t="s">
        <v>67</v>
      </c>
      <c r="E55" s="59" t="s">
        <v>68</v>
      </c>
      <c r="F55" s="58" t="s">
        <v>84</v>
      </c>
      <c r="G55" s="58" t="s">
        <v>70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F55" s="115"/>
    </row>
    <row r="56" ht="14.5" spans="1:32">
      <c r="A56" s="65" t="s">
        <v>81</v>
      </c>
      <c r="B56" s="63" t="s">
        <v>89</v>
      </c>
      <c r="C56" s="63" t="s">
        <v>90</v>
      </c>
      <c r="D56" s="64" t="s">
        <v>67</v>
      </c>
      <c r="E56" s="59" t="s">
        <v>68</v>
      </c>
      <c r="F56" s="58" t="s">
        <v>84</v>
      </c>
      <c r="G56" s="58" t="s">
        <v>70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F56" s="115"/>
    </row>
    <row r="57" ht="14.5" spans="1:32">
      <c r="A57" s="56" t="s">
        <v>91</v>
      </c>
      <c r="B57" s="57" t="str">
        <f t="shared" ref="B57:B66" si="27">"P_"&amp;B47</f>
        <v>P_ESTCAESS101_4h</v>
      </c>
      <c r="C57" s="56" t="str">
        <f t="shared" ref="C57:C66" si="28">C47&amp;" (accompanying tech to represent power)"</f>
        <v>Diabatic CAES ELC Storage: DayNite---Compressed Air Energy Storage (accompanying tech to represent power)</v>
      </c>
      <c r="D57" s="58" t="s">
        <v>67</v>
      </c>
      <c r="E57" s="57" t="s">
        <v>68</v>
      </c>
      <c r="F57" s="58" t="s">
        <v>69</v>
      </c>
      <c r="G57" s="58" t="s">
        <v>70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F57" s="115"/>
    </row>
    <row r="58" ht="14.5" spans="1:32">
      <c r="A58" s="56" t="s">
        <v>91</v>
      </c>
      <c r="B58" s="57" t="str">
        <f t="shared" si="27"/>
        <v>P_ESTCAESS102_4h</v>
      </c>
      <c r="C58" s="56" t="str">
        <f t="shared" si="28"/>
        <v>Adiabatic CAES ELC Storage: DayNite (accompanying tech to represent power)</v>
      </c>
      <c r="D58" s="58" t="s">
        <v>67</v>
      </c>
      <c r="E58" s="57" t="s">
        <v>68</v>
      </c>
      <c r="F58" s="58" t="s">
        <v>69</v>
      </c>
      <c r="G58" s="58" t="s">
        <v>70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F58" s="115"/>
    </row>
    <row r="59" ht="14.5" spans="1:32">
      <c r="A59" s="56" t="s">
        <v>91</v>
      </c>
      <c r="B59" s="61" t="str">
        <f t="shared" si="27"/>
        <v>P_ESTHYDPS101_4h</v>
      </c>
      <c r="C59" s="66" t="str">
        <f t="shared" si="28"/>
        <v>Pumped Hydro ELC Storage: DayNite (accompanying tech to represent power)</v>
      </c>
      <c r="D59" s="62" t="s">
        <v>67</v>
      </c>
      <c r="E59" s="61" t="s">
        <v>68</v>
      </c>
      <c r="F59" s="62" t="s">
        <v>69</v>
      </c>
      <c r="G59" s="58" t="s">
        <v>70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F59" s="115"/>
    </row>
    <row r="60" ht="14.5" spans="1:32">
      <c r="A60" s="56" t="s">
        <v>91</v>
      </c>
      <c r="B60" s="67" t="str">
        <f t="shared" si="27"/>
        <v>P_ESTBATS101_4h</v>
      </c>
      <c r="C60" s="67" t="str">
        <f t="shared" si="28"/>
        <v>Battery (Lead-acid) Bulk ELC Storage: DayNite (accompanying tech to represent power)</v>
      </c>
      <c r="D60" s="62" t="s">
        <v>67</v>
      </c>
      <c r="E60" s="61" t="s">
        <v>68</v>
      </c>
      <c r="F60" s="62" t="s">
        <v>69</v>
      </c>
      <c r="G60" s="58" t="s">
        <v>70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F60" s="115"/>
    </row>
    <row r="61" ht="14.5" spans="1:32">
      <c r="A61" s="56" t="s">
        <v>91</v>
      </c>
      <c r="B61" s="67" t="str">
        <f t="shared" si="27"/>
        <v>P_ESTBATS102_4h</v>
      </c>
      <c r="C61" s="67" t="str">
        <f t="shared" si="28"/>
        <v>Battery (Li-ion) Bulk ELC Storage: DayNite: 4hour duration (accompanying tech to represent power)</v>
      </c>
      <c r="D61" s="62" t="s">
        <v>67</v>
      </c>
      <c r="E61" s="61" t="s">
        <v>68</v>
      </c>
      <c r="F61" s="62" t="s">
        <v>69</v>
      </c>
      <c r="G61" s="58" t="s">
        <v>70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F61" s="115"/>
    </row>
    <row r="62" ht="14.5" spans="1:32">
      <c r="A62" s="56" t="s">
        <v>91</v>
      </c>
      <c r="B62" s="67" t="str">
        <f t="shared" si="27"/>
        <v>P_ESTBATS103_4h</v>
      </c>
      <c r="C62" s="67" t="str">
        <f t="shared" si="28"/>
        <v>Battery (NaS) Bulk ELC Storage: DayNite (accompanying tech to represent power)</v>
      </c>
      <c r="D62" s="62" t="s">
        <v>67</v>
      </c>
      <c r="E62" s="61" t="s">
        <v>68</v>
      </c>
      <c r="F62" s="62" t="s">
        <v>69</v>
      </c>
      <c r="G62" s="58" t="s">
        <v>70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F62" s="115"/>
    </row>
    <row r="63" ht="14.5" spans="1:32">
      <c r="A63" s="56" t="s">
        <v>91</v>
      </c>
      <c r="B63" s="57" t="str">
        <f t="shared" si="27"/>
        <v>P_ESTCAESS201</v>
      </c>
      <c r="C63" s="56" t="str">
        <f t="shared" si="28"/>
        <v>Diabatic CAES ELC Storage: DayNite/Seasonal (accompanying tech to represent power)</v>
      </c>
      <c r="D63" s="58" t="s">
        <v>67</v>
      </c>
      <c r="E63" s="57" t="s">
        <v>68</v>
      </c>
      <c r="F63" s="58" t="s">
        <v>84</v>
      </c>
      <c r="G63" s="58" t="s">
        <v>70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F63" s="115"/>
    </row>
    <row r="64" ht="14.5" spans="1:32">
      <c r="A64" s="56" t="s">
        <v>91</v>
      </c>
      <c r="B64" s="61" t="str">
        <f t="shared" si="27"/>
        <v>P_ESTHYDPS201</v>
      </c>
      <c r="C64" s="66" t="str">
        <f t="shared" si="28"/>
        <v>Pumped Hydro ELC Storage: DayNite/Seasonal (accompanying tech to represent power)</v>
      </c>
      <c r="D64" s="62" t="s">
        <v>67</v>
      </c>
      <c r="E64" s="61" t="s">
        <v>68</v>
      </c>
      <c r="F64" s="58" t="s">
        <v>84</v>
      </c>
      <c r="G64" s="58" t="s">
        <v>70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F64" s="115"/>
    </row>
    <row r="65" ht="14.5" spans="1:32">
      <c r="A65" s="56" t="s">
        <v>91</v>
      </c>
      <c r="B65" s="67" t="str">
        <f t="shared" si="27"/>
        <v>P_ESTBATS201</v>
      </c>
      <c r="C65" s="67" t="str">
        <f t="shared" si="28"/>
        <v>Battery (Lead-acid) Bulk ELC Storage: DayNite/Seasonal (accompanying tech to represent power)</v>
      </c>
      <c r="D65" s="62" t="s">
        <v>67</v>
      </c>
      <c r="E65" s="61" t="s">
        <v>68</v>
      </c>
      <c r="F65" s="58" t="s">
        <v>84</v>
      </c>
      <c r="G65" s="58" t="s">
        <v>70</v>
      </c>
      <c r="H65" s="61"/>
      <c r="I65" s="61"/>
      <c r="J65" s="85"/>
      <c r="AC65" s="115"/>
      <c r="AF65" s="115"/>
    </row>
    <row r="66" ht="14.5" spans="1:32">
      <c r="A66" s="56" t="s">
        <v>91</v>
      </c>
      <c r="B66" s="142" t="str">
        <f t="shared" si="27"/>
        <v>P_ESTBATS202</v>
      </c>
      <c r="C66" s="142" t="str">
        <f t="shared" si="28"/>
        <v>Battery (Li-ion) Bulk ELC Storage: DayNite/Seasonal (accompanying tech to represent power)</v>
      </c>
      <c r="D66" s="64" t="s">
        <v>67</v>
      </c>
      <c r="E66" s="63" t="s">
        <v>68</v>
      </c>
      <c r="F66" s="58" t="s">
        <v>84</v>
      </c>
      <c r="G66" s="58" t="s">
        <v>70</v>
      </c>
      <c r="H66" s="63"/>
      <c r="I66" s="61"/>
      <c r="J66" s="85"/>
      <c r="AC66" s="115"/>
      <c r="AF66" s="115"/>
    </row>
    <row r="67" ht="14.5" spans="1:29">
      <c r="A67" s="143" t="s">
        <v>91</v>
      </c>
      <c r="B67" s="143" t="s">
        <v>92</v>
      </c>
      <c r="C67" s="143" t="s">
        <v>93</v>
      </c>
      <c r="D67" s="144" t="s">
        <v>67</v>
      </c>
      <c r="E67" s="143" t="s">
        <v>94</v>
      </c>
      <c r="F67" s="144" t="s">
        <v>69</v>
      </c>
      <c r="G67" s="58" t="s">
        <v>70</v>
      </c>
      <c r="H67" s="145"/>
      <c r="I67" s="150"/>
      <c r="J67" s="153"/>
      <c r="AC67" s="115"/>
    </row>
    <row r="68" ht="14.5" spans="1:29">
      <c r="A68" s="61" t="s">
        <v>95</v>
      </c>
      <c r="B68" s="53" t="s">
        <v>96</v>
      </c>
      <c r="C68" s="53" t="s">
        <v>97</v>
      </c>
      <c r="D68" s="62" t="s">
        <v>67</v>
      </c>
      <c r="E68" s="53"/>
      <c r="F68" s="62" t="s">
        <v>69</v>
      </c>
      <c r="G68" s="58" t="s">
        <v>70</v>
      </c>
      <c r="H68" s="53"/>
      <c r="I68" s="53"/>
      <c r="AC68" s="115"/>
    </row>
    <row r="69" ht="14.5" spans="1:29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C69" s="115"/>
    </row>
    <row r="70" ht="14.5" spans="1:29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C70" s="115"/>
    </row>
    <row r="71" ht="14.5" spans="1:29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C71" s="115"/>
    </row>
    <row r="72" ht="14.5" spans="1:29">
      <c r="A72" s="52" t="s">
        <v>98</v>
      </c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C72" s="115"/>
    </row>
    <row r="73" ht="14.5" spans="1:29">
      <c r="A73" s="147" t="s">
        <v>99</v>
      </c>
      <c r="B73" s="147" t="s">
        <v>100</v>
      </c>
      <c r="C73" s="147" t="s">
        <v>101</v>
      </c>
      <c r="D73" s="148" t="s">
        <v>102</v>
      </c>
      <c r="E73" s="148" t="s">
        <v>103</v>
      </c>
      <c r="F73" s="148" t="s">
        <v>104</v>
      </c>
      <c r="G73" s="148" t="s">
        <v>105</v>
      </c>
      <c r="H73" s="148" t="s">
        <v>106</v>
      </c>
      <c r="I73" s="155"/>
      <c r="J73" s="156"/>
      <c r="K73" s="22"/>
      <c r="AC73" s="115"/>
    </row>
    <row r="74" ht="25.75" spans="1:29">
      <c r="A74" s="149" t="s">
        <v>107</v>
      </c>
      <c r="B74" s="149" t="s">
        <v>108</v>
      </c>
      <c r="C74" s="149" t="s">
        <v>109</v>
      </c>
      <c r="D74" s="149" t="s">
        <v>102</v>
      </c>
      <c r="E74" s="149" t="s">
        <v>110</v>
      </c>
      <c r="F74" s="149" t="s">
        <v>111</v>
      </c>
      <c r="G74" s="149" t="s">
        <v>112</v>
      </c>
      <c r="H74" s="149" t="s">
        <v>113</v>
      </c>
      <c r="I74" s="108"/>
      <c r="J74" s="109"/>
      <c r="K74" s="22"/>
      <c r="N74" s="22"/>
      <c r="O74" s="22"/>
      <c r="P74" s="22"/>
      <c r="Q74" s="22"/>
      <c r="R74" s="2"/>
      <c r="S74" s="22"/>
      <c r="AC74" s="115"/>
    </row>
    <row r="75" ht="14.5" spans="1:29">
      <c r="A75" s="57" t="s">
        <v>114</v>
      </c>
      <c r="B75" s="57" t="str">
        <f t="shared" ref="B75:B84" si="29">"AUX_"&amp;B47</f>
        <v>AUX_ESTCAESS101_4h</v>
      </c>
      <c r="C75" s="57" t="str">
        <f t="shared" ref="C75:C84" si="30">"Auxiliary input for "&amp;C47</f>
        <v>Auxiliary input for Diabatic CAES ELC Storage: DayNite---Compressed Air Energy Storage</v>
      </c>
      <c r="D75" s="57" t="s">
        <v>67</v>
      </c>
      <c r="E75" s="61" t="s">
        <v>115</v>
      </c>
      <c r="F75" s="57" t="s">
        <v>69</v>
      </c>
      <c r="G75" s="57"/>
      <c r="H75" s="57"/>
      <c r="I75" s="57"/>
      <c r="J75" s="113"/>
      <c r="K75" s="22"/>
      <c r="N75" s="22"/>
      <c r="O75" s="22"/>
      <c r="P75" s="22"/>
      <c r="Q75" s="22"/>
      <c r="R75" s="2"/>
      <c r="S75" s="22"/>
      <c r="AC75" s="115"/>
    </row>
    <row r="76" ht="14.5" spans="1:29">
      <c r="A76" s="57"/>
      <c r="B76" s="57" t="str">
        <f t="shared" si="29"/>
        <v>AUX_ESTCAESS102_4h</v>
      </c>
      <c r="C76" s="57" t="str">
        <f t="shared" si="30"/>
        <v>Auxiliary input for Adiabatic CAES ELC Storage: DayNite</v>
      </c>
      <c r="D76" s="57" t="s">
        <v>67</v>
      </c>
      <c r="E76" s="61" t="s">
        <v>115</v>
      </c>
      <c r="F76" s="57" t="s">
        <v>69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S76" s="2"/>
      <c r="AC76" s="115"/>
    </row>
    <row r="77" ht="14.5" spans="1:29">
      <c r="A77" s="57"/>
      <c r="B77" s="57" t="str">
        <f t="shared" si="29"/>
        <v>AUX_ESTHYDPS101_4h</v>
      </c>
      <c r="C77" s="57" t="str">
        <f t="shared" si="30"/>
        <v>Auxiliary input for Pumped Hydro ELC Storage: DayNite</v>
      </c>
      <c r="D77" s="57" t="s">
        <v>67</v>
      </c>
      <c r="E77" s="61" t="s">
        <v>115</v>
      </c>
      <c r="F77" s="57" t="s">
        <v>69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S77" s="2"/>
      <c r="AC77" s="115"/>
    </row>
    <row r="78" ht="14.5" spans="1:29">
      <c r="A78" s="57"/>
      <c r="B78" s="57" t="str">
        <f t="shared" si="29"/>
        <v>AUX_ESTBATS101_4h</v>
      </c>
      <c r="C78" s="57" t="str">
        <f t="shared" si="30"/>
        <v>Auxiliary input for Battery (Lead-acid) Bulk ELC Storage: DayNite</v>
      </c>
      <c r="D78" s="57" t="s">
        <v>67</v>
      </c>
      <c r="E78" s="61" t="s">
        <v>115</v>
      </c>
      <c r="F78" s="57" t="s">
        <v>69</v>
      </c>
      <c r="G78" s="57"/>
      <c r="H78" s="57"/>
      <c r="I78" s="57"/>
      <c r="J78" s="113"/>
      <c r="N78" s="2"/>
      <c r="O78" s="2"/>
      <c r="P78" s="2"/>
      <c r="Q78" s="2"/>
      <c r="R78" s="2"/>
      <c r="S78" s="2"/>
      <c r="AC78" s="115"/>
    </row>
    <row r="79" ht="14.5" spans="1:29">
      <c r="A79" s="57"/>
      <c r="B79" s="57" t="str">
        <f t="shared" si="29"/>
        <v>AUX_ESTBATS102_4h</v>
      </c>
      <c r="C79" s="57" t="str">
        <f t="shared" si="30"/>
        <v>Auxiliary input for Battery (Li-ion) Bulk ELC Storage: DayNite: 4hour duration</v>
      </c>
      <c r="D79" s="57" t="s">
        <v>67</v>
      </c>
      <c r="E79" s="61" t="s">
        <v>115</v>
      </c>
      <c r="F79" s="57" t="s">
        <v>69</v>
      </c>
      <c r="G79" s="57"/>
      <c r="H79" s="57"/>
      <c r="I79" s="57"/>
      <c r="J79" s="113"/>
      <c r="N79" s="2"/>
      <c r="O79" s="2"/>
      <c r="P79" s="2"/>
      <c r="Q79" s="2"/>
      <c r="R79" s="2"/>
      <c r="S79" s="2"/>
      <c r="AC79" s="115"/>
    </row>
    <row r="80" ht="14.5" spans="1:29">
      <c r="A80" s="57"/>
      <c r="B80" s="57" t="str">
        <f t="shared" si="29"/>
        <v>AUX_ESTBATS103_4h</v>
      </c>
      <c r="C80" s="57" t="str">
        <f t="shared" si="30"/>
        <v>Auxiliary input for Battery (NaS) Bulk ELC Storage: DayNite</v>
      </c>
      <c r="D80" s="57" t="s">
        <v>67</v>
      </c>
      <c r="E80" s="61" t="s">
        <v>115</v>
      </c>
      <c r="F80" s="57" t="s">
        <v>69</v>
      </c>
      <c r="G80" s="57"/>
      <c r="H80" s="57"/>
      <c r="I80" s="57"/>
      <c r="J80" s="113"/>
      <c r="N80" s="22"/>
      <c r="O80" s="22"/>
      <c r="P80" s="22"/>
      <c r="Q80" s="22"/>
      <c r="R80" s="2"/>
      <c r="S80" s="22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</row>
    <row r="81" ht="14.5" spans="1:29">
      <c r="A81" s="57"/>
      <c r="B81" s="57" t="str">
        <f t="shared" si="29"/>
        <v>AUX_ESTCAESS201</v>
      </c>
      <c r="C81" s="57" t="str">
        <f t="shared" si="30"/>
        <v>Auxiliary input for Diabatic CAES ELC Storage: DayNite/Seasonal</v>
      </c>
      <c r="D81" s="57" t="s">
        <v>67</v>
      </c>
      <c r="E81" s="61" t="s">
        <v>115</v>
      </c>
      <c r="F81" s="57" t="s">
        <v>69</v>
      </c>
      <c r="G81" s="57"/>
      <c r="H81" s="57"/>
      <c r="I81" s="57"/>
      <c r="J81" s="113"/>
      <c r="N81" s="22"/>
      <c r="O81" s="22"/>
      <c r="P81" s="22"/>
      <c r="Q81" s="22"/>
      <c r="R81" s="2"/>
      <c r="S81" s="22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</row>
    <row r="82" ht="14.5" spans="1:26">
      <c r="A82" s="57"/>
      <c r="B82" s="57" t="str">
        <f t="shared" si="29"/>
        <v>AUX_ESTHYDPS201</v>
      </c>
      <c r="C82" s="57" t="str">
        <f t="shared" si="30"/>
        <v>Auxiliary input for Pumped Hydro ELC Storage: DayNite/Seasonal</v>
      </c>
      <c r="D82" s="57" t="s">
        <v>67</v>
      </c>
      <c r="E82" s="61" t="s">
        <v>115</v>
      </c>
      <c r="F82" s="57" t="s">
        <v>69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ht="14.5" spans="1:26">
      <c r="A83" s="57"/>
      <c r="B83" s="57" t="str">
        <f t="shared" si="29"/>
        <v>AUX_ESTBATS201</v>
      </c>
      <c r="C83" s="57" t="str">
        <f t="shared" si="30"/>
        <v>Auxiliary input for Battery (Lead-acid) Bulk ELC Storage: DayNite/Seasonal</v>
      </c>
      <c r="D83" s="57" t="s">
        <v>67</v>
      </c>
      <c r="E83" s="61" t="s">
        <v>115</v>
      </c>
      <c r="F83" s="57" t="s">
        <v>69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ht="14.5" spans="1:26">
      <c r="A84" s="57"/>
      <c r="B84" s="61" t="str">
        <f t="shared" si="29"/>
        <v>AUX_ESTBATS202</v>
      </c>
      <c r="C84" s="61" t="str">
        <f t="shared" si="30"/>
        <v>Auxiliary input for Battery (Li-ion) Bulk ELC Storage: DayNite/Seasonal</v>
      </c>
      <c r="D84" s="61" t="s">
        <v>67</v>
      </c>
      <c r="E84" s="61" t="s">
        <v>115</v>
      </c>
      <c r="F84" s="61" t="s">
        <v>69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ht="14.5" spans="1:26">
      <c r="A85" s="150" t="s">
        <v>70</v>
      </c>
      <c r="B85" s="61" t="s">
        <v>116</v>
      </c>
      <c r="C85" s="61" t="s">
        <v>117</v>
      </c>
      <c r="D85" s="61" t="s">
        <v>67</v>
      </c>
      <c r="E85" s="61" t="s">
        <v>115</v>
      </c>
      <c r="F85" s="61" t="s">
        <v>69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ht="14.5" spans="1:17">
      <c r="A86" s="150" t="s">
        <v>70</v>
      </c>
      <c r="B86" s="151" t="s">
        <v>118</v>
      </c>
      <c r="C86" s="151" t="s">
        <v>119</v>
      </c>
      <c r="D86" s="151" t="s">
        <v>67</v>
      </c>
      <c r="E86" s="152"/>
      <c r="F86" s="151" t="s">
        <v>69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  <c r="Q86" s="115"/>
    </row>
    <row r="87" spans="1:6">
      <c r="A87" s="150" t="s">
        <v>70</v>
      </c>
      <c r="B87" s="44" t="s">
        <v>44</v>
      </c>
      <c r="D87" s="151" t="s">
        <v>67</v>
      </c>
      <c r="F87" s="151" t="s">
        <v>69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6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="5" customFormat="1" ht="1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="6" customFormat="1" spans="1:26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="6" customFormat="1" spans="1:26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2" spans="14:26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" spans="14:26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3:26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" spans="1:26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zoomScale="70" zoomScaleNormal="70" topLeftCell="J85" workbookViewId="0">
      <selection activeCell="B108" sqref="B108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2</v>
      </c>
      <c r="S1" s="1" t="s">
        <v>3</v>
      </c>
    </row>
    <row r="2" ht="15.5" spans="1:16">
      <c r="A2" s="10"/>
      <c r="G2" s="7" t="s">
        <v>4</v>
      </c>
      <c r="P2" s="1" t="s">
        <v>5</v>
      </c>
    </row>
    <row r="3" ht="13" spans="5:27">
      <c r="E3" s="11"/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24</v>
      </c>
      <c r="R4" s="14" t="s">
        <v>25</v>
      </c>
      <c r="S4" s="14" t="s">
        <v>26</v>
      </c>
      <c r="T4" s="14" t="s">
        <v>27</v>
      </c>
      <c r="U4" s="116" t="s">
        <v>28</v>
      </c>
      <c r="V4" s="116" t="s">
        <v>29</v>
      </c>
      <c r="W4" s="116" t="s">
        <v>30</v>
      </c>
      <c r="Y4" s="136"/>
      <c r="Z4" s="137"/>
      <c r="AA4" s="137"/>
    </row>
    <row r="5" ht="38.25" spans="1:27">
      <c r="A5" s="15" t="s">
        <v>31</v>
      </c>
      <c r="B5" s="15" t="s">
        <v>32</v>
      </c>
      <c r="C5" s="15" t="s">
        <v>33</v>
      </c>
      <c r="D5" s="15" t="s">
        <v>34</v>
      </c>
      <c r="E5" s="15" t="s">
        <v>35</v>
      </c>
      <c r="F5" s="16"/>
      <c r="G5" s="16" t="s">
        <v>36</v>
      </c>
      <c r="H5" s="16" t="s">
        <v>37</v>
      </c>
      <c r="I5" s="16"/>
      <c r="J5" s="71"/>
      <c r="K5" s="16"/>
      <c r="L5" s="16"/>
      <c r="M5" s="16" t="s">
        <v>38</v>
      </c>
      <c r="N5" s="16" t="s">
        <v>38</v>
      </c>
      <c r="O5" s="16" t="s">
        <v>38</v>
      </c>
      <c r="P5" s="16" t="s">
        <v>38</v>
      </c>
      <c r="Q5" s="16" t="s">
        <v>39</v>
      </c>
      <c r="R5" s="16"/>
      <c r="S5" s="16" t="s">
        <v>40</v>
      </c>
      <c r="T5" s="16" t="s">
        <v>41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42</v>
      </c>
      <c r="C6" s="17"/>
      <c r="D6" s="17" t="s">
        <v>42</v>
      </c>
      <c r="E6" s="17"/>
      <c r="F6" s="18">
        <v>2021</v>
      </c>
      <c r="G6" s="19">
        <v>60</v>
      </c>
      <c r="H6" s="20">
        <v>0.52</v>
      </c>
      <c r="I6" s="20">
        <f t="shared" ref="I6:I10" si="0">H6</f>
        <v>0.52</v>
      </c>
      <c r="J6" s="72">
        <v>5</v>
      </c>
      <c r="K6" s="72"/>
      <c r="L6" s="72"/>
      <c r="M6" s="73">
        <f>1181*1.35*45/(45+763)</f>
        <v>88.794245049505</v>
      </c>
      <c r="N6" s="73">
        <f>M6*0.4</f>
        <v>35.517698019802</v>
      </c>
      <c r="O6" s="73">
        <f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 t="shared" ref="AC6:AG6" si="1">M6*1.45</f>
        <v>128.751655321782</v>
      </c>
      <c r="AE6" s="7">
        <f t="shared" si="1"/>
        <v>32.1879138304455</v>
      </c>
      <c r="AF6" s="7">
        <f t="shared" si="1"/>
        <v>0.0968832</v>
      </c>
      <c r="AG6" s="7">
        <f t="shared" si="1"/>
        <v>0</v>
      </c>
    </row>
    <row r="7" spans="1:33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15" si="4">Q7*1.45</f>
        <v>0</v>
      </c>
    </row>
    <row r="8" spans="1:33">
      <c r="A8" s="22" t="str">
        <f>B48</f>
        <v>ESTCAESS102_4h</v>
      </c>
      <c r="B8" s="22" t="s">
        <v>42</v>
      </c>
      <c r="C8" s="22"/>
      <c r="D8" s="22" t="s">
        <v>42</v>
      </c>
      <c r="E8" s="22"/>
      <c r="F8" s="18">
        <v>2021</v>
      </c>
      <c r="G8" s="23">
        <v>60</v>
      </c>
      <c r="H8" s="24">
        <v>0.52</v>
      </c>
      <c r="I8" s="24">
        <f t="shared" si="0"/>
        <v>0.52</v>
      </c>
      <c r="J8" s="75">
        <v>5</v>
      </c>
      <c r="K8" s="76"/>
      <c r="L8" s="76"/>
      <c r="M8" s="77">
        <f>M6*66/45</f>
        <v>130.231559405941</v>
      </c>
      <c r="N8" s="73">
        <f>M8*0.4</f>
        <v>52.0926237623762</v>
      </c>
      <c r="O8" s="73">
        <f>M8*0.25</f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 t="shared" ref="AC8:AG8" si="5">M8*1.45</f>
        <v>188.835761138614</v>
      </c>
      <c r="AE8" s="7">
        <f t="shared" si="5"/>
        <v>47.2089402846535</v>
      </c>
      <c r="AF8" s="7">
        <f t="shared" si="5"/>
        <v>0.0968832</v>
      </c>
      <c r="AG8" s="7">
        <f t="shared" si="5"/>
        <v>0</v>
      </c>
    </row>
    <row r="9" spans="1:33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4"/>
        <v>0</v>
      </c>
    </row>
    <row r="10" spans="1:33">
      <c r="A10" s="17" t="str">
        <f>B49</f>
        <v>ESTHYDPS101_4h</v>
      </c>
      <c r="B10" s="17" t="s">
        <v>42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 t="shared" si="0"/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6">M10*1.45</f>
        <v>453.605123339658</v>
      </c>
      <c r="AE10" s="7">
        <f t="shared" ref="AE10:AE14" si="7">O10*1.45</f>
        <v>453.605123339658</v>
      </c>
      <c r="AG10" s="7">
        <f t="shared" si="4"/>
        <v>0</v>
      </c>
    </row>
    <row r="11" spans="1:33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4"/>
        <v>0</v>
      </c>
    </row>
    <row r="12" spans="1:33">
      <c r="A12" s="22" t="str">
        <f>B50</f>
        <v>ESTBATS101_4h</v>
      </c>
      <c r="B12" s="22" t="s">
        <v>42</v>
      </c>
      <c r="C12" s="22"/>
      <c r="D12" s="22" t="s">
        <v>42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6"/>
        <v>1499.55296081277</v>
      </c>
      <c r="AE12" s="7">
        <f t="shared" si="7"/>
        <v>374.888240203193</v>
      </c>
      <c r="AG12" s="7">
        <f t="shared" si="4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4"/>
        <v>0</v>
      </c>
    </row>
    <row r="14" s="1" customFormat="1" spans="1:33">
      <c r="A14" s="27" t="str">
        <f>B51</f>
        <v>ESTBATS102_4h</v>
      </c>
      <c r="B14" s="27" t="s">
        <v>42</v>
      </c>
      <c r="C14" s="27"/>
      <c r="D14" s="27" t="s">
        <v>42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9" si="8">M14*0.4</f>
        <v>706.814579439252</v>
      </c>
      <c r="O14" s="80">
        <f t="shared" ref="O14:O19" si="9">M14*0.25</f>
        <v>441.759112149533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6"/>
        <v>2562.20285046729</v>
      </c>
      <c r="AD14" s="1">
        <f>N14*1.45</f>
        <v>1024.88114018692</v>
      </c>
      <c r="AE14" s="1">
        <f t="shared" si="7"/>
        <v>640.550712616822</v>
      </c>
      <c r="AG14" s="1">
        <f t="shared" si="4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4"/>
        <v>0</v>
      </c>
    </row>
    <row r="16" spans="1:27">
      <c r="A16" s="22" t="s">
        <v>43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43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2" si="10">B57</f>
        <v>P_ESTCAESS101_4h</v>
      </c>
      <c r="B18" s="29" t="s">
        <v>44</v>
      </c>
      <c r="C18" s="29"/>
      <c r="D18" s="29" t="str">
        <f t="shared" ref="D18:D23" si="11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si="8"/>
        <v>602.222301980198</v>
      </c>
      <c r="O18" s="77">
        <f t="shared" si="9"/>
        <v>376.388938737624</v>
      </c>
      <c r="P18" s="84">
        <f>16.11*1.35-0.01</f>
        <v>21.7385</v>
      </c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 t="shared" ref="AC18:AG18" si="12">M18*1.45</f>
        <v>2183.05584467822</v>
      </c>
      <c r="AE18" s="2">
        <f t="shared" si="12"/>
        <v>545.763961169554</v>
      </c>
      <c r="AF18" s="2">
        <f t="shared" si="12"/>
        <v>31.520825</v>
      </c>
      <c r="AG18" s="2">
        <f t="shared" si="12"/>
        <v>0</v>
      </c>
    </row>
    <row r="19" s="2" customFormat="1" spans="1:33">
      <c r="A19" s="32" t="str">
        <f t="shared" si="10"/>
        <v>P_ESTCAESS102_4h</v>
      </c>
      <c r="B19" s="32" t="s">
        <v>44</v>
      </c>
      <c r="C19" s="32"/>
      <c r="D19" s="32" t="str">
        <f t="shared" si="11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8"/>
        <v>652.736361386139</v>
      </c>
      <c r="O19" s="77">
        <f t="shared" si="9"/>
        <v>407.960225866337</v>
      </c>
      <c r="P19" s="87">
        <f>16.11*1.35-0.01</f>
        <v>21.7385</v>
      </c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 t="shared" ref="AC19:AG19" si="13">M19*1.45</f>
        <v>2366.16931002475</v>
      </c>
      <c r="AE19" s="2">
        <f t="shared" si="13"/>
        <v>591.542327506188</v>
      </c>
      <c r="AF19" s="2">
        <f t="shared" si="13"/>
        <v>31.520825</v>
      </c>
      <c r="AG19" s="2">
        <f t="shared" si="13"/>
        <v>0</v>
      </c>
    </row>
    <row r="20" s="2" customFormat="1" spans="1:33">
      <c r="A20" s="32" t="str">
        <f t="shared" si="10"/>
        <v>P_ESTHYDPS101_4h</v>
      </c>
      <c r="B20" s="32" t="s">
        <v>44</v>
      </c>
      <c r="C20" s="32"/>
      <c r="D20" s="32" t="str">
        <f t="shared" si="11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 t="shared" ref="AC20:AG20" si="14">M20*1.45</f>
        <v>2913.29487666034</v>
      </c>
      <c r="AE20" s="2">
        <f t="shared" si="14"/>
        <v>2913.29487666034</v>
      </c>
      <c r="AF20" s="2">
        <f t="shared" si="14"/>
        <v>55.00575</v>
      </c>
      <c r="AG20" s="2">
        <f t="shared" si="14"/>
        <v>0</v>
      </c>
    </row>
    <row r="21" s="1" customFormat="1" spans="1:33">
      <c r="A21" s="34" t="str">
        <f t="shared" si="10"/>
        <v>P_ESTBATS101_4h</v>
      </c>
      <c r="B21" s="34" t="s">
        <v>44</v>
      </c>
      <c r="C21" s="34"/>
      <c r="D21" s="34" t="str">
        <f t="shared" si="11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ref="N21:N24" si="15">M21*0.4</f>
        <v>708.450217706822</v>
      </c>
      <c r="O21" s="80">
        <f t="shared" ref="O21:O24" si="16">M21*0.25</f>
        <v>442.781386066763</v>
      </c>
      <c r="P21" s="90">
        <f>7.13*1.35</f>
        <v>9.6255</v>
      </c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 t="shared" ref="AC21:AG21" si="17">M21*1.45</f>
        <v>2568.13203918723</v>
      </c>
      <c r="AE21" s="1">
        <f t="shared" si="17"/>
        <v>642.033009796807</v>
      </c>
      <c r="AF21" s="1">
        <f t="shared" si="17"/>
        <v>13.956975</v>
      </c>
      <c r="AG21" s="1">
        <f t="shared" si="17"/>
        <v>0</v>
      </c>
    </row>
    <row r="22" s="1" customFormat="1" spans="1:33">
      <c r="A22" s="34" t="str">
        <f t="shared" si="10"/>
        <v>P_ESTBATS102_4h</v>
      </c>
      <c r="B22" s="34" t="s">
        <v>44</v>
      </c>
      <c r="C22" s="34"/>
      <c r="D22" s="34" t="str">
        <f t="shared" si="11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 t="shared" ref="AC22:AG22" si="18">M22*1.45</f>
        <v>1165.85589953271</v>
      </c>
      <c r="AE22" s="1">
        <f t="shared" si="18"/>
        <v>291.463974883178</v>
      </c>
      <c r="AF22" s="1">
        <f t="shared" si="18"/>
        <v>10.4236875</v>
      </c>
      <c r="AG22" s="1">
        <f t="shared" si="18"/>
        <v>0</v>
      </c>
    </row>
    <row r="23" s="2" customFormat="1" spans="1:33">
      <c r="A23" s="37" t="s">
        <v>43</v>
      </c>
      <c r="B23" s="37" t="s">
        <v>44</v>
      </c>
      <c r="C23" s="37"/>
      <c r="D23" s="37" t="str">
        <f t="shared" si="11"/>
        <v>AUX_ESTBATS103_4h</v>
      </c>
      <c r="E23" s="37"/>
      <c r="F23" s="38">
        <f>F16</f>
        <v>0</v>
      </c>
      <c r="G23" s="38">
        <f>G16</f>
        <v>0</v>
      </c>
      <c r="H23" s="31"/>
      <c r="I23" s="31"/>
      <c r="J23" s="85"/>
      <c r="K23" s="37"/>
      <c r="L23" s="37"/>
      <c r="M23" s="92">
        <f>1000*1.35*435/(445+435)*M12/(1214*1.35*(254)/(254+435))</f>
        <v>1142.26589411412</v>
      </c>
      <c r="N23" s="77">
        <f t="shared" si="15"/>
        <v>456.906357645649</v>
      </c>
      <c r="O23" s="77">
        <f t="shared" si="16"/>
        <v>285.566473528531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/>
      <c r="V23" s="126"/>
      <c r="W23" s="126"/>
      <c r="Y23" s="126"/>
      <c r="Z23" s="131"/>
      <c r="AA23" s="131"/>
      <c r="AC23" s="2">
        <f t="shared" ref="AC23:AG23" si="19">M23*1.45</f>
        <v>1656.28554646548</v>
      </c>
      <c r="AE23" s="2">
        <f t="shared" si="19"/>
        <v>414.07138661637</v>
      </c>
      <c r="AF23" s="2">
        <f t="shared" si="19"/>
        <v>15.1625755287009</v>
      </c>
      <c r="AG23" s="2">
        <f t="shared" si="19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42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0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 t="shared" ref="AC24:AG24" si="21">M24*1.45</f>
        <v>128.751655321782</v>
      </c>
      <c r="AE24" s="7">
        <f t="shared" si="21"/>
        <v>32.1879138304455</v>
      </c>
      <c r="AF24" s="7">
        <f t="shared" si="21"/>
        <v>0.0968832</v>
      </c>
      <c r="AG24" s="7">
        <f t="shared" si="21"/>
        <v>0</v>
      </c>
    </row>
    <row r="25" spans="1:33">
      <c r="A25" s="22"/>
      <c r="B25" s="22"/>
      <c r="C25" s="22" t="str">
        <f t="shared" ref="C25:C29" si="22">"AUX_"&amp;A24</f>
        <v>AUX_ESTCAESS201</v>
      </c>
      <c r="D25" s="22"/>
      <c r="E25" s="21" t="str">
        <f t="shared" ref="E25:E29" si="23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ref="AG25:AG28" si="24">Q25*1.45</f>
        <v>0</v>
      </c>
    </row>
    <row r="26" spans="1:33">
      <c r="A26" s="17" t="str">
        <f>B54</f>
        <v>ESTHYDPS201</v>
      </c>
      <c r="B26" s="17" t="s">
        <v>42</v>
      </c>
      <c r="C26" s="17"/>
      <c r="D26" s="17" t="str">
        <f>B26</f>
        <v>ELC</v>
      </c>
      <c r="E26" s="17"/>
      <c r="F26" s="19">
        <v>2021</v>
      </c>
      <c r="G26" s="19">
        <f t="shared" ref="G26:G30" si="25">G10</f>
        <v>60</v>
      </c>
      <c r="H26" s="20">
        <f t="shared" ref="H26:H30" si="26">H10-0.05</f>
        <v>0.75</v>
      </c>
      <c r="I26" s="20">
        <f t="shared" si="20"/>
        <v>0.75</v>
      </c>
      <c r="J26" s="72">
        <v>5</v>
      </c>
      <c r="K26" s="19"/>
      <c r="L26" s="19"/>
      <c r="M26" s="73">
        <f t="shared" ref="M26:M30" si="27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G26" si="28">M26*1.45</f>
        <v>453.605123339658</v>
      </c>
      <c r="AE26" s="7">
        <f t="shared" si="28"/>
        <v>453.605123339658</v>
      </c>
      <c r="AG26" s="7">
        <f t="shared" si="28"/>
        <v>0</v>
      </c>
    </row>
    <row r="27" spans="1:33">
      <c r="A27" s="17"/>
      <c r="B27" s="17"/>
      <c r="C27" s="17" t="str">
        <f t="shared" si="22"/>
        <v>AUX_ESTHYDPS201</v>
      </c>
      <c r="D27" s="17"/>
      <c r="E27" s="21" t="str">
        <f t="shared" si="23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24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5"/>
        <v>12</v>
      </c>
      <c r="H28" s="40">
        <f t="shared" si="26"/>
        <v>0.66</v>
      </c>
      <c r="I28" s="20">
        <f t="shared" si="20"/>
        <v>0.66</v>
      </c>
      <c r="J28" s="95">
        <v>5</v>
      </c>
      <c r="K28" s="23"/>
      <c r="L28" s="23"/>
      <c r="M28" s="77">
        <f t="shared" si="27"/>
        <v>1034.17445573295</v>
      </c>
      <c r="N28" s="73">
        <f t="shared" ref="N28:N32" si="29">M28*0.4</f>
        <v>413.669782293179</v>
      </c>
      <c r="O28" s="73">
        <f t="shared" ref="O28:O32" si="30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>M28*1.45</f>
        <v>1499.55296081277</v>
      </c>
      <c r="AE28" s="7">
        <f>O28*1.45</f>
        <v>374.888240203193</v>
      </c>
      <c r="AG28" s="7">
        <f t="shared" si="24"/>
        <v>0</v>
      </c>
    </row>
    <row r="29" spans="1:27">
      <c r="A29" s="22"/>
      <c r="B29" s="22"/>
      <c r="C29" s="22" t="str">
        <f t="shared" si="22"/>
        <v>AUX_ESTBATS201</v>
      </c>
      <c r="D29" s="22"/>
      <c r="E29" s="21" t="str">
        <f t="shared" si="23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42</v>
      </c>
      <c r="C30" s="17"/>
      <c r="D30" s="17" t="s">
        <v>42</v>
      </c>
      <c r="E30" s="17"/>
      <c r="F30" s="19">
        <v>2021</v>
      </c>
      <c r="G30" s="19">
        <f t="shared" si="25"/>
        <v>15</v>
      </c>
      <c r="H30" s="20">
        <f t="shared" si="26"/>
        <v>0.78</v>
      </c>
      <c r="I30" s="20">
        <f>H30</f>
        <v>0.78</v>
      </c>
      <c r="J30" s="72">
        <v>5</v>
      </c>
      <c r="K30" s="19"/>
      <c r="L30" s="19"/>
      <c r="M30" s="73">
        <f t="shared" si="27"/>
        <v>1767.03644859813</v>
      </c>
      <c r="N30" s="73">
        <f t="shared" si="29"/>
        <v>706.814579439252</v>
      </c>
      <c r="O30" s="73">
        <f t="shared" si="30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ref="AC30:AG30" si="31">M30*1.45</f>
        <v>2562.20285046729</v>
      </c>
      <c r="AE30" s="7">
        <f t="shared" si="31"/>
        <v>640.550712616822</v>
      </c>
      <c r="AG30" s="7">
        <f t="shared" si="31"/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2">B63</f>
        <v>P_ESTCAESS201</v>
      </c>
      <c r="B32" s="27" t="s">
        <v>44</v>
      </c>
      <c r="C32" s="27"/>
      <c r="D32" s="27" t="str">
        <f t="shared" ref="D32:D35" si="33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si="29"/>
        <v>602.222301980198</v>
      </c>
      <c r="O32" s="73">
        <f t="shared" si="30"/>
        <v>376.388938737624</v>
      </c>
      <c r="P32" s="81">
        <f>P18</f>
        <v>21.7385</v>
      </c>
      <c r="R32" s="25">
        <v>31.54</v>
      </c>
      <c r="Y32" s="126"/>
      <c r="Z32" s="25"/>
      <c r="AA32" s="25"/>
      <c r="AC32" s="1">
        <f t="shared" ref="AC32:AG32" si="34">M32*1.45</f>
        <v>2183.05584467822</v>
      </c>
      <c r="AE32" s="1">
        <f t="shared" si="34"/>
        <v>545.763961169554</v>
      </c>
      <c r="AF32" s="1">
        <f t="shared" si="34"/>
        <v>31.520825</v>
      </c>
      <c r="AG32" s="1">
        <f t="shared" si="34"/>
        <v>0</v>
      </c>
    </row>
    <row r="33" s="1" customFormat="1" spans="1:33">
      <c r="A33" s="27" t="str">
        <f t="shared" si="32"/>
        <v>P_ESTHYDPS201</v>
      </c>
      <c r="B33" s="27" t="s">
        <v>44</v>
      </c>
      <c r="C33" s="27"/>
      <c r="D33" s="27" t="str">
        <f t="shared" si="33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5">P20</f>
        <v>37.935</v>
      </c>
      <c r="R33" s="25">
        <v>31.54</v>
      </c>
      <c r="Y33" s="126"/>
      <c r="Z33" s="25"/>
      <c r="AA33" s="25"/>
      <c r="AC33" s="1">
        <f t="shared" ref="AC33:AG33" si="36">M33*1.45</f>
        <v>2913.29487666034</v>
      </c>
      <c r="AE33" s="1">
        <f t="shared" si="36"/>
        <v>2913.29487666034</v>
      </c>
      <c r="AF33" s="1">
        <f t="shared" si="36"/>
        <v>55.00575</v>
      </c>
      <c r="AG33" s="1">
        <f t="shared" si="36"/>
        <v>0</v>
      </c>
    </row>
    <row r="34" s="1" customFormat="1" spans="1:33">
      <c r="A34" s="27" t="str">
        <f t="shared" si="32"/>
        <v>P_ESTBATS201</v>
      </c>
      <c r="B34" s="27" t="s">
        <v>44</v>
      </c>
      <c r="C34" s="27"/>
      <c r="D34" s="27" t="str">
        <f t="shared" si="33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>M34*0.4</f>
        <v>708.450217706822</v>
      </c>
      <c r="O34" s="73">
        <f>M34*0.25</f>
        <v>442.781386066763</v>
      </c>
      <c r="P34" s="81">
        <f t="shared" si="35"/>
        <v>9.6255</v>
      </c>
      <c r="R34" s="25">
        <v>31.54</v>
      </c>
      <c r="Y34" s="126"/>
      <c r="Z34" s="25"/>
      <c r="AA34" s="25"/>
      <c r="AC34" s="1">
        <f t="shared" ref="AC34:AG34" si="37">M34*1.45</f>
        <v>2568.13203918723</v>
      </c>
      <c r="AE34" s="1">
        <f t="shared" si="37"/>
        <v>642.033009796807</v>
      </c>
      <c r="AF34" s="1">
        <f t="shared" si="37"/>
        <v>13.956975</v>
      </c>
      <c r="AG34" s="1">
        <f t="shared" si="37"/>
        <v>0</v>
      </c>
    </row>
    <row r="35" s="1" customFormat="1" spans="1:33">
      <c r="A35" s="42" t="str">
        <f t="shared" si="32"/>
        <v>P_ESTBATS202</v>
      </c>
      <c r="B35" s="42" t="s">
        <v>44</v>
      </c>
      <c r="C35" s="42"/>
      <c r="D35" s="42" t="str">
        <f t="shared" si="33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>M35*0.4</f>
        <v>174</v>
      </c>
      <c r="O35" s="73">
        <f>M35*0.25</f>
        <v>108.75</v>
      </c>
      <c r="P35" s="97">
        <f t="shared" si="35"/>
        <v>7.18875</v>
      </c>
      <c r="Q35" s="132"/>
      <c r="R35" s="133">
        <v>31.54</v>
      </c>
      <c r="S35" s="132"/>
      <c r="T35" s="132"/>
      <c r="Y35" s="126"/>
      <c r="Z35" s="133"/>
      <c r="AA35" s="133"/>
      <c r="AC35" s="1">
        <f t="shared" ref="AC35:AG35" si="38">M35*1.45</f>
        <v>630.75</v>
      </c>
      <c r="AE35" s="1">
        <f t="shared" si="38"/>
        <v>157.6875</v>
      </c>
      <c r="AF35" s="1">
        <f t="shared" si="38"/>
        <v>10.4236875</v>
      </c>
      <c r="AG35" s="1">
        <f t="shared" si="38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44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42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45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46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47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/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/>
      <c r="AC44" s="138"/>
      <c r="AD44" s="139"/>
      <c r="AE44" s="139"/>
      <c r="AF44" s="139"/>
      <c r="AG44" s="139"/>
    </row>
    <row r="45" ht="13" spans="1:33">
      <c r="A45" s="54" t="s">
        <v>49</v>
      </c>
      <c r="B45" s="54" t="s">
        <v>7</v>
      </c>
      <c r="C45" s="54" t="s">
        <v>50</v>
      </c>
      <c r="D45" s="54" t="s">
        <v>51</v>
      </c>
      <c r="E45" s="54" t="s">
        <v>52</v>
      </c>
      <c r="F45" s="54" t="s">
        <v>53</v>
      </c>
      <c r="G45" s="54" t="s">
        <v>54</v>
      </c>
      <c r="H45" s="54" t="s">
        <v>55</v>
      </c>
      <c r="I45" s="106"/>
      <c r="J45" s="107"/>
      <c r="P45" s="23"/>
      <c r="Q45" s="51"/>
      <c r="Z45" s="69"/>
      <c r="AA45" s="138"/>
      <c r="AB45" s="138">
        <f>N8+N19</f>
        <v>704.828985148515</v>
      </c>
      <c r="AC45" s="138">
        <f>O8+O19</f>
        <v>440.518115717822</v>
      </c>
      <c r="AD45" s="139"/>
      <c r="AE45" s="139"/>
      <c r="AF45" s="139"/>
      <c r="AG45" s="139"/>
    </row>
    <row r="46" ht="25.75" spans="1:33">
      <c r="A46" s="55" t="s">
        <v>56</v>
      </c>
      <c r="B46" s="55" t="s">
        <v>57</v>
      </c>
      <c r="C46" s="55" t="s">
        <v>58</v>
      </c>
      <c r="D46" s="55" t="s">
        <v>59</v>
      </c>
      <c r="E46" s="55" t="s">
        <v>60</v>
      </c>
      <c r="F46" s="55" t="s">
        <v>61</v>
      </c>
      <c r="G46" s="55" t="s">
        <v>62</v>
      </c>
      <c r="H46" s="55" t="s">
        <v>63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312.831119544592</v>
      </c>
      <c r="AC46" s="138">
        <f>O10+O16</f>
        <v>312.831119544592</v>
      </c>
      <c r="AD46" s="139"/>
      <c r="AE46" s="139"/>
      <c r="AF46" s="139"/>
      <c r="AG46" s="139"/>
    </row>
    <row r="47" ht="15.5" spans="1:33">
      <c r="A47" s="56" t="s">
        <v>120</v>
      </c>
      <c r="B47" s="57" t="s">
        <v>65</v>
      </c>
      <c r="C47" s="56" t="s">
        <v>66</v>
      </c>
      <c r="D47" s="58" t="s">
        <v>67</v>
      </c>
      <c r="E47" s="59" t="s">
        <v>68</v>
      </c>
      <c r="F47" s="58" t="s">
        <v>69</v>
      </c>
      <c r="G47" s="58" t="s">
        <v>70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120</v>
      </c>
      <c r="B48" s="57" t="s">
        <v>71</v>
      </c>
      <c r="C48" s="56" t="s">
        <v>72</v>
      </c>
      <c r="D48" s="58" t="s">
        <v>67</v>
      </c>
      <c r="E48" s="59" t="s">
        <v>68</v>
      </c>
      <c r="F48" s="58" t="s">
        <v>69</v>
      </c>
      <c r="G48" s="58" t="s">
        <v>70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120</v>
      </c>
      <c r="B49" s="57" t="s">
        <v>73</v>
      </c>
      <c r="C49" s="57" t="s">
        <v>74</v>
      </c>
      <c r="D49" s="58" t="s">
        <v>67</v>
      </c>
      <c r="E49" s="59" t="s">
        <v>68</v>
      </c>
      <c r="F49" s="58" t="s">
        <v>69</v>
      </c>
      <c r="G49" s="58" t="s">
        <v>70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120</v>
      </c>
      <c r="B50" s="61" t="s">
        <v>75</v>
      </c>
      <c r="C50" s="61" t="s">
        <v>76</v>
      </c>
      <c r="D50" s="62" t="s">
        <v>67</v>
      </c>
      <c r="E50" s="59" t="s">
        <v>68</v>
      </c>
      <c r="F50" s="62" t="s">
        <v>69</v>
      </c>
      <c r="G50" s="58" t="s">
        <v>70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120</v>
      </c>
      <c r="B51" s="61" t="s">
        <v>77</v>
      </c>
      <c r="C51" s="61" t="s">
        <v>78</v>
      </c>
      <c r="D51" s="62" t="s">
        <v>67</v>
      </c>
      <c r="E51" s="59" t="s">
        <v>68</v>
      </c>
      <c r="F51" s="62" t="s">
        <v>69</v>
      </c>
      <c r="G51" s="58" t="s">
        <v>70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120</v>
      </c>
      <c r="B52" s="63" t="s">
        <v>79</v>
      </c>
      <c r="C52" s="63" t="s">
        <v>80</v>
      </c>
      <c r="D52" s="64" t="s">
        <v>67</v>
      </c>
      <c r="E52" s="59" t="s">
        <v>68</v>
      </c>
      <c r="F52" s="64" t="s">
        <v>69</v>
      </c>
      <c r="G52" s="58" t="s">
        <v>70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120</v>
      </c>
      <c r="B53" s="57" t="s">
        <v>82</v>
      </c>
      <c r="C53" s="56" t="s">
        <v>83</v>
      </c>
      <c r="D53" s="58" t="s">
        <v>67</v>
      </c>
      <c r="E53" s="59" t="s">
        <v>68</v>
      </c>
      <c r="F53" s="58" t="s">
        <v>84</v>
      </c>
      <c r="G53" s="58" t="s">
        <v>70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120</v>
      </c>
      <c r="B54" s="57" t="s">
        <v>85</v>
      </c>
      <c r="C54" s="57" t="s">
        <v>86</v>
      </c>
      <c r="D54" s="58" t="s">
        <v>67</v>
      </c>
      <c r="E54" s="59" t="s">
        <v>68</v>
      </c>
      <c r="F54" s="58" t="s">
        <v>84</v>
      </c>
      <c r="G54" s="58" t="s">
        <v>70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120</v>
      </c>
      <c r="B55" s="61" t="s">
        <v>87</v>
      </c>
      <c r="C55" s="61" t="s">
        <v>88</v>
      </c>
      <c r="D55" s="62" t="s">
        <v>67</v>
      </c>
      <c r="E55" s="59" t="s">
        <v>68</v>
      </c>
      <c r="F55" s="58" t="s">
        <v>84</v>
      </c>
      <c r="G55" s="58" t="s">
        <v>70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120</v>
      </c>
      <c r="B56" s="63" t="s">
        <v>89</v>
      </c>
      <c r="C56" s="63" t="s">
        <v>90</v>
      </c>
      <c r="D56" s="64" t="s">
        <v>67</v>
      </c>
      <c r="E56" s="59" t="s">
        <v>68</v>
      </c>
      <c r="F56" s="58" t="s">
        <v>84</v>
      </c>
      <c r="G56" s="58" t="s">
        <v>70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91</v>
      </c>
      <c r="B57" s="57" t="str">
        <f t="shared" ref="B57:B66" si="39">"P_"&amp;B47</f>
        <v>P_ESTCAESS101_4h</v>
      </c>
      <c r="C57" s="56" t="str">
        <f t="shared" ref="C57:C66" si="40">C47&amp;" (accompanying tech to represent power)"</f>
        <v>Diabatic CAES ELC Storage: DayNite---Compressed Air Energy Storage (accompanying tech to represent power)</v>
      </c>
      <c r="D57" s="58" t="s">
        <v>67</v>
      </c>
      <c r="E57" s="57" t="s">
        <v>68</v>
      </c>
      <c r="F57" s="58" t="s">
        <v>69</v>
      </c>
      <c r="G57" s="58" t="s">
        <v>70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91</v>
      </c>
      <c r="B58" s="57" t="str">
        <f t="shared" si="39"/>
        <v>P_ESTCAESS102_4h</v>
      </c>
      <c r="C58" s="56" t="str">
        <f t="shared" si="40"/>
        <v>Adiabatic CAES ELC Storage: DayNite (accompanying tech to represent power)</v>
      </c>
      <c r="D58" s="58" t="s">
        <v>67</v>
      </c>
      <c r="E58" s="57" t="s">
        <v>68</v>
      </c>
      <c r="F58" s="58" t="s">
        <v>69</v>
      </c>
      <c r="G58" s="58" t="s">
        <v>70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91</v>
      </c>
      <c r="B59" s="61" t="str">
        <f t="shared" si="39"/>
        <v>P_ESTHYDPS101_4h</v>
      </c>
      <c r="C59" s="66" t="str">
        <f t="shared" si="40"/>
        <v>Pumped Hydro ELC Storage: DayNite (accompanying tech to represent power)</v>
      </c>
      <c r="D59" s="62" t="s">
        <v>67</v>
      </c>
      <c r="E59" s="61" t="s">
        <v>68</v>
      </c>
      <c r="F59" s="62" t="s">
        <v>69</v>
      </c>
      <c r="G59" s="58" t="s">
        <v>70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91</v>
      </c>
      <c r="B60" s="67" t="str">
        <f t="shared" si="39"/>
        <v>P_ESTBATS101_4h</v>
      </c>
      <c r="C60" s="67" t="str">
        <f t="shared" si="40"/>
        <v>Battery (Lead-acid) Bulk ELC Storage: DayNite (accompanying tech to represent power)</v>
      </c>
      <c r="D60" s="62" t="s">
        <v>67</v>
      </c>
      <c r="E60" s="61" t="s">
        <v>68</v>
      </c>
      <c r="F60" s="62" t="s">
        <v>69</v>
      </c>
      <c r="G60" s="58" t="s">
        <v>70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91</v>
      </c>
      <c r="B61" s="67" t="str">
        <f t="shared" si="39"/>
        <v>P_ESTBATS102_4h</v>
      </c>
      <c r="C61" s="67" t="str">
        <f t="shared" si="40"/>
        <v>Battery (Li-ion) Bulk ELC Storage: DayNite: 4hour duration (accompanying tech to represent power)</v>
      </c>
      <c r="D61" s="62" t="s">
        <v>67</v>
      </c>
      <c r="E61" s="61" t="s">
        <v>68</v>
      </c>
      <c r="F61" s="62" t="s">
        <v>69</v>
      </c>
      <c r="G61" s="58" t="s">
        <v>70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91</v>
      </c>
      <c r="B62" s="67" t="str">
        <f t="shared" si="39"/>
        <v>P_ESTBATS103_4h</v>
      </c>
      <c r="C62" s="67" t="str">
        <f t="shared" si="40"/>
        <v>Battery (NaS) Bulk ELC Storage: DayNite (accompanying tech to represent power)</v>
      </c>
      <c r="D62" s="62" t="s">
        <v>67</v>
      </c>
      <c r="E62" s="61" t="s">
        <v>68</v>
      </c>
      <c r="F62" s="62" t="s">
        <v>69</v>
      </c>
      <c r="G62" s="58" t="s">
        <v>70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91</v>
      </c>
      <c r="B63" s="57" t="str">
        <f t="shared" si="39"/>
        <v>P_ESTCAESS201</v>
      </c>
      <c r="C63" s="56" t="str">
        <f t="shared" si="40"/>
        <v>Diabatic CAES ELC Storage: DayNite/Seasonal (accompanying tech to represent power)</v>
      </c>
      <c r="D63" s="58" t="s">
        <v>67</v>
      </c>
      <c r="E63" s="57" t="s">
        <v>68</v>
      </c>
      <c r="F63" s="58" t="s">
        <v>84</v>
      </c>
      <c r="G63" s="58" t="s">
        <v>70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91</v>
      </c>
      <c r="B64" s="61" t="str">
        <f t="shared" si="39"/>
        <v>P_ESTHYDPS201</v>
      </c>
      <c r="C64" s="66" t="str">
        <f t="shared" si="40"/>
        <v>Pumped Hydro ELC Storage: DayNite/Seasonal (accompanying tech to represent power)</v>
      </c>
      <c r="D64" s="62" t="s">
        <v>67</v>
      </c>
      <c r="E64" s="61" t="s">
        <v>68</v>
      </c>
      <c r="F64" s="58" t="s">
        <v>84</v>
      </c>
      <c r="G64" s="58" t="s">
        <v>70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91</v>
      </c>
      <c r="B65" s="67" t="str">
        <f t="shared" si="39"/>
        <v>P_ESTBATS201</v>
      </c>
      <c r="C65" s="67" t="str">
        <f t="shared" si="40"/>
        <v>Battery (Lead-acid) Bulk ELC Storage: DayNite/Seasonal (accompanying tech to represent power)</v>
      </c>
      <c r="D65" s="62" t="s">
        <v>67</v>
      </c>
      <c r="E65" s="61" t="s">
        <v>68</v>
      </c>
      <c r="F65" s="58" t="s">
        <v>84</v>
      </c>
      <c r="G65" s="58" t="s">
        <v>70</v>
      </c>
      <c r="H65" s="61"/>
      <c r="I65" s="61"/>
      <c r="J65" s="85"/>
      <c r="AB65" s="115"/>
      <c r="AE65" s="115"/>
    </row>
    <row r="66" ht="14.5" spans="1:31">
      <c r="A66" s="56" t="s">
        <v>91</v>
      </c>
      <c r="B66" s="142" t="str">
        <f t="shared" si="39"/>
        <v>P_ESTBATS202</v>
      </c>
      <c r="C66" s="142" t="str">
        <f t="shared" si="40"/>
        <v>Battery (Li-ion) Bulk ELC Storage: DayNite/Seasonal (accompanying tech to represent power)</v>
      </c>
      <c r="D66" s="64" t="s">
        <v>67</v>
      </c>
      <c r="E66" s="63" t="s">
        <v>68</v>
      </c>
      <c r="F66" s="58" t="s">
        <v>84</v>
      </c>
      <c r="G66" s="58" t="s">
        <v>70</v>
      </c>
      <c r="H66" s="63"/>
      <c r="I66" s="61"/>
      <c r="J66" s="85"/>
      <c r="AB66" s="115"/>
      <c r="AE66" s="115"/>
    </row>
    <row r="67" ht="14.5" spans="1:28">
      <c r="A67" s="143" t="s">
        <v>91</v>
      </c>
      <c r="B67" s="143" t="s">
        <v>92</v>
      </c>
      <c r="C67" s="143" t="s">
        <v>93</v>
      </c>
      <c r="D67" s="144" t="s">
        <v>67</v>
      </c>
      <c r="E67" s="143" t="s">
        <v>94</v>
      </c>
      <c r="F67" s="144" t="s">
        <v>69</v>
      </c>
      <c r="G67" s="58" t="s">
        <v>70</v>
      </c>
      <c r="H67" s="145"/>
      <c r="I67" s="150"/>
      <c r="J67" s="153"/>
      <c r="AB67" s="115"/>
    </row>
    <row r="68" ht="14.5" spans="1:28">
      <c r="A68" s="61" t="s">
        <v>95</v>
      </c>
      <c r="B68" s="53" t="s">
        <v>96</v>
      </c>
      <c r="C68" s="53" t="s">
        <v>97</v>
      </c>
      <c r="D68" s="62" t="s">
        <v>67</v>
      </c>
      <c r="E68" s="53"/>
      <c r="F68" s="62" t="s">
        <v>69</v>
      </c>
      <c r="G68" s="58" t="s">
        <v>70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/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99</v>
      </c>
      <c r="B73" s="147" t="s">
        <v>100</v>
      </c>
      <c r="C73" s="147" t="s">
        <v>101</v>
      </c>
      <c r="D73" s="148" t="s">
        <v>102</v>
      </c>
      <c r="E73" s="148" t="s">
        <v>103</v>
      </c>
      <c r="F73" s="148" t="s">
        <v>104</v>
      </c>
      <c r="G73" s="148" t="s">
        <v>105</v>
      </c>
      <c r="H73" s="148" t="s">
        <v>106</v>
      </c>
      <c r="I73" s="155"/>
      <c r="J73" s="156"/>
      <c r="K73" s="22"/>
      <c r="AB73" s="115"/>
    </row>
    <row r="74" ht="25.75" spans="1:28">
      <c r="A74" s="149" t="s">
        <v>107</v>
      </c>
      <c r="B74" s="149" t="s">
        <v>108</v>
      </c>
      <c r="C74" s="149" t="s">
        <v>109</v>
      </c>
      <c r="D74" s="149" t="s">
        <v>102</v>
      </c>
      <c r="E74" s="149" t="s">
        <v>110</v>
      </c>
      <c r="F74" s="149" t="s">
        <v>111</v>
      </c>
      <c r="G74" s="149" t="s">
        <v>112</v>
      </c>
      <c r="H74" s="149" t="s">
        <v>113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114</v>
      </c>
      <c r="B75" s="57" t="str">
        <f t="shared" ref="B75:B84" si="41">"AUX_"&amp;B47</f>
        <v>AUX_ESTCAESS101_4h</v>
      </c>
      <c r="C75" s="57" t="str">
        <f t="shared" ref="C75:C84" si="42">"Auxiliary input for "&amp;C47</f>
        <v>Auxiliary input for Diabatic CAES ELC Storage: DayNite---Compressed Air Energy Storage</v>
      </c>
      <c r="D75" s="57" t="s">
        <v>67</v>
      </c>
      <c r="E75" s="61" t="s">
        <v>115</v>
      </c>
      <c r="F75" s="57" t="s">
        <v>69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114</v>
      </c>
      <c r="B76" s="57" t="str">
        <f t="shared" si="41"/>
        <v>AUX_ESTCAESS102_4h</v>
      </c>
      <c r="C76" s="57" t="str">
        <f t="shared" si="42"/>
        <v>Auxiliary input for Adiabatic CAES ELC Storage: DayNite</v>
      </c>
      <c r="D76" s="57" t="s">
        <v>67</v>
      </c>
      <c r="E76" s="61" t="s">
        <v>115</v>
      </c>
      <c r="F76" s="57" t="s">
        <v>69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114</v>
      </c>
      <c r="B77" s="57" t="str">
        <f t="shared" si="41"/>
        <v>AUX_ESTHYDPS101_4h</v>
      </c>
      <c r="C77" s="57" t="str">
        <f t="shared" si="42"/>
        <v>Auxiliary input for Pumped Hydro ELC Storage: DayNite</v>
      </c>
      <c r="D77" s="57" t="s">
        <v>67</v>
      </c>
      <c r="E77" s="61" t="s">
        <v>115</v>
      </c>
      <c r="F77" s="57" t="s">
        <v>69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114</v>
      </c>
      <c r="B78" s="57" t="str">
        <f t="shared" si="41"/>
        <v>AUX_ESTBATS101_4h</v>
      </c>
      <c r="C78" s="57" t="str">
        <f t="shared" si="42"/>
        <v>Auxiliary input for Battery (Lead-acid) Bulk ELC Storage: DayNite</v>
      </c>
      <c r="D78" s="57" t="s">
        <v>67</v>
      </c>
      <c r="E78" s="61" t="s">
        <v>115</v>
      </c>
      <c r="F78" s="57" t="s">
        <v>69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114</v>
      </c>
      <c r="B79" s="57" t="str">
        <f t="shared" si="41"/>
        <v>AUX_ESTBATS102_4h</v>
      </c>
      <c r="C79" s="57" t="str">
        <f t="shared" si="42"/>
        <v>Auxiliary input for Battery (Li-ion) Bulk ELC Storage: DayNite: 4hour duration</v>
      </c>
      <c r="D79" s="57" t="s">
        <v>67</v>
      </c>
      <c r="E79" s="61" t="s">
        <v>115</v>
      </c>
      <c r="F79" s="57" t="s">
        <v>69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114</v>
      </c>
      <c r="B80" s="57" t="str">
        <f t="shared" si="41"/>
        <v>AUX_ESTBATS103_4h</v>
      </c>
      <c r="C80" s="57" t="str">
        <f t="shared" si="42"/>
        <v>Auxiliary input for Battery (NaS) Bulk ELC Storage: DayNite</v>
      </c>
      <c r="D80" s="57" t="s">
        <v>67</v>
      </c>
      <c r="E80" s="61" t="s">
        <v>115</v>
      </c>
      <c r="F80" s="57" t="s">
        <v>69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114</v>
      </c>
      <c r="B81" s="57" t="str">
        <f t="shared" si="41"/>
        <v>AUX_ESTCAESS201</v>
      </c>
      <c r="C81" s="57" t="str">
        <f t="shared" si="42"/>
        <v>Auxiliary input for Diabatic CAES ELC Storage: DayNite/Seasonal</v>
      </c>
      <c r="D81" s="57" t="s">
        <v>67</v>
      </c>
      <c r="E81" s="61" t="s">
        <v>115</v>
      </c>
      <c r="F81" s="57" t="s">
        <v>69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114</v>
      </c>
      <c r="B82" s="57" t="str">
        <f t="shared" si="41"/>
        <v>AUX_ESTHYDPS201</v>
      </c>
      <c r="C82" s="57" t="str">
        <f t="shared" si="42"/>
        <v>Auxiliary input for Pumped Hydro ELC Storage: DayNite/Seasonal</v>
      </c>
      <c r="D82" s="57" t="s">
        <v>67</v>
      </c>
      <c r="E82" s="61" t="s">
        <v>115</v>
      </c>
      <c r="F82" s="57" t="s">
        <v>69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114</v>
      </c>
      <c r="B83" s="57" t="str">
        <f t="shared" si="41"/>
        <v>AUX_ESTBATS201</v>
      </c>
      <c r="C83" s="57" t="str">
        <f t="shared" si="42"/>
        <v>Auxiliary input for Battery (Lead-acid) Bulk ELC Storage: DayNite/Seasonal</v>
      </c>
      <c r="D83" s="57" t="s">
        <v>67</v>
      </c>
      <c r="E83" s="61" t="s">
        <v>115</v>
      </c>
      <c r="F83" s="57" t="s">
        <v>69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114</v>
      </c>
      <c r="B84" s="61" t="str">
        <f t="shared" si="41"/>
        <v>AUX_ESTBATS202</v>
      </c>
      <c r="C84" s="61" t="str">
        <f t="shared" si="42"/>
        <v>Auxiliary input for Battery (Li-ion) Bulk ELC Storage: DayNite/Seasonal</v>
      </c>
      <c r="D84" s="61" t="s">
        <v>67</v>
      </c>
      <c r="E84" s="61" t="s">
        <v>115</v>
      </c>
      <c r="F84" s="61" t="s">
        <v>69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114</v>
      </c>
      <c r="B85" s="61" t="s">
        <v>116</v>
      </c>
      <c r="C85" s="61" t="s">
        <v>117</v>
      </c>
      <c r="D85" s="61" t="s">
        <v>67</v>
      </c>
      <c r="E85" s="61" t="s">
        <v>115</v>
      </c>
      <c r="F85" s="61" t="s">
        <v>69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70</v>
      </c>
      <c r="B86" s="151" t="s">
        <v>118</v>
      </c>
      <c r="C86" s="151" t="s">
        <v>119</v>
      </c>
      <c r="D86" s="151" t="s">
        <v>67</v>
      </c>
      <c r="E86" s="152"/>
      <c r="F86" s="151" t="s">
        <v>69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70</v>
      </c>
      <c r="B87" s="44" t="s">
        <v>44</v>
      </c>
      <c r="D87" s="151" t="s">
        <v>67</v>
      </c>
      <c r="F87" s="151" t="s">
        <v>69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ELC_BulkEES_4h</vt:lpstr>
      <vt:lpstr>ELC_BulkEES_4h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李潇</cp:lastModifiedBy>
  <dcterms:created xsi:type="dcterms:W3CDTF">2005-06-03T09:41:00Z</dcterms:created>
  <dcterms:modified xsi:type="dcterms:W3CDTF">2024-12-30T20:25:39Z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1033-12.2.0.19307</vt:lpwstr>
  </property>
</Properties>
</file>